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4.xml" ContentType="application/vnd.openxmlformats-officedocument.drawing+xml"/>
  <Override PartName="/xl/ctrlProps/ctrlProp25.xml" ContentType="application/vnd.ms-excel.controlproperties+xml"/>
  <Override PartName="/xl/comments13.xml" ContentType="application/vnd.openxmlformats-officedocument.spreadsheetml.comments+xml"/>
  <Override PartName="/xl/drawings/drawing5.xml" ContentType="application/vnd.openxmlformats-officedocument.drawing+xml"/>
  <Override PartName="/xl/ctrlProps/ctrlProp26.xml" ContentType="application/vnd.ms-excel.controlproperties+xml"/>
  <Override PartName="/xl/drawings/drawing6.xml" ContentType="application/vnd.openxmlformats-officedocument.drawing+xml"/>
  <Override PartName="/xl/ctrlProps/ctrlProp27.xml" ContentType="application/vnd.ms-excel.controlproperties+xml"/>
  <Override PartName="/xl/drawings/drawing7.xml" ContentType="application/vnd.openxmlformats-officedocument.drawing+xml"/>
  <Override PartName="/xl/ctrlProps/ctrlProp28.xml" ContentType="application/vnd.ms-excel.controlproperties+xml"/>
  <Override PartName="/xl/drawings/drawing8.xml" ContentType="application/vnd.openxmlformats-officedocument.drawing+xml"/>
  <Override PartName="/xl/ctrlProps/ctrlProp29.xml" ContentType="application/vnd.ms-excel.controlproperties+xml"/>
  <Override PartName="/xl/drawings/drawing9.xml" ContentType="application/vnd.openxmlformats-officedocument.drawing+xml"/>
  <Override PartName="/xl/ctrlProps/ctrlProp30.xml" ContentType="application/vnd.ms-excel.controlproperties+xml"/>
  <Override PartName="/xl/drawings/drawing10.xml" ContentType="application/vnd.openxmlformats-officedocument.drawing+xml"/>
  <Override PartName="/xl/ctrlProps/ctrlProp31.xml" ContentType="application/vnd.ms-excel.controlproperties+xml"/>
  <Override PartName="/xl/drawings/drawing11.xml" ContentType="application/vnd.openxmlformats-officedocument.drawing+xml"/>
  <Override PartName="/xl/ctrlProps/ctrlProp32.xml" ContentType="application/vnd.ms-excel.controlproperties+xml"/>
  <Override PartName="/xl/charts/chart1.xml" ContentType="application/vnd.openxmlformats-officedocument.drawingml.chart+xml"/>
  <Override PartName="/xl/drawings/drawing12.xml" ContentType="application/vnd.openxmlformats-officedocument.drawing+xml"/>
  <Override PartName="/xl/ctrlProps/ctrlProp33.xml" ContentType="application/vnd.ms-excel.controlproperties+xml"/>
  <Override PartName="/xl/comments14.xml" ContentType="application/vnd.openxmlformats-officedocument.spreadsheetml.comments+xml"/>
  <Override PartName="/xl/comments15.xml" ContentType="application/vnd.openxmlformats-officedocument.spreadsheetml.comments+xml"/>
  <Override PartName="/xl/drawings/drawing13.xml" ContentType="application/vnd.openxmlformats-officedocument.drawing+xml"/>
  <Override PartName="/xl/ctrlProps/ctrlProp34.xml" ContentType="application/vnd.ms-excel.controlproperties+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codeName="ThisWorkbook"/>
  <mc:AlternateContent xmlns:mc="http://schemas.openxmlformats.org/markup-compatibility/2006">
    <mc:Choice Requires="x15">
      <x15ac:absPath xmlns:x15ac="http://schemas.microsoft.com/office/spreadsheetml/2010/11/ac" url="\\tcmm.cat\sd\tie\S01_EMPRENEDORIA_COMPETIVITAT_EMPRESARIAL\S0102_Suport_empresarial\1331_Serveis\Emprenedoria\Recursos\Plantilla_Pla_Empresa_i_BM_Canvas\"/>
    </mc:Choice>
  </mc:AlternateContent>
  <xr:revisionPtr revIDLastSave="0" documentId="13_ncr:1_{42D73E4F-57EA-4CD2-87C4-CC2BDD46F1BD}" xr6:coauthVersionLast="47" xr6:coauthVersionMax="47" xr10:uidLastSave="{00000000-0000-0000-0000-000000000000}"/>
  <workbookProtection workbookPassword="CC2F" lockStructure="1"/>
  <bookViews>
    <workbookView xWindow="-110" yWindow="-110" windowWidth="19420" windowHeight="10420" tabRatio="913" firstSheet="5" activeTab="5" xr2:uid="{00000000-000D-0000-FFFF-FFFF00000000}"/>
  </bookViews>
  <sheets>
    <sheet name="ÍNDEX" sheetId="1" state="hidden" r:id="rId1"/>
    <sheet name="AJUSTAMENTS" sheetId="2" state="hidden" r:id="rId2"/>
    <sheet name="FULL AUXILIAR" sheetId="3" state="hidden" r:id="rId3"/>
    <sheet name="CONTROLS" sheetId="4" state="hidden" r:id="rId4"/>
    <sheet name="DADES" sheetId="5" state="hidden" r:id="rId5"/>
    <sheet name="Introducció dades" sheetId="6" r:id="rId6"/>
    <sheet name="INVERSIONS" sheetId="7" state="hidden" r:id="rId7"/>
    <sheet name="FINANÇAMENT" sheetId="8" state="hidden" r:id="rId8"/>
    <sheet name="LEASING" sheetId="9" state="hidden" r:id="rId9"/>
    <sheet name="MERCADERIES" sheetId="10" state="hidden" r:id="rId10"/>
    <sheet name="PRÉSTECS" sheetId="11" state="hidden" r:id="rId11"/>
    <sheet name="SERVEIS" sheetId="12" state="hidden" r:id="rId12"/>
    <sheet name="INGRESSOS _ COMPRES" sheetId="13" state="hidden" r:id="rId13"/>
    <sheet name="PROMOTORS" sheetId="14" state="hidden" r:id="rId14"/>
    <sheet name="PERSONAL" sheetId="15" state="hidden" r:id="rId15"/>
    <sheet name="TRIBUTS" sheetId="16" state="hidden" r:id="rId16"/>
    <sheet name="VARIABLES" sheetId="17" state="hidden" r:id="rId17"/>
    <sheet name="TRESORERIA" sheetId="18" state="hidden" r:id="rId18"/>
    <sheet name="Fiscalitat" sheetId="19" r:id="rId19"/>
    <sheet name="Pla inversions i finançament" sheetId="20" r:id="rId20"/>
    <sheet name="Resultats anuals" sheetId="21" r:id="rId21"/>
    <sheet name="Resultats per mesos" sheetId="22" r:id="rId22"/>
    <sheet name="Pla de tresoreria" sheetId="23" r:id="rId23"/>
    <sheet name="Necessitats de finançament" sheetId="24" state="hidden" r:id="rId24"/>
    <sheet name="Tresoreria per mesos" sheetId="25" r:id="rId25"/>
    <sheet name="Balanç de situació" sheetId="26" r:id="rId26"/>
    <sheet name="Càlcul del punt d_equilibri" sheetId="27" state="hidden" r:id="rId27"/>
    <sheet name="Punt d_equilibri" sheetId="28" r:id="rId28"/>
    <sheet name="Anàlisi bàsica" sheetId="29" r:id="rId29"/>
    <sheet name="Anàlisi creuada" sheetId="30" state="hidden" r:id="rId30"/>
    <sheet name="Ràtios" sheetId="31" r:id="rId31"/>
  </sheets>
  <definedNames>
    <definedName name="_xlnm.Print_Area" localSheetId="25">'Balanç de situació'!$A$1:$I$68</definedName>
    <definedName name="_xlnm.Print_Area" localSheetId="5">'Introducció dades'!$A$167:$N$214</definedName>
    <definedName name="_xlnm.Print_Area" localSheetId="22">'Pla de tresoreria'!$A$1:$D$48</definedName>
    <definedName name="_xlnm.Print_Area" localSheetId="19">'Pla inversions i finançament'!$A$1:$D$39</definedName>
    <definedName name="_xlnm.Print_Area" localSheetId="13">PROMOTORS!$1:$1048576</definedName>
    <definedName name="_xlnm.Print_Area" localSheetId="27">'Punt d_equilibri'!$A$1:$G$222</definedName>
    <definedName name="_xlnm.Print_Area" localSheetId="30">Ràtios!$A$1:$D$210</definedName>
    <definedName name="_xlnm.Print_Area" localSheetId="20">'Resultats anuals'!$A$1:$G$24</definedName>
    <definedName name="_xlnm.Print_Area" localSheetId="21">'Resultats per mesos'!$A$1:$J$141</definedName>
    <definedName name="_xlnm.Print_Area" localSheetId="24">'Tresoreria per mesos'!$A$1:$O$161</definedName>
    <definedName name="_xlnm.Print_Area" localSheetId="16">VARIABLES!$A$107:$N$118</definedName>
    <definedName name="TABLE_16">TRIBUTS!#REF!</definedName>
    <definedName name="TABLE_2_16">TRIBUTS!#REF!</definedName>
    <definedName name="TABLE_3_16">TRIBUTS!#REF!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 i="10" l="1"/>
  <c r="I5" i="10"/>
  <c r="I6" i="10"/>
  <c r="I7" i="10"/>
  <c r="I8" i="10"/>
  <c r="I9" i="10"/>
  <c r="I10" i="10"/>
  <c r="I11" i="10"/>
  <c r="I12" i="10"/>
  <c r="I13" i="10"/>
  <c r="I14" i="10"/>
  <c r="I3" i="10"/>
  <c r="F4" i="10"/>
  <c r="F5" i="10"/>
  <c r="F6" i="10"/>
  <c r="F7" i="10"/>
  <c r="F8" i="10"/>
  <c r="F9" i="10"/>
  <c r="F10" i="10"/>
  <c r="F11" i="10"/>
  <c r="F12" i="10"/>
  <c r="F13" i="10"/>
  <c r="F14" i="10"/>
  <c r="F3" i="10"/>
  <c r="D248" i="6"/>
  <c r="D171" i="6"/>
  <c r="D172" i="6" s="1"/>
  <c r="C171" i="6"/>
  <c r="C172" i="6" s="1"/>
  <c r="C6" i="1"/>
  <c r="D8" i="1" s="1"/>
  <c r="D234" i="6"/>
  <c r="E234" i="6" s="1"/>
  <c r="F234" i="6" s="1"/>
  <c r="G234" i="6" s="1"/>
  <c r="H234" i="6" s="1"/>
  <c r="I234" i="6" s="1"/>
  <c r="E314" i="6"/>
  <c r="E327" i="6" s="1"/>
  <c r="E220" i="14" s="1"/>
  <c r="F314" i="6"/>
  <c r="D314" i="6"/>
  <c r="D327" i="6" s="1"/>
  <c r="C327" i="6"/>
  <c r="C220" i="14" s="1"/>
  <c r="C356" i="6"/>
  <c r="C107" i="15" s="1"/>
  <c r="C364" i="6"/>
  <c r="C382" i="6" s="1"/>
  <c r="C221" i="15" s="1"/>
  <c r="G352" i="6"/>
  <c r="E21" i="19"/>
  <c r="E22" i="19"/>
  <c r="E23" i="19"/>
  <c r="E24" i="19"/>
  <c r="E25" i="19"/>
  <c r="D3" i="12"/>
  <c r="H3" i="12" s="1"/>
  <c r="J3" i="12" s="1"/>
  <c r="C3" i="12"/>
  <c r="C4" i="12"/>
  <c r="D4" i="12"/>
  <c r="H4" i="12"/>
  <c r="J4" i="12" s="1"/>
  <c r="M171" i="6"/>
  <c r="M172" i="6" s="1"/>
  <c r="M173" i="6" s="1"/>
  <c r="N171" i="6"/>
  <c r="N172" i="6" s="1"/>
  <c r="B22" i="12"/>
  <c r="H22" i="12"/>
  <c r="I22" i="12" s="1"/>
  <c r="BJ22" i="12"/>
  <c r="BP22" i="12"/>
  <c r="D5" i="18"/>
  <c r="B19" i="13" s="1"/>
  <c r="B23" i="12"/>
  <c r="C23" i="12" s="1"/>
  <c r="BJ23" i="12"/>
  <c r="B29" i="7"/>
  <c r="B33" i="7"/>
  <c r="B38" i="7"/>
  <c r="C38" i="7" s="1"/>
  <c r="B40" i="7"/>
  <c r="B43" i="7"/>
  <c r="B8" i="8"/>
  <c r="B10" i="8"/>
  <c r="B12" i="8"/>
  <c r="B31" i="20" s="1"/>
  <c r="H10" i="7"/>
  <c r="E3" i="12"/>
  <c r="D7" i="18"/>
  <c r="B51" i="13" s="1"/>
  <c r="B5" i="17"/>
  <c r="C5" i="17"/>
  <c r="B8" i="17"/>
  <c r="C8" i="9"/>
  <c r="AS8" i="9"/>
  <c r="C4" i="15"/>
  <c r="C10" i="15"/>
  <c r="C17" i="15"/>
  <c r="C19" i="15" s="1"/>
  <c r="C27" i="15"/>
  <c r="D4" i="15"/>
  <c r="D10" i="15"/>
  <c r="D17" i="15"/>
  <c r="D27" i="15"/>
  <c r="E4" i="15"/>
  <c r="E10" i="15"/>
  <c r="E342" i="6"/>
  <c r="E27" i="15"/>
  <c r="F4" i="15"/>
  <c r="F10" i="15"/>
  <c r="F27" i="15"/>
  <c r="G4" i="15"/>
  <c r="G10" i="15"/>
  <c r="G20" i="15" s="1"/>
  <c r="G27" i="15"/>
  <c r="C9" i="14"/>
  <c r="C18" i="14"/>
  <c r="D9" i="14"/>
  <c r="D18" i="14"/>
  <c r="E9" i="14"/>
  <c r="E18" i="14"/>
  <c r="F9" i="14"/>
  <c r="F18" i="14"/>
  <c r="L9" i="14"/>
  <c r="E28" i="19"/>
  <c r="E29" i="19"/>
  <c r="E30" i="19"/>
  <c r="E31" i="19"/>
  <c r="E5" i="18"/>
  <c r="B20" i="13" s="1"/>
  <c r="E7" i="18"/>
  <c r="B52" i="13" s="1"/>
  <c r="D233" i="6"/>
  <c r="D235" i="6"/>
  <c r="D236" i="6"/>
  <c r="E236" i="6" s="1"/>
  <c r="F236" i="6" s="1"/>
  <c r="G236" i="6" s="1"/>
  <c r="H236" i="6" s="1"/>
  <c r="I236" i="6" s="1"/>
  <c r="J236" i="6" s="1"/>
  <c r="K236" i="6" s="1"/>
  <c r="L236" i="6" s="1"/>
  <c r="D239" i="6"/>
  <c r="E239" i="6" s="1"/>
  <c r="D240" i="6"/>
  <c r="D241" i="6"/>
  <c r="E241" i="6" s="1"/>
  <c r="D242" i="6"/>
  <c r="E242" i="6" s="1"/>
  <c r="D243" i="6"/>
  <c r="D245" i="6"/>
  <c r="D263" i="6" s="1"/>
  <c r="D281" i="6" s="1"/>
  <c r="D246" i="6"/>
  <c r="D264" i="6" s="1"/>
  <c r="D282" i="6" s="1"/>
  <c r="D247" i="6"/>
  <c r="C15" i="14"/>
  <c r="D15" i="14"/>
  <c r="D17" i="14" s="1"/>
  <c r="E15" i="14"/>
  <c r="D19" i="15"/>
  <c r="F5" i="18"/>
  <c r="B21" i="13" s="1"/>
  <c r="F7" i="18"/>
  <c r="B53" i="13" s="1"/>
  <c r="E243" i="6"/>
  <c r="E246" i="6"/>
  <c r="E264" i="6" s="1"/>
  <c r="E282" i="6" s="1"/>
  <c r="E247" i="6"/>
  <c r="F247" i="6" s="1"/>
  <c r="G5" i="18"/>
  <c r="B22" i="13"/>
  <c r="G7" i="18"/>
  <c r="B54" i="13" s="1"/>
  <c r="C251" i="6"/>
  <c r="C269" i="6" s="1"/>
  <c r="C253" i="6"/>
  <c r="C271" i="6"/>
  <c r="B171" i="17"/>
  <c r="B105" i="17"/>
  <c r="C405" i="6"/>
  <c r="B133" i="17" s="1"/>
  <c r="D352" i="6"/>
  <c r="E352" i="6"/>
  <c r="F352" i="6"/>
  <c r="F370" i="6"/>
  <c r="F198" i="15" s="1"/>
  <c r="G370" i="6"/>
  <c r="C352" i="6"/>
  <c r="C10" i="8"/>
  <c r="C29" i="20"/>
  <c r="C12" i="8"/>
  <c r="C31" i="20" s="1"/>
  <c r="E395" i="6"/>
  <c r="C360" i="6"/>
  <c r="C114" i="15" s="1"/>
  <c r="C116" i="15" s="1"/>
  <c r="C124" i="15"/>
  <c r="D356" i="6"/>
  <c r="D360" i="6"/>
  <c r="D114" i="15"/>
  <c r="D116" i="15" s="1"/>
  <c r="D364" i="6"/>
  <c r="E356" i="6"/>
  <c r="E107" i="15" s="1"/>
  <c r="E360" i="6"/>
  <c r="E114" i="15" s="1"/>
  <c r="E116" i="15" s="1"/>
  <c r="E364" i="6"/>
  <c r="E124" i="15" s="1"/>
  <c r="F101" i="15"/>
  <c r="F356" i="6"/>
  <c r="F364" i="6"/>
  <c r="F124" i="15" s="1"/>
  <c r="G356" i="6"/>
  <c r="G101" i="15"/>
  <c r="G364" i="6"/>
  <c r="G124" i="15" s="1"/>
  <c r="C308" i="6"/>
  <c r="C110" i="14"/>
  <c r="D308" i="6"/>
  <c r="D110" i="14" s="1"/>
  <c r="D119" i="14"/>
  <c r="E308" i="6"/>
  <c r="E119" i="14"/>
  <c r="F308" i="6"/>
  <c r="L308" i="6"/>
  <c r="L110" i="14" s="1"/>
  <c r="E396" i="6"/>
  <c r="C252" i="6"/>
  <c r="C254" i="6"/>
  <c r="C255" i="6"/>
  <c r="B67" i="17"/>
  <c r="C67" i="17"/>
  <c r="L111" i="28" s="1"/>
  <c r="E228" i="6"/>
  <c r="B70" i="17" s="1"/>
  <c r="C257" i="6"/>
  <c r="C258" i="6"/>
  <c r="C276" i="6" s="1"/>
  <c r="C259" i="6"/>
  <c r="C260" i="6"/>
  <c r="C278" i="6" s="1"/>
  <c r="C261" i="6"/>
  <c r="C279" i="6" s="1"/>
  <c r="C263" i="6"/>
  <c r="C281" i="6" s="1"/>
  <c r="C264" i="6"/>
  <c r="C282" i="6" s="1"/>
  <c r="C265" i="6"/>
  <c r="C283" i="6" s="1"/>
  <c r="C266" i="6"/>
  <c r="C312" i="6"/>
  <c r="D312" i="6"/>
  <c r="D116" i="14" s="1"/>
  <c r="E312" i="6"/>
  <c r="F312" i="6"/>
  <c r="F116" i="14"/>
  <c r="F395" i="6"/>
  <c r="F396" i="6"/>
  <c r="D252" i="6"/>
  <c r="D257" i="6"/>
  <c r="D259" i="6"/>
  <c r="D277" i="6" s="1"/>
  <c r="D260" i="6"/>
  <c r="D278" i="6" s="1"/>
  <c r="D261" i="6"/>
  <c r="D279" i="6" s="1"/>
  <c r="D265" i="6"/>
  <c r="D283" i="6" s="1"/>
  <c r="C13" i="12"/>
  <c r="D13" i="12"/>
  <c r="G13" i="12" s="1"/>
  <c r="C14" i="12"/>
  <c r="D14" i="12"/>
  <c r="B4" i="13"/>
  <c r="E13" i="12"/>
  <c r="E14" i="12"/>
  <c r="H14" i="12" s="1"/>
  <c r="B36" i="13"/>
  <c r="F8" i="17"/>
  <c r="F9" i="17"/>
  <c r="B4" i="17"/>
  <c r="C4" i="17"/>
  <c r="C14" i="15"/>
  <c r="C15" i="15"/>
  <c r="A30" i="15"/>
  <c r="B30" i="15"/>
  <c r="C30" i="15"/>
  <c r="D14" i="15"/>
  <c r="D15" i="15"/>
  <c r="E14" i="15"/>
  <c r="E15" i="15"/>
  <c r="F14" i="15"/>
  <c r="F15" i="15"/>
  <c r="G14" i="15"/>
  <c r="G16" i="15" s="1"/>
  <c r="G15" i="15"/>
  <c r="C12" i="14"/>
  <c r="C13" i="14"/>
  <c r="D12" i="14"/>
  <c r="D13" i="14"/>
  <c r="E12" i="14"/>
  <c r="E13" i="14"/>
  <c r="F12" i="14"/>
  <c r="F13" i="14"/>
  <c r="G12" i="14"/>
  <c r="G13" i="14"/>
  <c r="H12" i="14"/>
  <c r="H13" i="14"/>
  <c r="I12" i="14"/>
  <c r="I13" i="14"/>
  <c r="J12" i="14"/>
  <c r="J14" i="14" s="1"/>
  <c r="J13" i="14"/>
  <c r="K12" i="14"/>
  <c r="K13" i="14"/>
  <c r="L12" i="14"/>
  <c r="L13" i="14"/>
  <c r="G9" i="14"/>
  <c r="H9" i="14"/>
  <c r="I9" i="14"/>
  <c r="J9" i="14"/>
  <c r="K9" i="14"/>
  <c r="C42" i="18"/>
  <c r="C32" i="16"/>
  <c r="C48" i="18" s="1"/>
  <c r="C39" i="25" s="1"/>
  <c r="B9" i="8"/>
  <c r="B28" i="20" s="1"/>
  <c r="B11" i="8"/>
  <c r="B30" i="20" s="1"/>
  <c r="C102" i="7"/>
  <c r="C103" i="7"/>
  <c r="C104" i="7"/>
  <c r="C106" i="7"/>
  <c r="C107" i="7"/>
  <c r="C108" i="7"/>
  <c r="C109" i="7"/>
  <c r="C110" i="7"/>
  <c r="C111" i="7"/>
  <c r="C112" i="7"/>
  <c r="C113" i="7"/>
  <c r="C115" i="7"/>
  <c r="C116" i="7"/>
  <c r="C114" i="7" s="1"/>
  <c r="X43" i="7"/>
  <c r="Y43" i="7" s="1"/>
  <c r="V43" i="7"/>
  <c r="W43" i="7"/>
  <c r="T43" i="7"/>
  <c r="R43" i="7"/>
  <c r="P43" i="7"/>
  <c r="Q43" i="7"/>
  <c r="N43" i="7"/>
  <c r="L43" i="7"/>
  <c r="J43" i="7"/>
  <c r="H43" i="7"/>
  <c r="I43" i="7" s="1"/>
  <c r="F43" i="7"/>
  <c r="G43" i="7" s="1"/>
  <c r="D43" i="7"/>
  <c r="X44" i="7"/>
  <c r="V44" i="7"/>
  <c r="W44" i="7" s="1"/>
  <c r="T44" i="7"/>
  <c r="R44" i="7"/>
  <c r="P44" i="7"/>
  <c r="P42" i="7" s="1"/>
  <c r="N44" i="7"/>
  <c r="O44" i="7" s="1"/>
  <c r="L44" i="7"/>
  <c r="J44" i="7"/>
  <c r="K44" i="7" s="1"/>
  <c r="H44" i="7"/>
  <c r="F44" i="7"/>
  <c r="D44" i="7"/>
  <c r="E44" i="7" s="1"/>
  <c r="B44" i="7"/>
  <c r="C44" i="7" s="1"/>
  <c r="X32" i="7"/>
  <c r="Y32" i="7" s="1"/>
  <c r="V32" i="7"/>
  <c r="T32" i="7"/>
  <c r="U32" i="7" s="1"/>
  <c r="R32" i="7"/>
  <c r="P32" i="7"/>
  <c r="Q32" i="7" s="1"/>
  <c r="N32" i="7"/>
  <c r="L32" i="7"/>
  <c r="M32" i="7" s="1"/>
  <c r="J32" i="7"/>
  <c r="K32" i="7" s="1"/>
  <c r="H32" i="7"/>
  <c r="F32" i="7"/>
  <c r="D32" i="7"/>
  <c r="E32" i="7" s="1"/>
  <c r="B32" i="7"/>
  <c r="X33" i="7"/>
  <c r="V33" i="7"/>
  <c r="T33" i="7"/>
  <c r="U33" i="7" s="1"/>
  <c r="R33" i="7"/>
  <c r="S33" i="7"/>
  <c r="P33" i="7"/>
  <c r="Q33" i="7" s="1"/>
  <c r="N33" i="7"/>
  <c r="O33" i="7" s="1"/>
  <c r="L33" i="7"/>
  <c r="M33" i="7" s="1"/>
  <c r="J33" i="7"/>
  <c r="K33" i="7" s="1"/>
  <c r="H33" i="7"/>
  <c r="I33" i="7" s="1"/>
  <c r="F33" i="7"/>
  <c r="G33" i="7" s="1"/>
  <c r="D33" i="7"/>
  <c r="E33" i="7" s="1"/>
  <c r="X34" i="7"/>
  <c r="V34" i="7"/>
  <c r="W34" i="7" s="1"/>
  <c r="T34" i="7"/>
  <c r="R34" i="7"/>
  <c r="S34" i="7" s="1"/>
  <c r="P34" i="7"/>
  <c r="N34" i="7"/>
  <c r="O34" i="7" s="1"/>
  <c r="L34" i="7"/>
  <c r="J34" i="7"/>
  <c r="K34" i="7" s="1"/>
  <c r="H34" i="7"/>
  <c r="I34" i="7" s="1"/>
  <c r="F34" i="7"/>
  <c r="G34" i="7" s="1"/>
  <c r="D34" i="7"/>
  <c r="B34" i="7"/>
  <c r="C34" i="7" s="1"/>
  <c r="X36" i="7"/>
  <c r="V36" i="7"/>
  <c r="T36" i="7"/>
  <c r="U36" i="7"/>
  <c r="R36" i="7"/>
  <c r="P36" i="7"/>
  <c r="N36" i="7"/>
  <c r="O36" i="7"/>
  <c r="L36" i="7"/>
  <c r="M36" i="7" s="1"/>
  <c r="J36" i="7"/>
  <c r="H36" i="7"/>
  <c r="F36" i="7"/>
  <c r="D36" i="7"/>
  <c r="B36" i="7"/>
  <c r="X37" i="7"/>
  <c r="Y37" i="7" s="1"/>
  <c r="V37" i="7"/>
  <c r="W37" i="7" s="1"/>
  <c r="T37" i="7"/>
  <c r="R37" i="7"/>
  <c r="P37" i="7"/>
  <c r="N37" i="7"/>
  <c r="L37" i="7"/>
  <c r="J37" i="7"/>
  <c r="K37" i="7" s="1"/>
  <c r="H37" i="7"/>
  <c r="I37" i="7" s="1"/>
  <c r="F37" i="7"/>
  <c r="G37" i="7" s="1"/>
  <c r="D37" i="7"/>
  <c r="E37" i="7" s="1"/>
  <c r="B37" i="7"/>
  <c r="C37" i="7" s="1"/>
  <c r="X38" i="7"/>
  <c r="Y38" i="7" s="1"/>
  <c r="V38" i="7"/>
  <c r="W38" i="7" s="1"/>
  <c r="T38" i="7"/>
  <c r="R38" i="7"/>
  <c r="S38" i="7" s="1"/>
  <c r="P38" i="7"/>
  <c r="Q38" i="7" s="1"/>
  <c r="N38" i="7"/>
  <c r="L38" i="7"/>
  <c r="J38" i="7"/>
  <c r="K38" i="7" s="1"/>
  <c r="H38" i="7"/>
  <c r="I38" i="7" s="1"/>
  <c r="F38" i="7"/>
  <c r="G38" i="7"/>
  <c r="D38" i="7"/>
  <c r="E38" i="7" s="1"/>
  <c r="X39" i="7"/>
  <c r="Y39" i="7" s="1"/>
  <c r="V39" i="7"/>
  <c r="W39" i="7" s="1"/>
  <c r="T39" i="7"/>
  <c r="R39" i="7"/>
  <c r="S39" i="7" s="1"/>
  <c r="P39" i="7"/>
  <c r="N39" i="7"/>
  <c r="L39" i="7"/>
  <c r="M39" i="7" s="1"/>
  <c r="J39" i="7"/>
  <c r="H39" i="7"/>
  <c r="F39" i="7"/>
  <c r="G39" i="7" s="1"/>
  <c r="D39" i="7"/>
  <c r="E39" i="7" s="1"/>
  <c r="B39" i="7"/>
  <c r="C39" i="7" s="1"/>
  <c r="X40" i="7"/>
  <c r="V40" i="7"/>
  <c r="T40" i="7"/>
  <c r="U40" i="7" s="1"/>
  <c r="R40" i="7"/>
  <c r="S40" i="7" s="1"/>
  <c r="P40" i="7"/>
  <c r="Q40" i="7" s="1"/>
  <c r="N40" i="7"/>
  <c r="O40" i="7" s="1"/>
  <c r="L40" i="7"/>
  <c r="M40" i="7" s="1"/>
  <c r="J40" i="7"/>
  <c r="K40" i="7" s="1"/>
  <c r="H40" i="7"/>
  <c r="I40" i="7" s="1"/>
  <c r="F40" i="7"/>
  <c r="D40" i="7"/>
  <c r="E40" i="7" s="1"/>
  <c r="X41" i="7"/>
  <c r="Y41" i="7"/>
  <c r="V41" i="7"/>
  <c r="T41" i="7"/>
  <c r="U41" i="7" s="1"/>
  <c r="R41" i="7"/>
  <c r="S41" i="7" s="1"/>
  <c r="P41" i="7"/>
  <c r="Q41" i="7" s="1"/>
  <c r="N41" i="7"/>
  <c r="O41" i="7" s="1"/>
  <c r="L41" i="7"/>
  <c r="M41" i="7" s="1"/>
  <c r="J41" i="7"/>
  <c r="K41" i="7" s="1"/>
  <c r="H41" i="7"/>
  <c r="I41" i="7" s="1"/>
  <c r="F41" i="7"/>
  <c r="G41" i="7" s="1"/>
  <c r="D41" i="7"/>
  <c r="B41" i="7"/>
  <c r="C41" i="7" s="1"/>
  <c r="X28" i="7"/>
  <c r="V28" i="7"/>
  <c r="W28" i="7" s="1"/>
  <c r="T28" i="7"/>
  <c r="R28" i="7"/>
  <c r="S28" i="7"/>
  <c r="P28" i="7"/>
  <c r="N28" i="7"/>
  <c r="O28" i="7" s="1"/>
  <c r="L28" i="7"/>
  <c r="J28" i="7"/>
  <c r="K28" i="7" s="1"/>
  <c r="H28" i="7"/>
  <c r="I28" i="7"/>
  <c r="F28" i="7"/>
  <c r="G28" i="7" s="1"/>
  <c r="D28" i="7"/>
  <c r="B28" i="7"/>
  <c r="C28" i="7" s="1"/>
  <c r="X29" i="7"/>
  <c r="V29" i="7"/>
  <c r="T29" i="7"/>
  <c r="U29" i="7" s="1"/>
  <c r="R29" i="7"/>
  <c r="S29" i="7" s="1"/>
  <c r="S27" i="7" s="1"/>
  <c r="P29" i="7"/>
  <c r="Q29" i="7"/>
  <c r="N29" i="7"/>
  <c r="L29" i="7"/>
  <c r="M29" i="7" s="1"/>
  <c r="J29" i="7"/>
  <c r="K29" i="7"/>
  <c r="H29" i="7"/>
  <c r="I29" i="7" s="1"/>
  <c r="F29" i="7"/>
  <c r="D29" i="7"/>
  <c r="X30" i="7"/>
  <c r="Y30" i="7" s="1"/>
  <c r="V30" i="7"/>
  <c r="T30" i="7"/>
  <c r="U30" i="7" s="1"/>
  <c r="R30" i="7"/>
  <c r="P30" i="7"/>
  <c r="Q30" i="7" s="1"/>
  <c r="N30" i="7"/>
  <c r="L30" i="7"/>
  <c r="J30" i="7"/>
  <c r="K30" i="7" s="1"/>
  <c r="H30" i="7"/>
  <c r="F30" i="7"/>
  <c r="G30" i="7" s="1"/>
  <c r="D30" i="7"/>
  <c r="E30" i="7" s="1"/>
  <c r="B30" i="7"/>
  <c r="B5" i="13"/>
  <c r="B37" i="13"/>
  <c r="C16" i="14"/>
  <c r="D16" i="14"/>
  <c r="E16" i="14"/>
  <c r="E17" i="14" s="1"/>
  <c r="G15" i="14"/>
  <c r="G17" i="14" s="1"/>
  <c r="G16" i="14"/>
  <c r="H15" i="14"/>
  <c r="H16" i="14"/>
  <c r="I15" i="14"/>
  <c r="I16" i="14"/>
  <c r="J15" i="14"/>
  <c r="J16" i="14"/>
  <c r="K15" i="14"/>
  <c r="K16" i="14"/>
  <c r="L15" i="14"/>
  <c r="L16" i="14"/>
  <c r="B6" i="13"/>
  <c r="B38" i="13"/>
  <c r="C66" i="18"/>
  <c r="D66" i="18" s="1"/>
  <c r="C7" i="11"/>
  <c r="D7" i="11" s="1"/>
  <c r="D6" i="11"/>
  <c r="C4" i="11"/>
  <c r="C9" i="9"/>
  <c r="C11" i="9"/>
  <c r="AS11" i="9" s="1"/>
  <c r="B7" i="13"/>
  <c r="B39" i="13"/>
  <c r="C67" i="18"/>
  <c r="F6" i="17"/>
  <c r="F68" i="17"/>
  <c r="F134" i="17" s="1"/>
  <c r="H5" i="18"/>
  <c r="B23" i="13" s="1"/>
  <c r="B8" i="13"/>
  <c r="H7" i="18"/>
  <c r="B55" i="13"/>
  <c r="B40" i="13"/>
  <c r="I5" i="18"/>
  <c r="B9" i="13"/>
  <c r="I7" i="18"/>
  <c r="B41" i="13"/>
  <c r="J5" i="18"/>
  <c r="B25" i="13" s="1"/>
  <c r="B10" i="13"/>
  <c r="J7" i="18"/>
  <c r="B57" i="13" s="1"/>
  <c r="B42" i="13"/>
  <c r="K5" i="18"/>
  <c r="B26" i="13" s="1"/>
  <c r="B11" i="13"/>
  <c r="K7" i="18"/>
  <c r="B58" i="13" s="1"/>
  <c r="B43" i="13"/>
  <c r="L5" i="18"/>
  <c r="B27" i="13" s="1"/>
  <c r="B12" i="13"/>
  <c r="L7" i="18"/>
  <c r="B59" i="13" s="1"/>
  <c r="B44" i="13"/>
  <c r="M5" i="18"/>
  <c r="B28" i="13" s="1"/>
  <c r="B13" i="13"/>
  <c r="M7" i="18"/>
  <c r="B60" i="13" s="1"/>
  <c r="B45" i="13"/>
  <c r="N5" i="18"/>
  <c r="B29" i="13" s="1"/>
  <c r="B14" i="13"/>
  <c r="N7" i="18"/>
  <c r="B61" i="13" s="1"/>
  <c r="B46" i="13"/>
  <c r="O5" i="18"/>
  <c r="B30" i="13"/>
  <c r="B15" i="13"/>
  <c r="O7" i="18"/>
  <c r="B62" i="13" s="1"/>
  <c r="B47" i="13"/>
  <c r="B10" i="17"/>
  <c r="G395" i="6"/>
  <c r="F91" i="18" s="1"/>
  <c r="B87" i="13" s="1"/>
  <c r="G396" i="6"/>
  <c r="E252" i="6"/>
  <c r="E270" i="6" s="1"/>
  <c r="E265" i="6"/>
  <c r="E283" i="6" s="1"/>
  <c r="H395" i="6"/>
  <c r="H396" i="6"/>
  <c r="C8" i="8"/>
  <c r="C9" i="8"/>
  <c r="C28" i="20" s="1"/>
  <c r="C11" i="8"/>
  <c r="C30" i="20" s="1"/>
  <c r="G102" i="7"/>
  <c r="G103" i="7"/>
  <c r="G104" i="7"/>
  <c r="G106" i="7"/>
  <c r="G105" i="7" s="1"/>
  <c r="G107" i="7"/>
  <c r="G108" i="7"/>
  <c r="G109" i="7"/>
  <c r="G110" i="7"/>
  <c r="G111" i="7"/>
  <c r="G112" i="7"/>
  <c r="G113" i="7"/>
  <c r="G115" i="7"/>
  <c r="G114" i="7" s="1"/>
  <c r="G153" i="7" s="1"/>
  <c r="G116" i="7"/>
  <c r="X68" i="7"/>
  <c r="V68" i="7"/>
  <c r="W68" i="7" s="1"/>
  <c r="T68" i="7"/>
  <c r="U68" i="7" s="1"/>
  <c r="R68" i="7"/>
  <c r="S68" i="7" s="1"/>
  <c r="P68" i="7"/>
  <c r="N68" i="7"/>
  <c r="L68" i="7"/>
  <c r="J68" i="7"/>
  <c r="H68" i="7"/>
  <c r="F68" i="7"/>
  <c r="D68" i="7"/>
  <c r="B68" i="7"/>
  <c r="X69" i="7"/>
  <c r="Y69" i="7" s="1"/>
  <c r="V69" i="7"/>
  <c r="W69" i="7"/>
  <c r="T69" i="7"/>
  <c r="U69" i="7" s="1"/>
  <c r="R69" i="7"/>
  <c r="P69" i="7"/>
  <c r="N69" i="7"/>
  <c r="O69" i="7" s="1"/>
  <c r="L69" i="7"/>
  <c r="M69" i="7" s="1"/>
  <c r="J69" i="7"/>
  <c r="H69" i="7"/>
  <c r="I69" i="7" s="1"/>
  <c r="F69" i="7"/>
  <c r="D69" i="7"/>
  <c r="B69" i="7"/>
  <c r="C69" i="7" s="1"/>
  <c r="X57" i="7"/>
  <c r="Y57" i="7" s="1"/>
  <c r="V57" i="7"/>
  <c r="T57" i="7"/>
  <c r="U57" i="7" s="1"/>
  <c r="R57" i="7"/>
  <c r="S57" i="7" s="1"/>
  <c r="P57" i="7"/>
  <c r="Q57" i="7" s="1"/>
  <c r="N57" i="7"/>
  <c r="L57" i="7"/>
  <c r="M57" i="7" s="1"/>
  <c r="J57" i="7"/>
  <c r="K57" i="7" s="1"/>
  <c r="H57" i="7"/>
  <c r="F57" i="7"/>
  <c r="G57" i="7" s="1"/>
  <c r="D57" i="7"/>
  <c r="E57" i="7" s="1"/>
  <c r="B57" i="7"/>
  <c r="C57" i="7" s="1"/>
  <c r="X58" i="7"/>
  <c r="V58" i="7"/>
  <c r="T58" i="7"/>
  <c r="U58" i="7" s="1"/>
  <c r="R58" i="7"/>
  <c r="P58" i="7"/>
  <c r="Q58" i="7" s="1"/>
  <c r="N58" i="7"/>
  <c r="O58" i="7" s="1"/>
  <c r="L58" i="7"/>
  <c r="M58" i="7" s="1"/>
  <c r="J58" i="7"/>
  <c r="K58" i="7"/>
  <c r="H58" i="7"/>
  <c r="I58" i="7" s="1"/>
  <c r="F58" i="7"/>
  <c r="G58" i="7" s="1"/>
  <c r="D58" i="7"/>
  <c r="B58" i="7"/>
  <c r="C58" i="7"/>
  <c r="X59" i="7"/>
  <c r="Y59" i="7" s="1"/>
  <c r="V59" i="7"/>
  <c r="T59" i="7"/>
  <c r="U59" i="7"/>
  <c r="R59" i="7"/>
  <c r="P59" i="7"/>
  <c r="N59" i="7"/>
  <c r="L59" i="7"/>
  <c r="M59" i="7" s="1"/>
  <c r="J59" i="7"/>
  <c r="K59" i="7" s="1"/>
  <c r="H59" i="7"/>
  <c r="F59" i="7"/>
  <c r="G59" i="7" s="1"/>
  <c r="D59" i="7"/>
  <c r="B59" i="7"/>
  <c r="C59" i="7" s="1"/>
  <c r="X61" i="7"/>
  <c r="X62" i="7"/>
  <c r="Y62" i="7" s="1"/>
  <c r="V61" i="7"/>
  <c r="V62" i="7"/>
  <c r="W62" i="7" s="1"/>
  <c r="T61" i="7"/>
  <c r="T62" i="7"/>
  <c r="U62" i="7" s="1"/>
  <c r="R61" i="7"/>
  <c r="R62" i="7"/>
  <c r="P61" i="7"/>
  <c r="P62" i="7"/>
  <c r="Q62" i="7" s="1"/>
  <c r="N61" i="7"/>
  <c r="O61" i="7" s="1"/>
  <c r="N62" i="7"/>
  <c r="O62" i="7" s="1"/>
  <c r="L61" i="7"/>
  <c r="M61" i="7" s="1"/>
  <c r="L62" i="7"/>
  <c r="J61" i="7"/>
  <c r="J62" i="7"/>
  <c r="K62" i="7" s="1"/>
  <c r="H61" i="7"/>
  <c r="H62" i="7"/>
  <c r="I62" i="7" s="1"/>
  <c r="F61" i="7"/>
  <c r="G61" i="7" s="1"/>
  <c r="F62" i="7"/>
  <c r="G62" i="7" s="1"/>
  <c r="D61" i="7"/>
  <c r="D62" i="7"/>
  <c r="E62" i="7" s="1"/>
  <c r="B61" i="7"/>
  <c r="B62" i="7"/>
  <c r="X63" i="7"/>
  <c r="V63" i="7"/>
  <c r="W63" i="7" s="1"/>
  <c r="T63" i="7"/>
  <c r="R63" i="7"/>
  <c r="S63" i="7" s="1"/>
  <c r="P63" i="7"/>
  <c r="Q63" i="7" s="1"/>
  <c r="N63" i="7"/>
  <c r="O63" i="7" s="1"/>
  <c r="L63" i="7"/>
  <c r="M63" i="7" s="1"/>
  <c r="J63" i="7"/>
  <c r="K63" i="7" s="1"/>
  <c r="H63" i="7"/>
  <c r="I63" i="7" s="1"/>
  <c r="F63" i="7"/>
  <c r="G63" i="7" s="1"/>
  <c r="D63" i="7"/>
  <c r="E63" i="7" s="1"/>
  <c r="B63" i="7"/>
  <c r="X64" i="7"/>
  <c r="Y64" i="7" s="1"/>
  <c r="V64" i="7"/>
  <c r="W64" i="7" s="1"/>
  <c r="T64" i="7"/>
  <c r="U64" i="7" s="1"/>
  <c r="R64" i="7"/>
  <c r="P64" i="7"/>
  <c r="Q64" i="7" s="1"/>
  <c r="N64" i="7"/>
  <c r="O64" i="7" s="1"/>
  <c r="L64" i="7"/>
  <c r="M64" i="7" s="1"/>
  <c r="J64" i="7"/>
  <c r="K64" i="7" s="1"/>
  <c r="H64" i="7"/>
  <c r="F64" i="7"/>
  <c r="G64" i="7" s="1"/>
  <c r="D64" i="7"/>
  <c r="E64" i="7" s="1"/>
  <c r="B64" i="7"/>
  <c r="X65" i="7"/>
  <c r="Y65" i="7" s="1"/>
  <c r="V65" i="7"/>
  <c r="W65" i="7" s="1"/>
  <c r="T65" i="7"/>
  <c r="U65" i="7" s="1"/>
  <c r="R65" i="7"/>
  <c r="S65" i="7" s="1"/>
  <c r="P65" i="7"/>
  <c r="Q65" i="7" s="1"/>
  <c r="N65" i="7"/>
  <c r="O65" i="7"/>
  <c r="AA65" i="7" s="1"/>
  <c r="L65" i="7"/>
  <c r="J65" i="7"/>
  <c r="K65" i="7" s="1"/>
  <c r="H65" i="7"/>
  <c r="I65" i="7" s="1"/>
  <c r="F65" i="7"/>
  <c r="G65" i="7" s="1"/>
  <c r="D65" i="7"/>
  <c r="E65" i="7" s="1"/>
  <c r="B65" i="7"/>
  <c r="C65" i="7"/>
  <c r="X66" i="7"/>
  <c r="Y66" i="7" s="1"/>
  <c r="V66" i="7"/>
  <c r="T66" i="7"/>
  <c r="U66" i="7"/>
  <c r="R66" i="7"/>
  <c r="S66" i="7" s="1"/>
  <c r="P66" i="7"/>
  <c r="Q66" i="7"/>
  <c r="N66" i="7"/>
  <c r="O66" i="7" s="1"/>
  <c r="L66" i="7"/>
  <c r="M66" i="7" s="1"/>
  <c r="J66" i="7"/>
  <c r="K66" i="7" s="1"/>
  <c r="H66" i="7"/>
  <c r="I66" i="7" s="1"/>
  <c r="F66" i="7"/>
  <c r="G66" i="7" s="1"/>
  <c r="D66" i="7"/>
  <c r="B66" i="7"/>
  <c r="C66" i="7" s="1"/>
  <c r="X53" i="7"/>
  <c r="V53" i="7"/>
  <c r="T53" i="7"/>
  <c r="U53" i="7"/>
  <c r="R53" i="7"/>
  <c r="S53" i="7" s="1"/>
  <c r="P53" i="7"/>
  <c r="Q53" i="7" s="1"/>
  <c r="N53" i="7"/>
  <c r="L53" i="7"/>
  <c r="J53" i="7"/>
  <c r="H53" i="7"/>
  <c r="F53" i="7"/>
  <c r="D53" i="7"/>
  <c r="B53" i="7"/>
  <c r="X54" i="7"/>
  <c r="V54" i="7"/>
  <c r="W54" i="7" s="1"/>
  <c r="T54" i="7"/>
  <c r="U54" i="7" s="1"/>
  <c r="R54" i="7"/>
  <c r="P54" i="7"/>
  <c r="N54" i="7"/>
  <c r="O54" i="7"/>
  <c r="L54" i="7"/>
  <c r="M54" i="7" s="1"/>
  <c r="J54" i="7"/>
  <c r="H54" i="7"/>
  <c r="F54" i="7"/>
  <c r="G54" i="7" s="1"/>
  <c r="D54" i="7"/>
  <c r="B54" i="7"/>
  <c r="C54" i="7" s="1"/>
  <c r="X55" i="7"/>
  <c r="Y55" i="7" s="1"/>
  <c r="V55" i="7"/>
  <c r="W55" i="7" s="1"/>
  <c r="T55" i="7"/>
  <c r="U55" i="7" s="1"/>
  <c r="R55" i="7"/>
  <c r="P55" i="7"/>
  <c r="Q55" i="7" s="1"/>
  <c r="N55" i="7"/>
  <c r="O55" i="7" s="1"/>
  <c r="L55" i="7"/>
  <c r="M55" i="7"/>
  <c r="J55" i="7"/>
  <c r="K55" i="7" s="1"/>
  <c r="H55" i="7"/>
  <c r="I55" i="7" s="1"/>
  <c r="F55" i="7"/>
  <c r="D55" i="7"/>
  <c r="E55" i="7"/>
  <c r="B55" i="7"/>
  <c r="C55" i="7" s="1"/>
  <c r="B70" i="13"/>
  <c r="B102" i="13"/>
  <c r="F70" i="17"/>
  <c r="A127" i="15"/>
  <c r="B127" i="15"/>
  <c r="C127" i="15"/>
  <c r="L4" i="11"/>
  <c r="L7" i="11"/>
  <c r="M7" i="11" s="1"/>
  <c r="B71" i="13"/>
  <c r="B103" i="13"/>
  <c r="B72" i="13"/>
  <c r="B104" i="13"/>
  <c r="B73" i="13"/>
  <c r="B105" i="13"/>
  <c r="C152" i="18"/>
  <c r="B74" i="13"/>
  <c r="B106" i="13"/>
  <c r="B75" i="13"/>
  <c r="B107" i="13"/>
  <c r="B76" i="13"/>
  <c r="B108" i="13"/>
  <c r="B77" i="13"/>
  <c r="B109" i="13"/>
  <c r="B78" i="13"/>
  <c r="B110" i="13"/>
  <c r="B79" i="13"/>
  <c r="B111" i="13"/>
  <c r="B80" i="13"/>
  <c r="B112" i="13"/>
  <c r="B81" i="13"/>
  <c r="B113" i="13"/>
  <c r="D10" i="8"/>
  <c r="U4" i="11"/>
  <c r="U7" i="11"/>
  <c r="V7" i="11"/>
  <c r="B168" i="13"/>
  <c r="D405" i="6"/>
  <c r="C133" i="17" s="1"/>
  <c r="G228" i="6"/>
  <c r="B136" i="17" s="1"/>
  <c r="C270" i="6"/>
  <c r="C273" i="6"/>
  <c r="C275" i="6"/>
  <c r="C277" i="6"/>
  <c r="C284" i="6"/>
  <c r="C211" i="15"/>
  <c r="C213" i="15" s="1"/>
  <c r="A224" i="15"/>
  <c r="B224" i="15"/>
  <c r="C224" i="15"/>
  <c r="D378" i="6"/>
  <c r="D211" i="15" s="1"/>
  <c r="E374" i="6"/>
  <c r="E204" i="15" s="1"/>
  <c r="E378" i="6"/>
  <c r="E211" i="15" s="1"/>
  <c r="E213" i="15" s="1"/>
  <c r="G198" i="15"/>
  <c r="G382" i="6"/>
  <c r="G221" i="15" s="1"/>
  <c r="C321" i="6"/>
  <c r="C211" i="14" s="1"/>
  <c r="D321" i="6"/>
  <c r="D211" i="14" s="1"/>
  <c r="D220" i="14"/>
  <c r="L321" i="6"/>
  <c r="L211" i="14" s="1"/>
  <c r="B136" i="13"/>
  <c r="H9" i="17"/>
  <c r="D8" i="8"/>
  <c r="D27" i="20" s="1"/>
  <c r="D12" i="8"/>
  <c r="D31" i="20" s="1"/>
  <c r="D9" i="8"/>
  <c r="D28" i="20" s="1"/>
  <c r="D11" i="8"/>
  <c r="D30" i="20" s="1"/>
  <c r="K102" i="7"/>
  <c r="K103" i="7"/>
  <c r="K104" i="7"/>
  <c r="K106" i="7"/>
  <c r="K107" i="7"/>
  <c r="K108" i="7"/>
  <c r="K109" i="7"/>
  <c r="K110" i="7"/>
  <c r="K111" i="7"/>
  <c r="K112" i="7"/>
  <c r="K113" i="7"/>
  <c r="K115" i="7"/>
  <c r="K116" i="7"/>
  <c r="X93" i="7"/>
  <c r="V93" i="7"/>
  <c r="R93" i="7"/>
  <c r="S93" i="7" s="1"/>
  <c r="P93" i="7"/>
  <c r="N93" i="7"/>
  <c r="L93" i="7"/>
  <c r="M93" i="7"/>
  <c r="J93" i="7"/>
  <c r="K93" i="7" s="1"/>
  <c r="H93" i="7"/>
  <c r="I93" i="7" s="1"/>
  <c r="F93" i="7"/>
  <c r="D93" i="7"/>
  <c r="E93" i="7" s="1"/>
  <c r="B93" i="7"/>
  <c r="X94" i="7"/>
  <c r="V94" i="7"/>
  <c r="W94" i="7" s="1"/>
  <c r="R94" i="7"/>
  <c r="R92" i="7" s="1"/>
  <c r="P94" i="7"/>
  <c r="Q94" i="7" s="1"/>
  <c r="N94" i="7"/>
  <c r="L94" i="7"/>
  <c r="L92" i="7" s="1"/>
  <c r="J94" i="7"/>
  <c r="K94" i="7" s="1"/>
  <c r="H94" i="7"/>
  <c r="I94" i="7" s="1"/>
  <c r="F94" i="7"/>
  <c r="D94" i="7"/>
  <c r="E94" i="7" s="1"/>
  <c r="B94" i="7"/>
  <c r="X82" i="7"/>
  <c r="V82" i="7"/>
  <c r="R82" i="7"/>
  <c r="P82" i="7"/>
  <c r="Q82" i="7" s="1"/>
  <c r="N82" i="7"/>
  <c r="O82" i="7" s="1"/>
  <c r="L82" i="7"/>
  <c r="M82" i="7" s="1"/>
  <c r="J82" i="7"/>
  <c r="H82" i="7"/>
  <c r="I82" i="7" s="1"/>
  <c r="F82" i="7"/>
  <c r="G82" i="7"/>
  <c r="D82" i="7"/>
  <c r="B82" i="7"/>
  <c r="C82" i="7" s="1"/>
  <c r="X83" i="7"/>
  <c r="Y83" i="7" s="1"/>
  <c r="V83" i="7"/>
  <c r="W83" i="7" s="1"/>
  <c r="R83" i="7"/>
  <c r="S83" i="7" s="1"/>
  <c r="P83" i="7"/>
  <c r="Q83" i="7" s="1"/>
  <c r="N83" i="7"/>
  <c r="O83" i="7" s="1"/>
  <c r="L83" i="7"/>
  <c r="M83" i="7" s="1"/>
  <c r="J83" i="7"/>
  <c r="K83" i="7" s="1"/>
  <c r="H83" i="7"/>
  <c r="I83" i="7" s="1"/>
  <c r="F83" i="7"/>
  <c r="G83" i="7" s="1"/>
  <c r="D83" i="7"/>
  <c r="E83" i="7" s="1"/>
  <c r="B83" i="7"/>
  <c r="C83" i="7" s="1"/>
  <c r="X84" i="7"/>
  <c r="Y84" i="7" s="1"/>
  <c r="V84" i="7"/>
  <c r="W84" i="7"/>
  <c r="R84" i="7"/>
  <c r="S84" i="7" s="1"/>
  <c r="P84" i="7"/>
  <c r="Q84" i="7" s="1"/>
  <c r="N84" i="7"/>
  <c r="L84" i="7"/>
  <c r="M84" i="7" s="1"/>
  <c r="J84" i="7"/>
  <c r="H84" i="7"/>
  <c r="I84" i="7" s="1"/>
  <c r="F84" i="7"/>
  <c r="G84" i="7"/>
  <c r="D84" i="7"/>
  <c r="E84" i="7" s="1"/>
  <c r="B84" i="7"/>
  <c r="C84" i="7" s="1"/>
  <c r="X86" i="7"/>
  <c r="X87" i="7"/>
  <c r="Y87" i="7" s="1"/>
  <c r="V86" i="7"/>
  <c r="V87" i="7"/>
  <c r="R86" i="7"/>
  <c r="R87" i="7"/>
  <c r="S87" i="7" s="1"/>
  <c r="P86" i="7"/>
  <c r="Q86" i="7" s="1"/>
  <c r="P87" i="7"/>
  <c r="Q87" i="7" s="1"/>
  <c r="N86" i="7"/>
  <c r="O86" i="7" s="1"/>
  <c r="N87" i="7"/>
  <c r="O87" i="7" s="1"/>
  <c r="L86" i="7"/>
  <c r="M86" i="7" s="1"/>
  <c r="L87" i="7"/>
  <c r="M87" i="7"/>
  <c r="J86" i="7"/>
  <c r="K86" i="7" s="1"/>
  <c r="J87" i="7"/>
  <c r="K87" i="7"/>
  <c r="H86" i="7"/>
  <c r="I86" i="7" s="1"/>
  <c r="H87" i="7"/>
  <c r="I87" i="7" s="1"/>
  <c r="F86" i="7"/>
  <c r="F87" i="7"/>
  <c r="G87" i="7"/>
  <c r="D86" i="7"/>
  <c r="E86" i="7" s="1"/>
  <c r="D87" i="7"/>
  <c r="E87" i="7"/>
  <c r="B86" i="7"/>
  <c r="B85" i="7" s="1"/>
  <c r="B87" i="7"/>
  <c r="X88" i="7"/>
  <c r="Y88" i="7"/>
  <c r="V88" i="7"/>
  <c r="W88" i="7" s="1"/>
  <c r="R88" i="7"/>
  <c r="S88" i="7" s="1"/>
  <c r="P88" i="7"/>
  <c r="N88" i="7"/>
  <c r="L88" i="7"/>
  <c r="J88" i="7"/>
  <c r="K88" i="7" s="1"/>
  <c r="H88" i="7"/>
  <c r="I88" i="7" s="1"/>
  <c r="F88" i="7"/>
  <c r="D88" i="7"/>
  <c r="E88" i="7" s="1"/>
  <c r="B88" i="7"/>
  <c r="C88" i="7" s="1"/>
  <c r="X89" i="7"/>
  <c r="Y89" i="7" s="1"/>
  <c r="V89" i="7"/>
  <c r="W89" i="7" s="1"/>
  <c r="R89" i="7"/>
  <c r="P89" i="7"/>
  <c r="Q89" i="7" s="1"/>
  <c r="N89" i="7"/>
  <c r="O89" i="7" s="1"/>
  <c r="L89" i="7"/>
  <c r="M89" i="7" s="1"/>
  <c r="J89" i="7"/>
  <c r="K89" i="7" s="1"/>
  <c r="H89" i="7"/>
  <c r="I89" i="7" s="1"/>
  <c r="F89" i="7"/>
  <c r="G89" i="7" s="1"/>
  <c r="D89" i="7"/>
  <c r="B89" i="7"/>
  <c r="C89" i="7" s="1"/>
  <c r="X90" i="7"/>
  <c r="V90" i="7"/>
  <c r="W90" i="7" s="1"/>
  <c r="R90" i="7"/>
  <c r="S90" i="7" s="1"/>
  <c r="P90" i="7"/>
  <c r="Q90" i="7" s="1"/>
  <c r="N90" i="7"/>
  <c r="O90" i="7" s="1"/>
  <c r="L90" i="7"/>
  <c r="M90" i="7" s="1"/>
  <c r="J90" i="7"/>
  <c r="K90" i="7" s="1"/>
  <c r="H90" i="7"/>
  <c r="F90" i="7"/>
  <c r="G90" i="7" s="1"/>
  <c r="D90" i="7"/>
  <c r="E90" i="7" s="1"/>
  <c r="B90" i="7"/>
  <c r="C90" i="7" s="1"/>
  <c r="X91" i="7"/>
  <c r="Y91" i="7" s="1"/>
  <c r="V91" i="7"/>
  <c r="R91" i="7"/>
  <c r="P91" i="7"/>
  <c r="N91" i="7"/>
  <c r="O91" i="7" s="1"/>
  <c r="L91" i="7"/>
  <c r="M91" i="7" s="1"/>
  <c r="J91" i="7"/>
  <c r="H91" i="7"/>
  <c r="I91" i="7" s="1"/>
  <c r="F91" i="7"/>
  <c r="G91" i="7" s="1"/>
  <c r="D91" i="7"/>
  <c r="E91" i="7"/>
  <c r="B91" i="7"/>
  <c r="C91" i="7" s="1"/>
  <c r="X78" i="7"/>
  <c r="Y78" i="7" s="1"/>
  <c r="V78" i="7"/>
  <c r="R78" i="7"/>
  <c r="P78" i="7"/>
  <c r="Q78" i="7" s="1"/>
  <c r="N78" i="7"/>
  <c r="O78" i="7" s="1"/>
  <c r="L78" i="7"/>
  <c r="J78" i="7"/>
  <c r="H78" i="7"/>
  <c r="I78" i="7" s="1"/>
  <c r="F78" i="7"/>
  <c r="D78" i="7"/>
  <c r="E78" i="7" s="1"/>
  <c r="B78" i="7"/>
  <c r="C78" i="7" s="1"/>
  <c r="X79" i="7"/>
  <c r="V79" i="7"/>
  <c r="W79" i="7"/>
  <c r="R79" i="7"/>
  <c r="S79" i="7" s="1"/>
  <c r="P79" i="7"/>
  <c r="N79" i="7"/>
  <c r="L79" i="7"/>
  <c r="M79" i="7" s="1"/>
  <c r="J79" i="7"/>
  <c r="K79" i="7" s="1"/>
  <c r="H79" i="7"/>
  <c r="I79" i="7" s="1"/>
  <c r="F79" i="7"/>
  <c r="G79" i="7"/>
  <c r="D79" i="7"/>
  <c r="E79" i="7" s="1"/>
  <c r="B79" i="7"/>
  <c r="X80" i="7"/>
  <c r="Y80" i="7" s="1"/>
  <c r="V80" i="7"/>
  <c r="W80" i="7" s="1"/>
  <c r="R80" i="7"/>
  <c r="P80" i="7"/>
  <c r="Q80" i="7" s="1"/>
  <c r="N80" i="7"/>
  <c r="L80" i="7"/>
  <c r="M80" i="7" s="1"/>
  <c r="J80" i="7"/>
  <c r="K80" i="7" s="1"/>
  <c r="H80" i="7"/>
  <c r="I80" i="7" s="1"/>
  <c r="F80" i="7"/>
  <c r="G80" i="7" s="1"/>
  <c r="D80" i="7"/>
  <c r="E80" i="7" s="1"/>
  <c r="B80" i="7"/>
  <c r="C80" i="7"/>
  <c r="N22" i="12"/>
  <c r="C5" i="12"/>
  <c r="D5" i="12"/>
  <c r="T22" i="12"/>
  <c r="C6" i="12"/>
  <c r="G6" i="12" s="1"/>
  <c r="D6" i="12"/>
  <c r="Z22" i="12"/>
  <c r="C7" i="12"/>
  <c r="D7" i="12"/>
  <c r="H7" i="12" s="1"/>
  <c r="AF22" i="12"/>
  <c r="C8" i="12"/>
  <c r="D8" i="12"/>
  <c r="AL22" i="12"/>
  <c r="C9" i="12"/>
  <c r="D9" i="12"/>
  <c r="AR22" i="12"/>
  <c r="C10" i="12"/>
  <c r="D10" i="12"/>
  <c r="G10" i="12" s="1"/>
  <c r="AX22" i="12"/>
  <c r="C11" i="12"/>
  <c r="D11" i="12"/>
  <c r="G11" i="12" s="1"/>
  <c r="BD22" i="12"/>
  <c r="C12" i="12"/>
  <c r="D12" i="12"/>
  <c r="B16" i="8"/>
  <c r="C40" i="7"/>
  <c r="C30" i="7"/>
  <c r="E4" i="12"/>
  <c r="E5" i="12"/>
  <c r="E6" i="12"/>
  <c r="E7" i="12"/>
  <c r="E8" i="12"/>
  <c r="E9" i="12"/>
  <c r="E10" i="12"/>
  <c r="E11" i="12"/>
  <c r="E12" i="12"/>
  <c r="B9" i="17"/>
  <c r="E34" i="7"/>
  <c r="E41" i="7"/>
  <c r="E29" i="7"/>
  <c r="G40" i="7"/>
  <c r="I32" i="7"/>
  <c r="I39" i="7"/>
  <c r="I30" i="7"/>
  <c r="F3" i="12"/>
  <c r="F4" i="12"/>
  <c r="F5" i="12"/>
  <c r="F6" i="12"/>
  <c r="F7" i="12"/>
  <c r="F8" i="12"/>
  <c r="F9" i="12"/>
  <c r="F10" i="12"/>
  <c r="F11" i="12"/>
  <c r="F12" i="12"/>
  <c r="F13" i="12"/>
  <c r="F14" i="12"/>
  <c r="I3" i="12"/>
  <c r="I4" i="12"/>
  <c r="K4" i="12" s="1"/>
  <c r="I5" i="12"/>
  <c r="K5" i="12" s="1"/>
  <c r="I6" i="12"/>
  <c r="I7" i="12"/>
  <c r="I8" i="12"/>
  <c r="K8" i="12" s="1"/>
  <c r="I9" i="12"/>
  <c r="K9" i="12" s="1"/>
  <c r="I10" i="12"/>
  <c r="K10" i="12" s="1"/>
  <c r="I11" i="12"/>
  <c r="I12" i="12"/>
  <c r="K12" i="12"/>
  <c r="I13" i="12"/>
  <c r="K13" i="12" s="1"/>
  <c r="I14" i="12"/>
  <c r="K43" i="7"/>
  <c r="K39" i="7"/>
  <c r="M44" i="7"/>
  <c r="M38" i="7"/>
  <c r="M30" i="7"/>
  <c r="Q44" i="7"/>
  <c r="Q39" i="7"/>
  <c r="S44" i="7"/>
  <c r="S30" i="7"/>
  <c r="U38" i="7"/>
  <c r="U28" i="7"/>
  <c r="W40" i="7"/>
  <c r="X42" i="7"/>
  <c r="Y44" i="7"/>
  <c r="Y33" i="7"/>
  <c r="Y34" i="7"/>
  <c r="Y29" i="7"/>
  <c r="C16" i="8"/>
  <c r="C68" i="7"/>
  <c r="M6" i="11"/>
  <c r="E69" i="7"/>
  <c r="E58" i="7"/>
  <c r="E66" i="7"/>
  <c r="E54" i="7"/>
  <c r="G55" i="7"/>
  <c r="K36" i="7"/>
  <c r="S37" i="7"/>
  <c r="Q37" i="7"/>
  <c r="I59" i="7"/>
  <c r="I64" i="7"/>
  <c r="I53" i="7"/>
  <c r="K69" i="7"/>
  <c r="K54" i="7"/>
  <c r="M65" i="7"/>
  <c r="O59" i="7"/>
  <c r="Q69" i="7"/>
  <c r="Q59" i="7"/>
  <c r="S64" i="7"/>
  <c r="S54" i="7"/>
  <c r="U63" i="7"/>
  <c r="W57" i="7"/>
  <c r="W59" i="7"/>
  <c r="Y58" i="7"/>
  <c r="Y54" i="7"/>
  <c r="D16" i="8"/>
  <c r="Y61" i="7"/>
  <c r="U61" i="7"/>
  <c r="I61" i="7"/>
  <c r="M62" i="7"/>
  <c r="C62" i="7"/>
  <c r="V6" i="11"/>
  <c r="B137" i="13"/>
  <c r="F325" i="6"/>
  <c r="F217" i="14" s="1"/>
  <c r="B169" i="13"/>
  <c r="D270" i="6"/>
  <c r="D275" i="6"/>
  <c r="E82" i="7"/>
  <c r="E89" i="7"/>
  <c r="G94" i="7"/>
  <c r="G88" i="7"/>
  <c r="C237" i="18"/>
  <c r="D237" i="18"/>
  <c r="I90" i="7"/>
  <c r="K84" i="7"/>
  <c r="K91" i="7"/>
  <c r="M94" i="7"/>
  <c r="O94" i="7"/>
  <c r="O80" i="7"/>
  <c r="Q88" i="7"/>
  <c r="Q91" i="7"/>
  <c r="S82" i="7"/>
  <c r="S91" i="7"/>
  <c r="T92" i="7"/>
  <c r="U82" i="7"/>
  <c r="U83" i="7"/>
  <c r="U84" i="7"/>
  <c r="U88" i="7"/>
  <c r="U89" i="7"/>
  <c r="U90" i="7"/>
  <c r="U91" i="7"/>
  <c r="U78" i="7"/>
  <c r="U79" i="7"/>
  <c r="U80" i="7"/>
  <c r="W82" i="7"/>
  <c r="W78" i="7"/>
  <c r="W77" i="7" s="1"/>
  <c r="Y93" i="7"/>
  <c r="D146" i="6"/>
  <c r="C151" i="18"/>
  <c r="D151" i="18" s="1"/>
  <c r="D345" i="6"/>
  <c r="C345" i="6"/>
  <c r="C363" i="6" s="1"/>
  <c r="W86" i="7"/>
  <c r="U86" i="7"/>
  <c r="W87" i="7"/>
  <c r="U87" i="7"/>
  <c r="C87" i="7"/>
  <c r="D133" i="31"/>
  <c r="D123" i="31"/>
  <c r="D125" i="31"/>
  <c r="D126" i="31"/>
  <c r="D127" i="31"/>
  <c r="C133" i="31"/>
  <c r="C123" i="31"/>
  <c r="C125" i="31"/>
  <c r="C126" i="31"/>
  <c r="C127" i="31"/>
  <c r="B133" i="31"/>
  <c r="B123" i="31"/>
  <c r="B125" i="31"/>
  <c r="B126" i="31"/>
  <c r="B127" i="31"/>
  <c r="H11" i="6"/>
  <c r="I11" i="6" s="1"/>
  <c r="C5" i="11"/>
  <c r="C49" i="25"/>
  <c r="C119" i="14"/>
  <c r="E230" i="6"/>
  <c r="B72" i="17" s="1"/>
  <c r="C362" i="6"/>
  <c r="C380" i="6" s="1"/>
  <c r="C216" i="15" s="1"/>
  <c r="J21" i="19"/>
  <c r="B55" i="6"/>
  <c r="B76" i="6" s="1"/>
  <c r="A162" i="28"/>
  <c r="C22" i="15"/>
  <c r="D255" i="6"/>
  <c r="D273" i="6" s="1"/>
  <c r="L81" i="28"/>
  <c r="M81" i="28"/>
  <c r="A114" i="28"/>
  <c r="L155" i="28"/>
  <c r="A188" i="28"/>
  <c r="M155" i="28"/>
  <c r="L157" i="28"/>
  <c r="L83" i="28"/>
  <c r="L7" i="28"/>
  <c r="G171" i="6"/>
  <c r="Z23" i="12"/>
  <c r="E229" i="6"/>
  <c r="C53" i="5"/>
  <c r="C46" i="5"/>
  <c r="C42" i="5"/>
  <c r="C38" i="5"/>
  <c r="C34" i="5"/>
  <c r="C84" i="6"/>
  <c r="C80" i="6"/>
  <c r="C63" i="6"/>
  <c r="C59" i="6" s="1"/>
  <c r="L49" i="6"/>
  <c r="J49" i="6"/>
  <c r="E49" i="6"/>
  <c r="D49" i="6"/>
  <c r="C42" i="6"/>
  <c r="C38" i="6" s="1"/>
  <c r="C34" i="6"/>
  <c r="C49" i="6"/>
  <c r="Q16" i="9"/>
  <c r="AE16" i="9"/>
  <c r="S16" i="9"/>
  <c r="AG16" i="9"/>
  <c r="E102" i="9"/>
  <c r="S102" i="9"/>
  <c r="U102" i="9" s="1"/>
  <c r="V102" i="9" s="1"/>
  <c r="Z102" i="9" s="1"/>
  <c r="S103" i="9" s="1"/>
  <c r="AG102" i="9"/>
  <c r="AI102" i="9" s="1"/>
  <c r="AJ102" i="9" s="1"/>
  <c r="AN102" i="9" s="1"/>
  <c r="AG103" i="9" s="1"/>
  <c r="AH103" i="9" s="1"/>
  <c r="AH104" i="9" s="1"/>
  <c r="E171" i="6"/>
  <c r="F171" i="6"/>
  <c r="T23" i="12" s="1"/>
  <c r="H171" i="6"/>
  <c r="AF23" i="12"/>
  <c r="I171" i="6"/>
  <c r="AL23" i="12" s="1"/>
  <c r="J171" i="6"/>
  <c r="AR23" i="12"/>
  <c r="AS23" i="12" s="1"/>
  <c r="K171" i="6"/>
  <c r="AX23" i="12" s="1"/>
  <c r="AY23" i="12" s="1"/>
  <c r="L171" i="6"/>
  <c r="BD23" i="12" s="1"/>
  <c r="E226" i="6"/>
  <c r="F226" i="6"/>
  <c r="C66" i="17" s="1"/>
  <c r="C358" i="6"/>
  <c r="C111" i="15" s="1"/>
  <c r="C359" i="6"/>
  <c r="D358" i="6"/>
  <c r="D359" i="6"/>
  <c r="D377" i="6" s="1"/>
  <c r="D209" i="15" s="1"/>
  <c r="D112" i="15"/>
  <c r="E358" i="6"/>
  <c r="E359" i="6"/>
  <c r="E112" i="15" s="1"/>
  <c r="E362" i="6"/>
  <c r="F358" i="6"/>
  <c r="F111" i="15" s="1"/>
  <c r="F359" i="6"/>
  <c r="F112" i="15" s="1"/>
  <c r="G358" i="6"/>
  <c r="G359" i="6"/>
  <c r="E22" i="15"/>
  <c r="C310" i="6"/>
  <c r="C311" i="6"/>
  <c r="C324" i="6" s="1"/>
  <c r="C215" i="14" s="1"/>
  <c r="C114" i="14"/>
  <c r="D310" i="6"/>
  <c r="D311" i="6"/>
  <c r="D114" i="14" s="1"/>
  <c r="E310" i="6"/>
  <c r="E311" i="6"/>
  <c r="F310" i="6"/>
  <c r="F311" i="6"/>
  <c r="F114" i="14" s="1"/>
  <c r="G310" i="6"/>
  <c r="G323" i="6" s="1"/>
  <c r="G214" i="14" s="1"/>
  <c r="G311" i="6"/>
  <c r="H310" i="6"/>
  <c r="H113" i="14"/>
  <c r="H311" i="6"/>
  <c r="I310" i="6"/>
  <c r="I113" i="14"/>
  <c r="I311" i="6"/>
  <c r="J310" i="6"/>
  <c r="J113" i="14" s="1"/>
  <c r="J115" i="14" s="1"/>
  <c r="J311" i="6"/>
  <c r="J114" i="14" s="1"/>
  <c r="K310" i="6"/>
  <c r="K323" i="6" s="1"/>
  <c r="K214" i="14" s="1"/>
  <c r="K113" i="14"/>
  <c r="K311" i="6"/>
  <c r="K114" i="14" s="1"/>
  <c r="L310" i="6"/>
  <c r="L113" i="14" s="1"/>
  <c r="L311" i="6"/>
  <c r="L114" i="14" s="1"/>
  <c r="G308" i="6"/>
  <c r="H308" i="6"/>
  <c r="I308" i="6"/>
  <c r="J308" i="6"/>
  <c r="J321" i="6" s="1"/>
  <c r="J211" i="14" s="1"/>
  <c r="J110" i="14"/>
  <c r="K308" i="6"/>
  <c r="C102" i="9"/>
  <c r="Q102" i="9"/>
  <c r="AE102" i="9"/>
  <c r="AE103" i="9" s="1"/>
  <c r="Q17" i="9"/>
  <c r="AE17" i="9"/>
  <c r="F237" i="6"/>
  <c r="G237" i="6" s="1"/>
  <c r="G102" i="9"/>
  <c r="AI103" i="9"/>
  <c r="AJ103" i="9" s="1"/>
  <c r="AK103" i="9" s="1"/>
  <c r="C313" i="6"/>
  <c r="D313" i="6"/>
  <c r="D326" i="6" s="1"/>
  <c r="E313" i="6"/>
  <c r="F313" i="6"/>
  <c r="G312" i="6"/>
  <c r="G116" i="14" s="1"/>
  <c r="G313" i="6"/>
  <c r="H312" i="6"/>
  <c r="H116" i="14" s="1"/>
  <c r="H313" i="6"/>
  <c r="H117" i="14" s="1"/>
  <c r="H118" i="14" s="1"/>
  <c r="I312" i="6"/>
  <c r="I313" i="6"/>
  <c r="J312" i="6"/>
  <c r="J116" i="14" s="1"/>
  <c r="J313" i="6"/>
  <c r="K312" i="6"/>
  <c r="K116" i="14" s="1"/>
  <c r="K313" i="6"/>
  <c r="L312" i="6"/>
  <c r="L116" i="14" s="1"/>
  <c r="L313" i="6"/>
  <c r="E255" i="6"/>
  <c r="B102" i="9"/>
  <c r="AR102" i="9" s="1"/>
  <c r="P102" i="9"/>
  <c r="AD102" i="9"/>
  <c r="F252" i="6"/>
  <c r="F270" i="6" s="1"/>
  <c r="F255" i="6"/>
  <c r="I395" i="6"/>
  <c r="H91" i="18" s="1"/>
  <c r="I396" i="6"/>
  <c r="G252" i="6"/>
  <c r="G270" i="6" s="1"/>
  <c r="J395" i="6"/>
  <c r="I91" i="18" s="1"/>
  <c r="B90" i="13" s="1"/>
  <c r="J396" i="6"/>
  <c r="I93" i="18"/>
  <c r="H252" i="6"/>
  <c r="H270" i="6" s="1"/>
  <c r="K395" i="6"/>
  <c r="J91" i="18" s="1"/>
  <c r="B91" i="13" s="1"/>
  <c r="K396" i="6"/>
  <c r="J93" i="18"/>
  <c r="B123" i="13" s="1"/>
  <c r="L395" i="6"/>
  <c r="L396" i="6"/>
  <c r="K93" i="18" s="1"/>
  <c r="B124" i="13" s="1"/>
  <c r="M395" i="6"/>
  <c r="L91" i="18"/>
  <c r="B93" i="13" s="1"/>
  <c r="M396" i="6"/>
  <c r="N395" i="6"/>
  <c r="N396" i="6"/>
  <c r="O395" i="6"/>
  <c r="N91" i="18" s="1"/>
  <c r="B95" i="13"/>
  <c r="O396" i="6"/>
  <c r="P395" i="6"/>
  <c r="P396" i="6"/>
  <c r="E188" i="9"/>
  <c r="G188" i="9" s="1"/>
  <c r="S188" i="9"/>
  <c r="U188" i="9" s="1"/>
  <c r="V188" i="9" s="1"/>
  <c r="AG188" i="9"/>
  <c r="AI188" i="9" s="1"/>
  <c r="AJ188" i="9" s="1"/>
  <c r="H226" i="6"/>
  <c r="C132" i="17" s="1"/>
  <c r="C376" i="6"/>
  <c r="C208" i="15" s="1"/>
  <c r="E377" i="6"/>
  <c r="E209" i="15" s="1"/>
  <c r="F377" i="6"/>
  <c r="F209" i="15" s="1"/>
  <c r="D324" i="6"/>
  <c r="D215" i="14" s="1"/>
  <c r="F324" i="6"/>
  <c r="F215" i="14" s="1"/>
  <c r="H323" i="6"/>
  <c r="H214" i="14" s="1"/>
  <c r="I323" i="6"/>
  <c r="I214" i="14"/>
  <c r="J323" i="6"/>
  <c r="J214" i="14" s="1"/>
  <c r="J324" i="6"/>
  <c r="J215" i="14"/>
  <c r="K324" i="6"/>
  <c r="K215" i="14" s="1"/>
  <c r="L323" i="6"/>
  <c r="L214" i="14" s="1"/>
  <c r="C188" i="9"/>
  <c r="Q188" i="9"/>
  <c r="Q189" i="9" s="1"/>
  <c r="AE188" i="9"/>
  <c r="AE189" i="9" s="1"/>
  <c r="D218" i="14"/>
  <c r="G325" i="6"/>
  <c r="G217" i="14" s="1"/>
  <c r="H325" i="6"/>
  <c r="H217" i="14" s="1"/>
  <c r="K325" i="6"/>
  <c r="K217" i="14" s="1"/>
  <c r="L325" i="6"/>
  <c r="L217" i="14" s="1"/>
  <c r="E273" i="6"/>
  <c r="B188" i="9"/>
  <c r="AR188" i="9" s="1"/>
  <c r="P188" i="9"/>
  <c r="AD188" i="9"/>
  <c r="F273" i="6"/>
  <c r="I399" i="6"/>
  <c r="J400" i="6"/>
  <c r="K399" i="6"/>
  <c r="K400" i="6"/>
  <c r="M399" i="6"/>
  <c r="O399" i="6"/>
  <c r="I102" i="22"/>
  <c r="I125" i="22" s="1"/>
  <c r="B45" i="22"/>
  <c r="B69" i="22" s="1"/>
  <c r="B92" i="22" s="1"/>
  <c r="B116" i="22" s="1"/>
  <c r="B139" i="22" s="1"/>
  <c r="B24" i="22"/>
  <c r="B47" i="22" s="1"/>
  <c r="B71" i="22" s="1"/>
  <c r="B94" i="22" s="1"/>
  <c r="B118" i="22" s="1"/>
  <c r="B141" i="22" s="1"/>
  <c r="B23" i="22"/>
  <c r="I8" i="22"/>
  <c r="I31" i="22" s="1"/>
  <c r="B8" i="21" s="1"/>
  <c r="A73" i="25"/>
  <c r="A127" i="25" s="1"/>
  <c r="A113" i="18"/>
  <c r="A198" i="18" s="1"/>
  <c r="C12" i="7"/>
  <c r="T85" i="7"/>
  <c r="U85" i="7" s="1"/>
  <c r="T77" i="7"/>
  <c r="U93" i="7"/>
  <c r="U94" i="7"/>
  <c r="C25" i="10"/>
  <c r="C22" i="10"/>
  <c r="H24" i="10"/>
  <c r="H29" i="10" s="1"/>
  <c r="H34" i="10" s="1"/>
  <c r="H39" i="10" s="1"/>
  <c r="H44" i="10" s="1"/>
  <c r="C93" i="10"/>
  <c r="C98" i="10"/>
  <c r="H92" i="10"/>
  <c r="H97" i="10" s="1"/>
  <c r="H102" i="10" s="1"/>
  <c r="H107" i="10" s="1"/>
  <c r="H112" i="10" s="1"/>
  <c r="H117" i="10" s="1"/>
  <c r="H122" i="10" s="1"/>
  <c r="H127" i="10" s="1"/>
  <c r="H132" i="10" s="1"/>
  <c r="H137" i="10" s="1"/>
  <c r="H142" i="10" s="1"/>
  <c r="K25" i="10"/>
  <c r="K30" i="10" s="1"/>
  <c r="K35" i="10" s="1"/>
  <c r="K22" i="10"/>
  <c r="P24" i="10"/>
  <c r="K93" i="10"/>
  <c r="K98" i="10" s="1"/>
  <c r="K103" i="10"/>
  <c r="K108" i="10" s="1"/>
  <c r="K113" i="10" s="1"/>
  <c r="K118" i="10" s="1"/>
  <c r="K123" i="10" s="1"/>
  <c r="K128" i="10" s="1"/>
  <c r="P92" i="10"/>
  <c r="P97" i="10"/>
  <c r="P102" i="10" s="1"/>
  <c r="S25" i="10"/>
  <c r="S30" i="10"/>
  <c r="S22" i="10"/>
  <c r="X24" i="10"/>
  <c r="S93" i="10"/>
  <c r="S98" i="10" s="1"/>
  <c r="S103" i="10" s="1"/>
  <c r="S108" i="10" s="1"/>
  <c r="S113" i="10" s="1"/>
  <c r="S118" i="10" s="1"/>
  <c r="S123" i="10" s="1"/>
  <c r="S128" i="10" s="1"/>
  <c r="S133" i="10" s="1"/>
  <c r="S138" i="10" s="1"/>
  <c r="S143" i="10" s="1"/>
  <c r="X92" i="10"/>
  <c r="X97" i="10"/>
  <c r="X102" i="10" s="1"/>
  <c r="AA25" i="10"/>
  <c r="AA30" i="10" s="1"/>
  <c r="AA35" i="10" s="1"/>
  <c r="AA22" i="10"/>
  <c r="AF24" i="10"/>
  <c r="AF29" i="10" s="1"/>
  <c r="AA93" i="10"/>
  <c r="AA98" i="10" s="1"/>
  <c r="AA103" i="10" s="1"/>
  <c r="AA108" i="10" s="1"/>
  <c r="AA113" i="10" s="1"/>
  <c r="AF92" i="10"/>
  <c r="AF97" i="10" s="1"/>
  <c r="AI25" i="10"/>
  <c r="AI30" i="10" s="1"/>
  <c r="AI22" i="10"/>
  <c r="AN24" i="10"/>
  <c r="AN29" i="10" s="1"/>
  <c r="AN34" i="10"/>
  <c r="AI93" i="10"/>
  <c r="AI98" i="10"/>
  <c r="AN92" i="10"/>
  <c r="AN97" i="10" s="1"/>
  <c r="AN102" i="10" s="1"/>
  <c r="AN107" i="10" s="1"/>
  <c r="AN112" i="10" s="1"/>
  <c r="AN117" i="10" s="1"/>
  <c r="AN122" i="10" s="1"/>
  <c r="AN127" i="10" s="1"/>
  <c r="AQ25" i="10"/>
  <c r="AQ30" i="10"/>
  <c r="AQ22" i="10"/>
  <c r="AQ23" i="10"/>
  <c r="AV24" i="10"/>
  <c r="AV29" i="10" s="1"/>
  <c r="AQ93" i="10"/>
  <c r="AQ98" i="10" s="1"/>
  <c r="AQ103" i="10"/>
  <c r="AV92" i="10"/>
  <c r="AV97" i="10" s="1"/>
  <c r="AY25" i="10"/>
  <c r="AY22" i="10"/>
  <c r="BD24" i="10"/>
  <c r="BD29" i="10" s="1"/>
  <c r="BD34" i="10" s="1"/>
  <c r="AY23" i="10"/>
  <c r="AY93" i="10"/>
  <c r="AY98" i="10"/>
  <c r="BD92" i="10"/>
  <c r="BD97" i="10" s="1"/>
  <c r="BD102" i="10" s="1"/>
  <c r="BD107" i="10" s="1"/>
  <c r="BD112" i="10" s="1"/>
  <c r="BD117" i="10" s="1"/>
  <c r="BD122" i="10" s="1"/>
  <c r="BD127" i="10" s="1"/>
  <c r="BD132" i="10" s="1"/>
  <c r="BD137" i="10" s="1"/>
  <c r="BD142" i="10" s="1"/>
  <c r="BG25" i="10"/>
  <c r="BG30" i="10"/>
  <c r="BG22" i="10"/>
  <c r="BG23" i="10" s="1"/>
  <c r="BG24" i="10" s="1"/>
  <c r="BL24" i="10"/>
  <c r="BG93" i="10"/>
  <c r="BG98" i="10" s="1"/>
  <c r="BG103" i="10" s="1"/>
  <c r="BL92" i="10"/>
  <c r="BL97" i="10" s="1"/>
  <c r="BO25" i="10"/>
  <c r="BO22" i="10"/>
  <c r="BP22" i="10" s="1"/>
  <c r="BT24" i="10"/>
  <c r="BT29" i="10" s="1"/>
  <c r="BT34" i="10" s="1"/>
  <c r="BO93" i="10"/>
  <c r="BO98" i="10" s="1"/>
  <c r="BT92" i="10"/>
  <c r="BT97" i="10"/>
  <c r="BT102" i="10" s="1"/>
  <c r="BT107" i="10" s="1"/>
  <c r="BT112" i="10" s="1"/>
  <c r="BT117" i="10" s="1"/>
  <c r="BT122" i="10" s="1"/>
  <c r="BT127" i="10" s="1"/>
  <c r="BW25" i="10"/>
  <c r="BW30" i="10"/>
  <c r="BW35" i="10" s="1"/>
  <c r="BW22" i="10"/>
  <c r="CB24" i="10"/>
  <c r="CB29" i="10" s="1"/>
  <c r="BW93" i="10"/>
  <c r="BW98" i="10" s="1"/>
  <c r="BW103" i="10" s="1"/>
  <c r="CB92" i="10"/>
  <c r="CB97" i="10" s="1"/>
  <c r="CB102" i="10" s="1"/>
  <c r="CE25" i="10"/>
  <c r="CE30" i="10" s="1"/>
  <c r="CE22" i="10"/>
  <c r="CE23" i="10" s="1"/>
  <c r="CJ24" i="10"/>
  <c r="CJ29" i="10" s="1"/>
  <c r="CJ34" i="10"/>
  <c r="CJ39" i="10" s="1"/>
  <c r="CE93" i="10"/>
  <c r="CE98" i="10" s="1"/>
  <c r="CE103" i="10" s="1"/>
  <c r="CE108" i="10" s="1"/>
  <c r="CE113" i="10" s="1"/>
  <c r="CE118" i="10" s="1"/>
  <c r="CE123" i="10" s="1"/>
  <c r="CE128" i="10" s="1"/>
  <c r="CE133" i="10" s="1"/>
  <c r="CE138" i="10" s="1"/>
  <c r="CJ92" i="10"/>
  <c r="CJ97" i="10" s="1"/>
  <c r="CJ102" i="10" s="1"/>
  <c r="CJ107" i="10" s="1"/>
  <c r="CJ112" i="10" s="1"/>
  <c r="CJ117" i="10" s="1"/>
  <c r="CJ122" i="10" s="1"/>
  <c r="CJ127" i="10" s="1"/>
  <c r="CJ132" i="10" s="1"/>
  <c r="CJ137" i="10" s="1"/>
  <c r="CM25" i="10"/>
  <c r="CM30" i="10" s="1"/>
  <c r="CM35" i="10" s="1"/>
  <c r="CM22" i="10"/>
  <c r="CM23" i="10" s="1"/>
  <c r="CR24" i="10"/>
  <c r="CR29" i="10" s="1"/>
  <c r="CM93" i="10"/>
  <c r="CM98" i="10" s="1"/>
  <c r="CM103" i="10"/>
  <c r="CR92" i="10"/>
  <c r="CR97" i="10" s="1"/>
  <c r="CR102" i="10" s="1"/>
  <c r="CR107" i="10"/>
  <c r="CR112" i="10" s="1"/>
  <c r="CR117" i="10" s="1"/>
  <c r="C162" i="10"/>
  <c r="C167" i="10" s="1"/>
  <c r="C172" i="10" s="1"/>
  <c r="C177" i="10" s="1"/>
  <c r="C182" i="10" s="1"/>
  <c r="C187" i="10" s="1"/>
  <c r="C192" i="10" s="1"/>
  <c r="C197" i="10" s="1"/>
  <c r="C202" i="10" s="1"/>
  <c r="C207" i="10" s="1"/>
  <c r="C212" i="10" s="1"/>
  <c r="K162" i="10"/>
  <c r="S162" i="10"/>
  <c r="S167" i="10" s="1"/>
  <c r="AA162" i="10"/>
  <c r="AA167" i="10" s="1"/>
  <c r="AA172" i="10" s="1"/>
  <c r="AA177" i="10" s="1"/>
  <c r="AA182" i="10" s="1"/>
  <c r="AA187" i="10" s="1"/>
  <c r="AA192" i="10" s="1"/>
  <c r="AA197" i="10" s="1"/>
  <c r="AA202" i="10" s="1"/>
  <c r="AA207" i="10" s="1"/>
  <c r="AA212" i="10" s="1"/>
  <c r="AI162" i="10"/>
  <c r="AQ162" i="10"/>
  <c r="AY162" i="10"/>
  <c r="BG162" i="10"/>
  <c r="BG167" i="10" s="1"/>
  <c r="BG172" i="10" s="1"/>
  <c r="BG177" i="10" s="1"/>
  <c r="BG182" i="10" s="1"/>
  <c r="BG187" i="10" s="1"/>
  <c r="BG192" i="10" s="1"/>
  <c r="BG197" i="10" s="1"/>
  <c r="BG202" i="10" s="1"/>
  <c r="BG207" i="10" s="1"/>
  <c r="BG212" i="10" s="1"/>
  <c r="BO162" i="10"/>
  <c r="BO167" i="10" s="1"/>
  <c r="BO172" i="10" s="1"/>
  <c r="BO177" i="10" s="1"/>
  <c r="BO182" i="10" s="1"/>
  <c r="BO187" i="10" s="1"/>
  <c r="BO192" i="10" s="1"/>
  <c r="BO197" i="10" s="1"/>
  <c r="BO202" i="10" s="1"/>
  <c r="BO207" i="10" s="1"/>
  <c r="BO212" i="10" s="1"/>
  <c r="BW162" i="10"/>
  <c r="CE162" i="10"/>
  <c r="CM162" i="10"/>
  <c r="CM167" i="10" s="1"/>
  <c r="CM172" i="10" s="1"/>
  <c r="CM177" i="10" s="1"/>
  <c r="CM182" i="10" s="1"/>
  <c r="CM187" i="10" s="1"/>
  <c r="CM192" i="10" s="1"/>
  <c r="CM197" i="10" s="1"/>
  <c r="CM202" i="10" s="1"/>
  <c r="CM207" i="10" s="1"/>
  <c r="CM212" i="10" s="1"/>
  <c r="K167" i="10"/>
  <c r="AI167" i="10"/>
  <c r="AQ167" i="10"/>
  <c r="AY167" i="10"/>
  <c r="BW167" i="10"/>
  <c r="CE167" i="10"/>
  <c r="CE172" i="10" s="1"/>
  <c r="K172" i="10"/>
  <c r="S172" i="10"/>
  <c r="S177" i="10" s="1"/>
  <c r="S182" i="10" s="1"/>
  <c r="S187" i="10" s="1"/>
  <c r="AI172" i="10"/>
  <c r="AQ172" i="10"/>
  <c r="AY172" i="10"/>
  <c r="AY177" i="10" s="1"/>
  <c r="BW172" i="10"/>
  <c r="K177" i="10"/>
  <c r="AI177" i="10"/>
  <c r="AQ177" i="10"/>
  <c r="BW177" i="10"/>
  <c r="K182" i="10"/>
  <c r="AI182" i="10"/>
  <c r="AQ182" i="10"/>
  <c r="AY182" i="10"/>
  <c r="AY187" i="10" s="1"/>
  <c r="AY192" i="10" s="1"/>
  <c r="AY197" i="10" s="1"/>
  <c r="BW182" i="10"/>
  <c r="K187" i="10"/>
  <c r="AI187" i="10"/>
  <c r="AQ187" i="10"/>
  <c r="BW187" i="10"/>
  <c r="K192" i="10"/>
  <c r="S192" i="10"/>
  <c r="S197" i="10" s="1"/>
  <c r="S202" i="10" s="1"/>
  <c r="S207" i="10" s="1"/>
  <c r="S212" i="10" s="1"/>
  <c r="AI192" i="10"/>
  <c r="AQ192" i="10"/>
  <c r="BW192" i="10"/>
  <c r="K197" i="10"/>
  <c r="AI197" i="10"/>
  <c r="AQ197" i="10"/>
  <c r="BW197" i="10"/>
  <c r="K202" i="10"/>
  <c r="AI202" i="10"/>
  <c r="AQ202" i="10"/>
  <c r="AY202" i="10"/>
  <c r="AY207" i="10" s="1"/>
  <c r="AY212" i="10" s="1"/>
  <c r="BW202" i="10"/>
  <c r="K207" i="10"/>
  <c r="AI207" i="10"/>
  <c r="AQ207" i="10"/>
  <c r="BW207" i="10"/>
  <c r="K212" i="10"/>
  <c r="AI212" i="10"/>
  <c r="AQ212" i="10"/>
  <c r="BW212" i="10"/>
  <c r="E21" i="10"/>
  <c r="G21" i="10"/>
  <c r="H4" i="10"/>
  <c r="O21" i="10"/>
  <c r="O24" i="10" s="1"/>
  <c r="O29" i="10" s="1"/>
  <c r="O34" i="10" s="1"/>
  <c r="O39" i="10" s="1"/>
  <c r="O44" i="10" s="1"/>
  <c r="O49" i="10" s="1"/>
  <c r="O54" i="10" s="1"/>
  <c r="O59" i="10" s="1"/>
  <c r="O64" i="10" s="1"/>
  <c r="O69" i="10" s="1"/>
  <c r="O74" i="10" s="1"/>
  <c r="H5" i="10"/>
  <c r="T21" i="10" s="1"/>
  <c r="W21" i="10"/>
  <c r="H6" i="10"/>
  <c r="J6" i="10" s="1"/>
  <c r="AE21" i="10"/>
  <c r="AE24" i="10" s="1"/>
  <c r="AE29" i="10" s="1"/>
  <c r="AE34" i="10" s="1"/>
  <c r="AE39" i="10" s="1"/>
  <c r="AE44" i="10" s="1"/>
  <c r="AE49" i="10" s="1"/>
  <c r="AE54" i="10" s="1"/>
  <c r="AE59" i="10" s="1"/>
  <c r="AE64" i="10" s="1"/>
  <c r="AE69" i="10" s="1"/>
  <c r="AE74" i="10" s="1"/>
  <c r="AE89" i="10" s="1"/>
  <c r="AE92" i="10" s="1"/>
  <c r="AE97" i="10" s="1"/>
  <c r="AE102" i="10" s="1"/>
  <c r="AE107" i="10" s="1"/>
  <c r="AE112" i="10" s="1"/>
  <c r="AE117" i="10" s="1"/>
  <c r="AE122" i="10" s="1"/>
  <c r="AE127" i="10" s="1"/>
  <c r="AE132" i="10" s="1"/>
  <c r="AE137" i="10" s="1"/>
  <c r="AE142" i="10" s="1"/>
  <c r="AE158" i="10" s="1"/>
  <c r="AE161" i="10" s="1"/>
  <c r="AE166" i="10" s="1"/>
  <c r="AE171" i="10" s="1"/>
  <c r="AE176" i="10" s="1"/>
  <c r="AE181" i="10" s="1"/>
  <c r="AE186" i="10" s="1"/>
  <c r="AE191" i="10" s="1"/>
  <c r="AE196" i="10" s="1"/>
  <c r="AE201" i="10" s="1"/>
  <c r="AE206" i="10" s="1"/>
  <c r="AE211" i="10" s="1"/>
  <c r="H7" i="10"/>
  <c r="AJ21" i="10"/>
  <c r="AK21" i="10" s="1"/>
  <c r="AM21" i="10"/>
  <c r="AM24" i="10" s="1"/>
  <c r="AM29" i="10" s="1"/>
  <c r="AM34" i="10" s="1"/>
  <c r="AM39" i="10" s="1"/>
  <c r="AM44" i="10" s="1"/>
  <c r="AM49" i="10" s="1"/>
  <c r="AM54" i="10" s="1"/>
  <c r="AM59" i="10" s="1"/>
  <c r="AM64" i="10" s="1"/>
  <c r="AM69" i="10" s="1"/>
  <c r="AM74" i="10" s="1"/>
  <c r="AM89" i="10" s="1"/>
  <c r="AM92" i="10" s="1"/>
  <c r="AM97" i="10" s="1"/>
  <c r="AM102" i="10" s="1"/>
  <c r="AM107" i="10" s="1"/>
  <c r="AM112" i="10" s="1"/>
  <c r="AM117" i="10" s="1"/>
  <c r="AM122" i="10" s="1"/>
  <c r="AM127" i="10" s="1"/>
  <c r="AM132" i="10" s="1"/>
  <c r="AM137" i="10" s="1"/>
  <c r="AM142" i="10" s="1"/>
  <c r="AM158" i="10" s="1"/>
  <c r="AM161" i="10" s="1"/>
  <c r="AM166" i="10" s="1"/>
  <c r="AM171" i="10" s="1"/>
  <c r="AM176" i="10" s="1"/>
  <c r="AM181" i="10" s="1"/>
  <c r="AM186" i="10" s="1"/>
  <c r="AM191" i="10" s="1"/>
  <c r="AM196" i="10" s="1"/>
  <c r="AM201" i="10" s="1"/>
  <c r="AM206" i="10" s="1"/>
  <c r="AM211" i="10" s="1"/>
  <c r="H8" i="10"/>
  <c r="AR21" i="10" s="1"/>
  <c r="AU21" i="10"/>
  <c r="H9" i="10"/>
  <c r="AZ21" i="10" s="1"/>
  <c r="BC21" i="10"/>
  <c r="BC24" i="10" s="1"/>
  <c r="BC29" i="10" s="1"/>
  <c r="BC34" i="10" s="1"/>
  <c r="BC39" i="10" s="1"/>
  <c r="BC44" i="10" s="1"/>
  <c r="BC49" i="10" s="1"/>
  <c r="BC54" i="10" s="1"/>
  <c r="BC59" i="10" s="1"/>
  <c r="BC64" i="10" s="1"/>
  <c r="BC69" i="10" s="1"/>
  <c r="BC74" i="10" s="1"/>
  <c r="BC89" i="10" s="1"/>
  <c r="BC92" i="10" s="1"/>
  <c r="BC97" i="10" s="1"/>
  <c r="BC102" i="10" s="1"/>
  <c r="BC107" i="10" s="1"/>
  <c r="BC112" i="10" s="1"/>
  <c r="BC117" i="10" s="1"/>
  <c r="BC122" i="10" s="1"/>
  <c r="BC127" i="10" s="1"/>
  <c r="BC132" i="10" s="1"/>
  <c r="BC137" i="10" s="1"/>
  <c r="BC142" i="10" s="1"/>
  <c r="BC158" i="10" s="1"/>
  <c r="BC161" i="10" s="1"/>
  <c r="BC166" i="10" s="1"/>
  <c r="BC171" i="10" s="1"/>
  <c r="BC176" i="10" s="1"/>
  <c r="BC181" i="10" s="1"/>
  <c r="BC186" i="10" s="1"/>
  <c r="BC191" i="10" s="1"/>
  <c r="BC196" i="10" s="1"/>
  <c r="BC201" i="10" s="1"/>
  <c r="BC206" i="10" s="1"/>
  <c r="BC211" i="10" s="1"/>
  <c r="H10" i="10"/>
  <c r="BK21" i="10"/>
  <c r="BK24" i="10" s="1"/>
  <c r="BK29" i="10" s="1"/>
  <c r="BK34" i="10" s="1"/>
  <c r="BK39" i="10" s="1"/>
  <c r="BK44" i="10" s="1"/>
  <c r="BK49" i="10" s="1"/>
  <c r="BK54" i="10" s="1"/>
  <c r="BK59" i="10" s="1"/>
  <c r="BK64" i="10" s="1"/>
  <c r="BK69" i="10" s="1"/>
  <c r="BK74" i="10" s="1"/>
  <c r="BK89" i="10" s="1"/>
  <c r="BK92" i="10" s="1"/>
  <c r="BK97" i="10" s="1"/>
  <c r="BK102" i="10" s="1"/>
  <c r="BK107" i="10" s="1"/>
  <c r="BK112" i="10" s="1"/>
  <c r="BK117" i="10" s="1"/>
  <c r="BK122" i="10" s="1"/>
  <c r="BK127" i="10" s="1"/>
  <c r="BK132" i="10" s="1"/>
  <c r="BK137" i="10" s="1"/>
  <c r="BK142" i="10" s="1"/>
  <c r="BK158" i="10" s="1"/>
  <c r="BK161" i="10" s="1"/>
  <c r="BK166" i="10" s="1"/>
  <c r="BK171" i="10" s="1"/>
  <c r="BK176" i="10" s="1"/>
  <c r="BK181" i="10" s="1"/>
  <c r="BK186" i="10" s="1"/>
  <c r="BK191" i="10" s="1"/>
  <c r="BK196" i="10" s="1"/>
  <c r="BK201" i="10" s="1"/>
  <c r="BK206" i="10" s="1"/>
  <c r="BK211" i="10" s="1"/>
  <c r="H11" i="10"/>
  <c r="BP21" i="10" s="1"/>
  <c r="BS21" i="10"/>
  <c r="BS24" i="10" s="1"/>
  <c r="BS29" i="10" s="1"/>
  <c r="BS34" i="10" s="1"/>
  <c r="BS39" i="10" s="1"/>
  <c r="BS44" i="10" s="1"/>
  <c r="BS49" i="10" s="1"/>
  <c r="BS54" i="10" s="1"/>
  <c r="BS59" i="10" s="1"/>
  <c r="BS64" i="10" s="1"/>
  <c r="BS69" i="10" s="1"/>
  <c r="BS74" i="10" s="1"/>
  <c r="BS89" i="10" s="1"/>
  <c r="BS92" i="10" s="1"/>
  <c r="BS97" i="10" s="1"/>
  <c r="BS102" i="10" s="1"/>
  <c r="BS107" i="10" s="1"/>
  <c r="BS112" i="10" s="1"/>
  <c r="BS117" i="10" s="1"/>
  <c r="BS122" i="10" s="1"/>
  <c r="BS127" i="10" s="1"/>
  <c r="BS132" i="10" s="1"/>
  <c r="BS137" i="10" s="1"/>
  <c r="BS142" i="10" s="1"/>
  <c r="BS158" i="10" s="1"/>
  <c r="BS161" i="10" s="1"/>
  <c r="BS166" i="10" s="1"/>
  <c r="BS171" i="10" s="1"/>
  <c r="BS176" i="10" s="1"/>
  <c r="BS181" i="10" s="1"/>
  <c r="BS186" i="10" s="1"/>
  <c r="BS191" i="10" s="1"/>
  <c r="BS196" i="10" s="1"/>
  <c r="BS201" i="10" s="1"/>
  <c r="BS206" i="10" s="1"/>
  <c r="BS211" i="10" s="1"/>
  <c r="H12" i="10"/>
  <c r="CA21" i="10"/>
  <c r="CA24" i="10" s="1"/>
  <c r="CA29" i="10" s="1"/>
  <c r="CA34" i="10" s="1"/>
  <c r="CA39" i="10" s="1"/>
  <c r="CA44" i="10" s="1"/>
  <c r="CA49" i="10" s="1"/>
  <c r="CA54" i="10" s="1"/>
  <c r="CA59" i="10" s="1"/>
  <c r="CA64" i="10" s="1"/>
  <c r="CA69" i="10" s="1"/>
  <c r="CA74" i="10" s="1"/>
  <c r="CA89" i="10" s="1"/>
  <c r="CA92" i="10" s="1"/>
  <c r="CA97" i="10" s="1"/>
  <c r="CA102" i="10" s="1"/>
  <c r="CA107" i="10" s="1"/>
  <c r="CA112" i="10" s="1"/>
  <c r="CA117" i="10" s="1"/>
  <c r="CA122" i="10" s="1"/>
  <c r="CA127" i="10" s="1"/>
  <c r="CA132" i="10" s="1"/>
  <c r="CA137" i="10" s="1"/>
  <c r="CA142" i="10" s="1"/>
  <c r="CA158" i="10" s="1"/>
  <c r="CA161" i="10" s="1"/>
  <c r="CA166" i="10" s="1"/>
  <c r="CA171" i="10" s="1"/>
  <c r="CA176" i="10" s="1"/>
  <c r="CA181" i="10" s="1"/>
  <c r="CA186" i="10" s="1"/>
  <c r="CA191" i="10" s="1"/>
  <c r="CA196" i="10" s="1"/>
  <c r="CA201" i="10" s="1"/>
  <c r="CA206" i="10" s="1"/>
  <c r="CA211" i="10" s="1"/>
  <c r="H13" i="10"/>
  <c r="CF21" i="10"/>
  <c r="CG21" i="10" s="1"/>
  <c r="CI21" i="10"/>
  <c r="CI24" i="10" s="1"/>
  <c r="CI29" i="10" s="1"/>
  <c r="CI34" i="10" s="1"/>
  <c r="CI39" i="10" s="1"/>
  <c r="CI44" i="10" s="1"/>
  <c r="CI49" i="10" s="1"/>
  <c r="CI54" i="10" s="1"/>
  <c r="CI59" i="10" s="1"/>
  <c r="CI64" i="10" s="1"/>
  <c r="CI69" i="10" s="1"/>
  <c r="CI74" i="10" s="1"/>
  <c r="CI89" i="10" s="1"/>
  <c r="CI92" i="10" s="1"/>
  <c r="CI97" i="10" s="1"/>
  <c r="CI102" i="10" s="1"/>
  <c r="CI107" i="10" s="1"/>
  <c r="CI112" i="10" s="1"/>
  <c r="CI117" i="10" s="1"/>
  <c r="CI122" i="10" s="1"/>
  <c r="CI127" i="10" s="1"/>
  <c r="CI132" i="10" s="1"/>
  <c r="CI137" i="10" s="1"/>
  <c r="CI142" i="10" s="1"/>
  <c r="CI158" i="10" s="1"/>
  <c r="CI161" i="10" s="1"/>
  <c r="CI166" i="10" s="1"/>
  <c r="CI171" i="10" s="1"/>
  <c r="CI176" i="10" s="1"/>
  <c r="CI181" i="10" s="1"/>
  <c r="CI186" i="10" s="1"/>
  <c r="CI191" i="10" s="1"/>
  <c r="CI196" i="10" s="1"/>
  <c r="CI201" i="10" s="1"/>
  <c r="CI206" i="10" s="1"/>
  <c r="CI211" i="10" s="1"/>
  <c r="H14" i="10"/>
  <c r="CN21" i="10" s="1"/>
  <c r="CN25" i="10" s="1"/>
  <c r="CO25" i="10" s="1"/>
  <c r="CQ21" i="10"/>
  <c r="CQ24" i="10" s="1"/>
  <c r="CQ29" i="10" s="1"/>
  <c r="CQ34" i="10" s="1"/>
  <c r="CQ39" i="10" s="1"/>
  <c r="CQ44" i="10" s="1"/>
  <c r="CQ49" i="10" s="1"/>
  <c r="CQ54" i="10" s="1"/>
  <c r="CQ59" i="10" s="1"/>
  <c r="CQ64" i="10" s="1"/>
  <c r="CQ69" i="10" s="1"/>
  <c r="CQ74" i="10" s="1"/>
  <c r="CQ89" i="10" s="1"/>
  <c r="CQ92" i="10" s="1"/>
  <c r="CQ97" i="10" s="1"/>
  <c r="CQ102" i="10" s="1"/>
  <c r="CQ107" i="10" s="1"/>
  <c r="CQ112" i="10" s="1"/>
  <c r="CQ117" i="10" s="1"/>
  <c r="CQ122" i="10" s="1"/>
  <c r="CQ127" i="10" s="1"/>
  <c r="CQ132" i="10" s="1"/>
  <c r="CQ137" i="10" s="1"/>
  <c r="CQ142" i="10" s="1"/>
  <c r="CQ158" i="10" s="1"/>
  <c r="CQ161" i="10" s="1"/>
  <c r="CQ166" i="10" s="1"/>
  <c r="CQ171" i="10" s="1"/>
  <c r="CQ176" i="10" s="1"/>
  <c r="CQ181" i="10" s="1"/>
  <c r="CQ186" i="10" s="1"/>
  <c r="CQ191" i="10" s="1"/>
  <c r="CQ196" i="10" s="1"/>
  <c r="CQ201" i="10" s="1"/>
  <c r="CQ206" i="10" s="1"/>
  <c r="CQ211" i="10" s="1"/>
  <c r="W24" i="10"/>
  <c r="W29" i="10" s="1"/>
  <c r="W34" i="10" s="1"/>
  <c r="W39" i="10" s="1"/>
  <c r="W44" i="10" s="1"/>
  <c r="W49" i="10" s="1"/>
  <c r="W54" i="10" s="1"/>
  <c r="W59" i="10" s="1"/>
  <c r="W64" i="10" s="1"/>
  <c r="W69" i="10" s="1"/>
  <c r="W74" i="10" s="1"/>
  <c r="W89" i="10" s="1"/>
  <c r="W92" i="10" s="1"/>
  <c r="W97" i="10" s="1"/>
  <c r="W102" i="10" s="1"/>
  <c r="W107" i="10" s="1"/>
  <c r="W112" i="10" s="1"/>
  <c r="W117" i="10" s="1"/>
  <c r="W122" i="10" s="1"/>
  <c r="W127" i="10" s="1"/>
  <c r="W132" i="10" s="1"/>
  <c r="W137" i="10" s="1"/>
  <c r="W142" i="10" s="1"/>
  <c r="W158" i="10" s="1"/>
  <c r="W161" i="10" s="1"/>
  <c r="W166" i="10" s="1"/>
  <c r="W171" i="10" s="1"/>
  <c r="W176" i="10" s="1"/>
  <c r="W181" i="10" s="1"/>
  <c r="W186" i="10" s="1"/>
  <c r="W191" i="10" s="1"/>
  <c r="W196" i="10" s="1"/>
  <c r="W201" i="10" s="1"/>
  <c r="W206" i="10" s="1"/>
  <c r="W211" i="10" s="1"/>
  <c r="D25" i="10"/>
  <c r="D30" i="10" s="1"/>
  <c r="O89" i="10"/>
  <c r="O92" i="10" s="1"/>
  <c r="O97" i="10" s="1"/>
  <c r="O102" i="10" s="1"/>
  <c r="O107" i="10" s="1"/>
  <c r="O112" i="10" s="1"/>
  <c r="O117" i="10" s="1"/>
  <c r="O122" i="10" s="1"/>
  <c r="O127" i="10" s="1"/>
  <c r="O132" i="10" s="1"/>
  <c r="O137" i="10" s="1"/>
  <c r="O142" i="10" s="1"/>
  <c r="O158" i="10" s="1"/>
  <c r="O161" i="10" s="1"/>
  <c r="O166" i="10" s="1"/>
  <c r="O171" i="10" s="1"/>
  <c r="O176" i="10" s="1"/>
  <c r="O181" i="10" s="1"/>
  <c r="O186" i="10" s="1"/>
  <c r="O191" i="10" s="1"/>
  <c r="O196" i="10" s="1"/>
  <c r="O201" i="10" s="1"/>
  <c r="O206" i="10" s="1"/>
  <c r="O211" i="10" s="1"/>
  <c r="H161" i="10"/>
  <c r="H166" i="10"/>
  <c r="H171" i="10" s="1"/>
  <c r="H176" i="10" s="1"/>
  <c r="H181" i="10" s="1"/>
  <c r="H186" i="10" s="1"/>
  <c r="H191" i="10" s="1"/>
  <c r="H196" i="10" s="1"/>
  <c r="H201" i="10" s="1"/>
  <c r="H206" i="10" s="1"/>
  <c r="H211" i="10" s="1"/>
  <c r="P161" i="10"/>
  <c r="P166" i="10" s="1"/>
  <c r="P171" i="10" s="1"/>
  <c r="P176" i="10" s="1"/>
  <c r="P181" i="10" s="1"/>
  <c r="P186" i="10" s="1"/>
  <c r="P191" i="10" s="1"/>
  <c r="P196" i="10" s="1"/>
  <c r="P201" i="10" s="1"/>
  <c r="P206" i="10" s="1"/>
  <c r="P211" i="10" s="1"/>
  <c r="X161" i="10"/>
  <c r="X166" i="10" s="1"/>
  <c r="X171" i="10" s="1"/>
  <c r="X176" i="10" s="1"/>
  <c r="X181" i="10" s="1"/>
  <c r="X186" i="10" s="1"/>
  <c r="X191" i="10" s="1"/>
  <c r="X196" i="10" s="1"/>
  <c r="X201" i="10"/>
  <c r="X206" i="10" s="1"/>
  <c r="X211" i="10" s="1"/>
  <c r="AF161" i="10"/>
  <c r="AF166" i="10" s="1"/>
  <c r="AF171" i="10" s="1"/>
  <c r="AF176" i="10" s="1"/>
  <c r="AF181" i="10" s="1"/>
  <c r="AF186" i="10" s="1"/>
  <c r="AF191" i="10" s="1"/>
  <c r="AF196" i="10" s="1"/>
  <c r="AF201" i="10" s="1"/>
  <c r="AF206" i="10" s="1"/>
  <c r="AF211" i="10" s="1"/>
  <c r="AN161" i="10"/>
  <c r="AN166" i="10"/>
  <c r="AN171" i="10" s="1"/>
  <c r="AN176" i="10" s="1"/>
  <c r="AN181" i="10" s="1"/>
  <c r="AN186" i="10" s="1"/>
  <c r="AN191" i="10" s="1"/>
  <c r="AN196" i="10" s="1"/>
  <c r="AN201" i="10" s="1"/>
  <c r="AN206" i="10" s="1"/>
  <c r="AN211" i="10" s="1"/>
  <c r="AV161" i="10"/>
  <c r="AV166" i="10" s="1"/>
  <c r="AV171" i="10" s="1"/>
  <c r="AV176" i="10" s="1"/>
  <c r="AV181" i="10" s="1"/>
  <c r="BD161" i="10"/>
  <c r="BD166" i="10" s="1"/>
  <c r="BD171" i="10" s="1"/>
  <c r="BD176" i="10" s="1"/>
  <c r="BD181" i="10" s="1"/>
  <c r="BD186" i="10" s="1"/>
  <c r="BD191" i="10" s="1"/>
  <c r="BD196" i="10" s="1"/>
  <c r="BD201" i="10" s="1"/>
  <c r="BD206" i="10" s="1"/>
  <c r="BD211" i="10" s="1"/>
  <c r="BL161" i="10"/>
  <c r="BL166" i="10" s="1"/>
  <c r="BL171" i="10" s="1"/>
  <c r="BL176" i="10" s="1"/>
  <c r="BL181" i="10" s="1"/>
  <c r="BL186" i="10" s="1"/>
  <c r="BL191" i="10" s="1"/>
  <c r="BL196" i="10" s="1"/>
  <c r="BL201" i="10" s="1"/>
  <c r="BL206" i="10" s="1"/>
  <c r="BL211" i="10" s="1"/>
  <c r="BT161" i="10"/>
  <c r="BT166" i="10" s="1"/>
  <c r="BT171" i="10" s="1"/>
  <c r="BT176" i="10" s="1"/>
  <c r="BT181" i="10" s="1"/>
  <c r="BT186" i="10" s="1"/>
  <c r="BT191" i="10" s="1"/>
  <c r="BT196" i="10" s="1"/>
  <c r="BT201" i="10" s="1"/>
  <c r="BT206" i="10" s="1"/>
  <c r="BT211" i="10" s="1"/>
  <c r="CB161" i="10"/>
  <c r="CB166" i="10" s="1"/>
  <c r="CJ161" i="10"/>
  <c r="CJ166" i="10" s="1"/>
  <c r="CJ171" i="10" s="1"/>
  <c r="CJ176" i="10" s="1"/>
  <c r="CJ181" i="10" s="1"/>
  <c r="CJ186" i="10" s="1"/>
  <c r="CR161" i="10"/>
  <c r="CR166" i="10" s="1"/>
  <c r="CR171" i="10" s="1"/>
  <c r="E9" i="1"/>
  <c r="F9" i="1"/>
  <c r="G9" i="1" s="1"/>
  <c r="H9" i="1" s="1"/>
  <c r="I9" i="1" s="1"/>
  <c r="J9" i="1" s="1"/>
  <c r="K9" i="1" s="1"/>
  <c r="L9" i="1" s="1"/>
  <c r="M9" i="1" s="1"/>
  <c r="N9" i="1" s="1"/>
  <c r="O9" i="1" s="1"/>
  <c r="P9" i="1" s="1"/>
  <c r="Q9" i="1" s="1"/>
  <c r="R9" i="1" s="1"/>
  <c r="S9" i="1" s="1"/>
  <c r="T9" i="1" s="1"/>
  <c r="U9" i="1" s="1"/>
  <c r="V9" i="1" s="1"/>
  <c r="W9" i="1" s="1"/>
  <c r="X9" i="1" s="1"/>
  <c r="Y9" i="1" s="1"/>
  <c r="Z9" i="1" s="1"/>
  <c r="C5" i="7"/>
  <c r="C164" i="18"/>
  <c r="C249" i="18" s="1"/>
  <c r="B24" i="29"/>
  <c r="C24" i="29" s="1"/>
  <c r="D24" i="29" s="1"/>
  <c r="E24" i="29" s="1"/>
  <c r="C32" i="29"/>
  <c r="D32" i="29" s="1"/>
  <c r="E32" i="29" s="1"/>
  <c r="F32" i="29" s="1"/>
  <c r="C46" i="29"/>
  <c r="D46" i="29" s="1"/>
  <c r="E46" i="29"/>
  <c r="F46" i="29" s="1"/>
  <c r="A47" i="29"/>
  <c r="A48" i="29"/>
  <c r="A49" i="29"/>
  <c r="A50" i="29"/>
  <c r="A51" i="29"/>
  <c r="A53" i="29"/>
  <c r="A54" i="29"/>
  <c r="C60" i="29"/>
  <c r="D60" i="29" s="1"/>
  <c r="E60" i="29" s="1"/>
  <c r="F60" i="29" s="1"/>
  <c r="A62" i="29"/>
  <c r="A63" i="29"/>
  <c r="A64" i="29"/>
  <c r="A65" i="29"/>
  <c r="A66" i="29"/>
  <c r="A68" i="29"/>
  <c r="A69" i="29"/>
  <c r="C6" i="7"/>
  <c r="C7" i="7"/>
  <c r="I55" i="22"/>
  <c r="I78" i="22" s="1"/>
  <c r="E16" i="16"/>
  <c r="C5" i="30"/>
  <c r="A8" i="30"/>
  <c r="B25" i="30"/>
  <c r="C25" i="30"/>
  <c r="C40" i="30" s="1"/>
  <c r="A27" i="30"/>
  <c r="A42" i="30" s="1"/>
  <c r="B40" i="30"/>
  <c r="B55" i="30"/>
  <c r="A57" i="30"/>
  <c r="A58" i="30"/>
  <c r="B70" i="30"/>
  <c r="C70" i="30"/>
  <c r="A72" i="30"/>
  <c r="A73" i="30"/>
  <c r="B5" i="26"/>
  <c r="B6" i="26"/>
  <c r="B7" i="26"/>
  <c r="B10" i="26"/>
  <c r="B11" i="26"/>
  <c r="B12" i="26"/>
  <c r="B13" i="26"/>
  <c r="B14" i="26"/>
  <c r="B15" i="26"/>
  <c r="B16" i="26"/>
  <c r="B17" i="26"/>
  <c r="B19" i="26"/>
  <c r="B20" i="26"/>
  <c r="B21" i="26"/>
  <c r="A17" i="9"/>
  <c r="A18" i="9" s="1"/>
  <c r="O17" i="9"/>
  <c r="AC17" i="9"/>
  <c r="AC18" i="9" s="1"/>
  <c r="AC19" i="9" s="1"/>
  <c r="AC20" i="9" s="1"/>
  <c r="A103" i="9"/>
  <c r="A104" i="9" s="1"/>
  <c r="O103" i="9"/>
  <c r="O104" i="9" s="1"/>
  <c r="AC103" i="9"/>
  <c r="A189" i="9"/>
  <c r="A190" i="9" s="1"/>
  <c r="O189" i="9"/>
  <c r="AC189" i="9"/>
  <c r="C5" i="1"/>
  <c r="A22" i="27"/>
  <c r="D22" i="27" s="1"/>
  <c r="B22" i="27"/>
  <c r="C22" i="27"/>
  <c r="A23" i="27"/>
  <c r="D23" i="27" s="1"/>
  <c r="B23" i="27"/>
  <c r="C23" i="27"/>
  <c r="A24" i="27"/>
  <c r="D24" i="27" s="1"/>
  <c r="B24" i="27"/>
  <c r="C24" i="27"/>
  <c r="A25" i="27"/>
  <c r="D25" i="27" s="1"/>
  <c r="B25" i="27"/>
  <c r="C25" i="27"/>
  <c r="A26" i="27"/>
  <c r="D26" i="27" s="1"/>
  <c r="B26" i="27"/>
  <c r="C26" i="27"/>
  <c r="A27" i="27"/>
  <c r="D27" i="27" s="1"/>
  <c r="B27" i="27"/>
  <c r="C27" i="27"/>
  <c r="A28" i="27"/>
  <c r="D28" i="27" s="1"/>
  <c r="B28" i="27"/>
  <c r="C28" i="27"/>
  <c r="A29" i="27"/>
  <c r="D29" i="27" s="1"/>
  <c r="B29" i="27"/>
  <c r="C29" i="27"/>
  <c r="A30" i="27"/>
  <c r="D30" i="27" s="1"/>
  <c r="B30" i="27"/>
  <c r="C30" i="27"/>
  <c r="A31" i="27"/>
  <c r="D31" i="27" s="1"/>
  <c r="B31" i="27"/>
  <c r="C31" i="27"/>
  <c r="A32" i="27"/>
  <c r="D32" i="27" s="1"/>
  <c r="B32" i="27"/>
  <c r="C32" i="27"/>
  <c r="A33" i="27"/>
  <c r="D33" i="27" s="1"/>
  <c r="B33" i="27"/>
  <c r="C33" i="27"/>
  <c r="H11" i="5"/>
  <c r="I11" i="5" s="1"/>
  <c r="B39" i="5"/>
  <c r="B40" i="5"/>
  <c r="B41" i="5"/>
  <c r="B47" i="5"/>
  <c r="B48" i="5"/>
  <c r="B53" i="5"/>
  <c r="B54" i="5"/>
  <c r="B55" i="5"/>
  <c r="B56" i="5"/>
  <c r="B58" i="5"/>
  <c r="C59" i="5"/>
  <c r="D59" i="5"/>
  <c r="E59" i="5"/>
  <c r="F59" i="5"/>
  <c r="G59" i="5"/>
  <c r="H59" i="5"/>
  <c r="I59" i="5"/>
  <c r="J59" i="5"/>
  <c r="C67" i="5"/>
  <c r="C63" i="5" s="1"/>
  <c r="D67" i="5"/>
  <c r="D63" i="5" s="1"/>
  <c r="E67" i="5"/>
  <c r="E63" i="5" s="1"/>
  <c r="F67" i="5"/>
  <c r="F63" i="5" s="1"/>
  <c r="G67" i="5"/>
  <c r="G63" i="5" s="1"/>
  <c r="G85" i="5" s="1"/>
  <c r="H67" i="5"/>
  <c r="H63" i="5" s="1"/>
  <c r="I67" i="5"/>
  <c r="I63" i="5" s="1"/>
  <c r="J67" i="5"/>
  <c r="J63" i="5" s="1"/>
  <c r="C75" i="5"/>
  <c r="C71" i="5" s="1"/>
  <c r="D75" i="5"/>
  <c r="D71" i="5" s="1"/>
  <c r="E75" i="5"/>
  <c r="E71" i="5" s="1"/>
  <c r="F75" i="5"/>
  <c r="F71" i="5" s="1"/>
  <c r="G75" i="5"/>
  <c r="G71" i="5" s="1"/>
  <c r="H75" i="5"/>
  <c r="H71" i="5"/>
  <c r="H85" i="5" s="1"/>
  <c r="I75" i="5"/>
  <c r="I71" i="5"/>
  <c r="J75" i="5"/>
  <c r="J71" i="5" s="1"/>
  <c r="C82" i="5"/>
  <c r="D82" i="5"/>
  <c r="E82" i="5"/>
  <c r="F82" i="5"/>
  <c r="G82" i="5"/>
  <c r="H82" i="5"/>
  <c r="I82" i="5"/>
  <c r="J82" i="5"/>
  <c r="B87" i="5"/>
  <c r="C88" i="5"/>
  <c r="D88" i="5"/>
  <c r="E88" i="5"/>
  <c r="F88" i="5"/>
  <c r="G88" i="5"/>
  <c r="H88" i="5"/>
  <c r="I88" i="5"/>
  <c r="J88" i="5"/>
  <c r="C96" i="5"/>
  <c r="C92" i="5" s="1"/>
  <c r="D96" i="5"/>
  <c r="D92" i="5" s="1"/>
  <c r="E96" i="5"/>
  <c r="E92" i="5" s="1"/>
  <c r="F96" i="5"/>
  <c r="F92" i="5" s="1"/>
  <c r="G96" i="5"/>
  <c r="G92" i="5"/>
  <c r="H96" i="5"/>
  <c r="H92" i="5" s="1"/>
  <c r="I96" i="5"/>
  <c r="I92" i="5" s="1"/>
  <c r="J96" i="5"/>
  <c r="J92" i="5" s="1"/>
  <c r="C104" i="5"/>
  <c r="C100" i="5" s="1"/>
  <c r="D104" i="5"/>
  <c r="D100" i="5" s="1"/>
  <c r="E104" i="5"/>
  <c r="E100" i="5" s="1"/>
  <c r="F104" i="5"/>
  <c r="F100" i="5" s="1"/>
  <c r="G104" i="5"/>
  <c r="G100" i="5"/>
  <c r="H104" i="5"/>
  <c r="H100" i="5" s="1"/>
  <c r="I104" i="5"/>
  <c r="I100" i="5" s="1"/>
  <c r="J104" i="5"/>
  <c r="J100" i="5"/>
  <c r="C111" i="5"/>
  <c r="D111" i="5"/>
  <c r="E111" i="5"/>
  <c r="F111" i="5"/>
  <c r="G111" i="5"/>
  <c r="H111" i="5"/>
  <c r="I111" i="5"/>
  <c r="J111" i="5"/>
  <c r="C117" i="5"/>
  <c r="D117" i="5"/>
  <c r="E117" i="5"/>
  <c r="C118" i="5"/>
  <c r="D118" i="5"/>
  <c r="E118" i="5"/>
  <c r="C120" i="5"/>
  <c r="C119" i="5" s="1"/>
  <c r="D120" i="5"/>
  <c r="D119" i="5" s="1"/>
  <c r="E120" i="5"/>
  <c r="E119" i="5" s="1"/>
  <c r="C121" i="5"/>
  <c r="D121" i="5"/>
  <c r="E121" i="5"/>
  <c r="C122" i="5"/>
  <c r="D122" i="5"/>
  <c r="E122" i="5"/>
  <c r="C148" i="5"/>
  <c r="C154" i="5"/>
  <c r="D159" i="5"/>
  <c r="E159" i="5"/>
  <c r="D160" i="5"/>
  <c r="E160" i="5" s="1"/>
  <c r="D162" i="5"/>
  <c r="E162" i="5" s="1"/>
  <c r="D163" i="5"/>
  <c r="E163" i="5" s="1"/>
  <c r="D165" i="5"/>
  <c r="E165" i="5"/>
  <c r="D166" i="5"/>
  <c r="E166" i="5" s="1"/>
  <c r="W169" i="5"/>
  <c r="X169" i="5" s="1"/>
  <c r="W170" i="5"/>
  <c r="X170" i="5" s="1"/>
  <c r="W176" i="5"/>
  <c r="X176" i="5" s="1"/>
  <c r="W177" i="5"/>
  <c r="X177" i="5" s="1"/>
  <c r="C200" i="5"/>
  <c r="C216" i="5" s="1"/>
  <c r="C232" i="5" s="1"/>
  <c r="C215" i="5"/>
  <c r="C231" i="5" s="1"/>
  <c r="D200" i="5"/>
  <c r="D216" i="5" s="1"/>
  <c r="D232" i="5" s="1"/>
  <c r="D201" i="5"/>
  <c r="D215" i="5"/>
  <c r="D231" i="5"/>
  <c r="E200" i="5"/>
  <c r="E201" i="5" s="1"/>
  <c r="E202" i="5" s="1"/>
  <c r="E203" i="5" s="1"/>
  <c r="E204" i="5" s="1"/>
  <c r="E215" i="5"/>
  <c r="E216" i="5" s="1"/>
  <c r="E217" i="5" s="1"/>
  <c r="E218" i="5" s="1"/>
  <c r="Q188" i="5"/>
  <c r="R188" i="5"/>
  <c r="S188" i="5"/>
  <c r="Q189" i="5"/>
  <c r="R189" i="5"/>
  <c r="S189" i="5"/>
  <c r="Q190" i="5"/>
  <c r="R190" i="5"/>
  <c r="S190" i="5"/>
  <c r="Q191" i="5"/>
  <c r="R191" i="5"/>
  <c r="S191" i="5"/>
  <c r="Q192" i="5"/>
  <c r="R192" i="5"/>
  <c r="S192" i="5"/>
  <c r="Q193" i="5"/>
  <c r="R193" i="5"/>
  <c r="S193" i="5"/>
  <c r="Q194" i="5"/>
  <c r="R194" i="5"/>
  <c r="S194" i="5"/>
  <c r="Q195" i="5"/>
  <c r="R195" i="5"/>
  <c r="S195" i="5"/>
  <c r="Q196" i="5"/>
  <c r="R196" i="5"/>
  <c r="S196" i="5"/>
  <c r="C213" i="5"/>
  <c r="C229" i="5" s="1"/>
  <c r="D213" i="5"/>
  <c r="D229" i="5" s="1"/>
  <c r="E213" i="5"/>
  <c r="E229" i="5" s="1"/>
  <c r="D214" i="5"/>
  <c r="E214" i="5"/>
  <c r="D230" i="5"/>
  <c r="E230" i="5"/>
  <c r="C245" i="5"/>
  <c r="D245" i="5"/>
  <c r="E245" i="5"/>
  <c r="G249" i="5"/>
  <c r="H249" i="5" s="1"/>
  <c r="D250" i="5"/>
  <c r="D251" i="5"/>
  <c r="G253" i="5"/>
  <c r="H253" i="5" s="1"/>
  <c r="E254" i="5"/>
  <c r="E258" i="5" s="1"/>
  <c r="F254" i="5"/>
  <c r="F258" i="5" s="1"/>
  <c r="G254" i="5"/>
  <c r="H254" i="5"/>
  <c r="H258" i="5" s="1"/>
  <c r="E255" i="5"/>
  <c r="E259" i="5" s="1"/>
  <c r="F255" i="5"/>
  <c r="G255" i="5"/>
  <c r="H255" i="5"/>
  <c r="H259" i="5" s="1"/>
  <c r="G257" i="5"/>
  <c r="H257" i="5" s="1"/>
  <c r="G258" i="5"/>
  <c r="G259" i="5"/>
  <c r="E275" i="5"/>
  <c r="G275" i="5" s="1"/>
  <c r="F275" i="5"/>
  <c r="H275" i="5" s="1"/>
  <c r="E277" i="5"/>
  <c r="G277" i="5" s="1"/>
  <c r="E278" i="5"/>
  <c r="G278" i="5" s="1"/>
  <c r="E279" i="5"/>
  <c r="G279" i="5" s="1"/>
  <c r="C304" i="5"/>
  <c r="D304" i="5"/>
  <c r="E304" i="5"/>
  <c r="F304" i="5"/>
  <c r="G304" i="5"/>
  <c r="H304" i="5"/>
  <c r="I304" i="5"/>
  <c r="J304" i="5"/>
  <c r="B305" i="5"/>
  <c r="C305" i="5"/>
  <c r="D305" i="5"/>
  <c r="E305" i="5"/>
  <c r="F305" i="5"/>
  <c r="G305" i="5"/>
  <c r="H305" i="5"/>
  <c r="I305" i="5"/>
  <c r="J305" i="5"/>
  <c r="B306" i="5"/>
  <c r="C306" i="5"/>
  <c r="D306" i="5"/>
  <c r="E306" i="5"/>
  <c r="F306" i="5"/>
  <c r="G306" i="5"/>
  <c r="H306" i="5"/>
  <c r="I306" i="5"/>
  <c r="J306" i="5"/>
  <c r="B307" i="5"/>
  <c r="C307" i="5"/>
  <c r="D307" i="5"/>
  <c r="E307" i="5"/>
  <c r="F307" i="5"/>
  <c r="G307" i="5"/>
  <c r="H307" i="5"/>
  <c r="I307" i="5"/>
  <c r="J307" i="5"/>
  <c r="B308" i="5"/>
  <c r="C308" i="5"/>
  <c r="D308" i="5"/>
  <c r="E308" i="5"/>
  <c r="F308" i="5"/>
  <c r="G308" i="5"/>
  <c r="H308" i="5"/>
  <c r="I308" i="5"/>
  <c r="J308" i="5"/>
  <c r="B309" i="5"/>
  <c r="B310" i="5"/>
  <c r="C310" i="5"/>
  <c r="D310" i="5"/>
  <c r="E310" i="5"/>
  <c r="F310" i="5"/>
  <c r="G310" i="5"/>
  <c r="H310" i="5"/>
  <c r="I310" i="5"/>
  <c r="J310" i="5"/>
  <c r="B311" i="5"/>
  <c r="C311" i="5"/>
  <c r="D311" i="5"/>
  <c r="E311" i="5"/>
  <c r="F311" i="5"/>
  <c r="G311" i="5"/>
  <c r="H311" i="5"/>
  <c r="I311" i="5"/>
  <c r="J311" i="5"/>
  <c r="B312" i="5"/>
  <c r="C312" i="5"/>
  <c r="D312" i="5"/>
  <c r="E312" i="5"/>
  <c r="F312" i="5"/>
  <c r="G312" i="5"/>
  <c r="H312" i="5"/>
  <c r="I312" i="5"/>
  <c r="J312" i="5"/>
  <c r="B313" i="5"/>
  <c r="C313" i="5"/>
  <c r="D313" i="5"/>
  <c r="E313" i="5"/>
  <c r="F313" i="5"/>
  <c r="G313" i="5"/>
  <c r="H313" i="5"/>
  <c r="I313" i="5"/>
  <c r="J313" i="5"/>
  <c r="B314" i="5"/>
  <c r="C314" i="5"/>
  <c r="D314" i="5"/>
  <c r="E314" i="5"/>
  <c r="F314" i="5"/>
  <c r="G314" i="5"/>
  <c r="H314" i="5"/>
  <c r="I314" i="5"/>
  <c r="J314" i="5"/>
  <c r="B315" i="5"/>
  <c r="B316" i="5"/>
  <c r="C316" i="5"/>
  <c r="D316" i="5"/>
  <c r="E316" i="5"/>
  <c r="F316" i="5"/>
  <c r="G316" i="5"/>
  <c r="H316" i="5"/>
  <c r="I316" i="5"/>
  <c r="J316" i="5"/>
  <c r="B317" i="5"/>
  <c r="C317" i="5"/>
  <c r="D317" i="5"/>
  <c r="E317" i="5"/>
  <c r="F317" i="5"/>
  <c r="G317" i="5"/>
  <c r="H317" i="5"/>
  <c r="I317" i="5"/>
  <c r="J317" i="5"/>
  <c r="B318" i="5"/>
  <c r="C318" i="5"/>
  <c r="D318" i="5"/>
  <c r="E318" i="5"/>
  <c r="F318" i="5"/>
  <c r="G318" i="5"/>
  <c r="H318" i="5"/>
  <c r="I318" i="5"/>
  <c r="J318" i="5"/>
  <c r="B319" i="5"/>
  <c r="C319" i="5"/>
  <c r="D319" i="5"/>
  <c r="E319" i="5"/>
  <c r="F319" i="5"/>
  <c r="G319" i="5"/>
  <c r="H319" i="5"/>
  <c r="I319" i="5"/>
  <c r="J319" i="5"/>
  <c r="B320" i="5"/>
  <c r="C322" i="5"/>
  <c r="D322" i="5"/>
  <c r="E322" i="5"/>
  <c r="F322" i="5"/>
  <c r="G322" i="5"/>
  <c r="H322" i="5"/>
  <c r="I322" i="5"/>
  <c r="J322" i="5"/>
  <c r="B323" i="5"/>
  <c r="C323" i="5"/>
  <c r="D323" i="5"/>
  <c r="E323" i="5"/>
  <c r="F323" i="5"/>
  <c r="G323" i="5"/>
  <c r="H323" i="5"/>
  <c r="I323" i="5"/>
  <c r="J323" i="5"/>
  <c r="B324" i="5"/>
  <c r="C324" i="5"/>
  <c r="D324" i="5"/>
  <c r="E324" i="5"/>
  <c r="F324" i="5"/>
  <c r="G324" i="5"/>
  <c r="H324" i="5"/>
  <c r="I324" i="5"/>
  <c r="J324" i="5"/>
  <c r="B325" i="5"/>
  <c r="C325" i="5"/>
  <c r="D325" i="5"/>
  <c r="E325" i="5"/>
  <c r="F325" i="5"/>
  <c r="G325" i="5"/>
  <c r="H325" i="5"/>
  <c r="I325" i="5"/>
  <c r="J325" i="5"/>
  <c r="B326" i="5"/>
  <c r="C326" i="5"/>
  <c r="D326" i="5"/>
  <c r="E326" i="5"/>
  <c r="F326" i="5"/>
  <c r="G326" i="5"/>
  <c r="H326" i="5"/>
  <c r="I326" i="5"/>
  <c r="J326" i="5"/>
  <c r="B327" i="5"/>
  <c r="B328" i="5"/>
  <c r="C328" i="5"/>
  <c r="D328" i="5"/>
  <c r="E328" i="5"/>
  <c r="F328" i="5"/>
  <c r="G328" i="5"/>
  <c r="H328" i="5"/>
  <c r="I328" i="5"/>
  <c r="J328" i="5"/>
  <c r="B329" i="5"/>
  <c r="C329" i="5"/>
  <c r="D329" i="5"/>
  <c r="E329" i="5"/>
  <c r="F329" i="5"/>
  <c r="G329" i="5"/>
  <c r="H329" i="5"/>
  <c r="I329" i="5"/>
  <c r="J329" i="5"/>
  <c r="B330" i="5"/>
  <c r="C330" i="5"/>
  <c r="D330" i="5"/>
  <c r="E330" i="5"/>
  <c r="F330" i="5"/>
  <c r="G330" i="5"/>
  <c r="H330" i="5"/>
  <c r="I330" i="5"/>
  <c r="J330" i="5"/>
  <c r="B331" i="5"/>
  <c r="C331" i="5"/>
  <c r="D331" i="5"/>
  <c r="E331" i="5"/>
  <c r="F331" i="5"/>
  <c r="G331" i="5"/>
  <c r="H331" i="5"/>
  <c r="I331" i="5"/>
  <c r="J331" i="5"/>
  <c r="B332" i="5"/>
  <c r="C332" i="5"/>
  <c r="D332" i="5"/>
  <c r="E332" i="5"/>
  <c r="F332" i="5"/>
  <c r="G332" i="5"/>
  <c r="H332" i="5"/>
  <c r="I332" i="5"/>
  <c r="J332" i="5"/>
  <c r="B333" i="5"/>
  <c r="B334" i="5"/>
  <c r="C334" i="5"/>
  <c r="D334" i="5"/>
  <c r="E334" i="5"/>
  <c r="F334" i="5"/>
  <c r="G334" i="5"/>
  <c r="H334" i="5"/>
  <c r="I334" i="5"/>
  <c r="J334" i="5"/>
  <c r="B335" i="5"/>
  <c r="C335" i="5"/>
  <c r="D335" i="5"/>
  <c r="E335" i="5"/>
  <c r="F335" i="5"/>
  <c r="G335" i="5"/>
  <c r="H335" i="5"/>
  <c r="I335" i="5"/>
  <c r="J335" i="5"/>
  <c r="B336" i="5"/>
  <c r="C336" i="5"/>
  <c r="D336" i="5"/>
  <c r="E336" i="5"/>
  <c r="F336" i="5"/>
  <c r="G336" i="5"/>
  <c r="H336" i="5"/>
  <c r="I336" i="5"/>
  <c r="J336" i="5"/>
  <c r="B337" i="5"/>
  <c r="C337" i="5"/>
  <c r="D337" i="5"/>
  <c r="E337" i="5"/>
  <c r="F337" i="5"/>
  <c r="G337" i="5"/>
  <c r="H337" i="5"/>
  <c r="I337" i="5"/>
  <c r="J337" i="5"/>
  <c r="B338" i="5"/>
  <c r="C361" i="5"/>
  <c r="D361" i="5"/>
  <c r="C363" i="5"/>
  <c r="D363" i="5"/>
  <c r="D376" i="5" s="1"/>
  <c r="C364" i="5"/>
  <c r="D364" i="5"/>
  <c r="C365" i="5"/>
  <c r="D365" i="5"/>
  <c r="C366" i="5"/>
  <c r="D366" i="5"/>
  <c r="C367" i="5"/>
  <c r="D367" i="5"/>
  <c r="C374" i="5"/>
  <c r="D374" i="5"/>
  <c r="C376" i="5"/>
  <c r="C377" i="5"/>
  <c r="D377" i="5"/>
  <c r="C398" i="5"/>
  <c r="C415" i="5" s="1"/>
  <c r="C433" i="5" s="1"/>
  <c r="D398" i="5"/>
  <c r="D416" i="5" s="1"/>
  <c r="D434" i="5" s="1"/>
  <c r="C405" i="5"/>
  <c r="D405" i="5"/>
  <c r="D423" i="5" s="1"/>
  <c r="E405" i="5"/>
  <c r="E423" i="5" s="1"/>
  <c r="F405" i="5"/>
  <c r="F423" i="5" s="1"/>
  <c r="G405" i="5"/>
  <c r="C409" i="5"/>
  <c r="D409" i="5"/>
  <c r="D427" i="5" s="1"/>
  <c r="E409" i="5"/>
  <c r="E427" i="5" s="1"/>
  <c r="F409" i="5"/>
  <c r="G409" i="5"/>
  <c r="G427" i="5" s="1"/>
  <c r="C411" i="5"/>
  <c r="C429" i="5" s="1"/>
  <c r="D411" i="5"/>
  <c r="E411" i="5"/>
  <c r="F411" i="5"/>
  <c r="G411" i="5"/>
  <c r="G429" i="5" s="1"/>
  <c r="C412" i="5"/>
  <c r="C430" i="5" s="1"/>
  <c r="D412" i="5"/>
  <c r="E412" i="5"/>
  <c r="E430" i="5" s="1"/>
  <c r="F412" i="5"/>
  <c r="F430" i="5" s="1"/>
  <c r="G412" i="5"/>
  <c r="C413" i="5"/>
  <c r="D413" i="5"/>
  <c r="D431" i="5" s="1"/>
  <c r="E413" i="5"/>
  <c r="E431" i="5" s="1"/>
  <c r="F413" i="5"/>
  <c r="F431" i="5" s="1"/>
  <c r="G413" i="5"/>
  <c r="D415" i="5"/>
  <c r="E415" i="5"/>
  <c r="E433" i="5" s="1"/>
  <c r="F415" i="5"/>
  <c r="F433" i="5" s="1"/>
  <c r="G415" i="5"/>
  <c r="C416" i="5"/>
  <c r="E416" i="5"/>
  <c r="E434" i="5" s="1"/>
  <c r="F416" i="5"/>
  <c r="G416" i="5"/>
  <c r="G434" i="5" s="1"/>
  <c r="C417" i="5"/>
  <c r="C435" i="5" s="1"/>
  <c r="D417" i="5"/>
  <c r="D435" i="5" s="1"/>
  <c r="E417" i="5"/>
  <c r="F417" i="5"/>
  <c r="G417" i="5"/>
  <c r="G435" i="5" s="1"/>
  <c r="C423" i="5"/>
  <c r="G423" i="5"/>
  <c r="C427" i="5"/>
  <c r="F427" i="5"/>
  <c r="D429" i="5"/>
  <c r="E429" i="5"/>
  <c r="F429" i="5"/>
  <c r="D430" i="5"/>
  <c r="G430" i="5"/>
  <c r="C431" i="5"/>
  <c r="G431" i="5"/>
  <c r="D433" i="5"/>
  <c r="G433" i="5"/>
  <c r="C434" i="5"/>
  <c r="F434" i="5"/>
  <c r="E435" i="5"/>
  <c r="F435" i="5"/>
  <c r="G443" i="5"/>
  <c r="H443" i="5" s="1"/>
  <c r="D444" i="5"/>
  <c r="D445" i="5"/>
  <c r="G447" i="5"/>
  <c r="H447" i="5" s="1"/>
  <c r="E448" i="5"/>
  <c r="E452" i="5" s="1"/>
  <c r="F448" i="5"/>
  <c r="G448" i="5"/>
  <c r="G452" i="5" s="1"/>
  <c r="H448" i="5"/>
  <c r="H452" i="5" s="1"/>
  <c r="E449" i="5"/>
  <c r="E453" i="5" s="1"/>
  <c r="F449" i="5"/>
  <c r="F453" i="5" s="1"/>
  <c r="G449" i="5"/>
  <c r="G453" i="5" s="1"/>
  <c r="H449" i="5"/>
  <c r="H453" i="5" s="1"/>
  <c r="G451" i="5"/>
  <c r="H451" i="5" s="1"/>
  <c r="C457" i="5"/>
  <c r="C458" i="5" s="1"/>
  <c r="D457" i="5"/>
  <c r="D458" i="5" s="1"/>
  <c r="A27" i="7"/>
  <c r="A52" i="7" s="1"/>
  <c r="A28" i="7"/>
  <c r="A29" i="7"/>
  <c r="A30" i="7"/>
  <c r="A55" i="7" s="1"/>
  <c r="B38" i="5"/>
  <c r="A31" i="7"/>
  <c r="A56" i="7" s="1"/>
  <c r="B59" i="6" s="1"/>
  <c r="A32" i="7"/>
  <c r="A33" i="7"/>
  <c r="A58" i="7" s="1"/>
  <c r="A34" i="7"/>
  <c r="A35" i="7"/>
  <c r="A60" i="7" s="1"/>
  <c r="A38" i="7"/>
  <c r="A63" i="7" s="1"/>
  <c r="A39" i="7"/>
  <c r="A40" i="7"/>
  <c r="A65" i="7" s="1"/>
  <c r="B51" i="5"/>
  <c r="A41" i="7"/>
  <c r="A66" i="7" s="1"/>
  <c r="B59" i="5"/>
  <c r="B60" i="5"/>
  <c r="B61" i="5"/>
  <c r="B62" i="5"/>
  <c r="B67" i="5"/>
  <c r="B68" i="5"/>
  <c r="B69" i="5"/>
  <c r="B70" i="5"/>
  <c r="A61" i="7"/>
  <c r="A62" i="7"/>
  <c r="A67" i="7"/>
  <c r="A68" i="7"/>
  <c r="A93" i="7" s="1"/>
  <c r="A69" i="7"/>
  <c r="B84" i="5" s="1"/>
  <c r="A70" i="7"/>
  <c r="A95" i="7" s="1"/>
  <c r="B88" i="5"/>
  <c r="B89" i="5"/>
  <c r="B90" i="5"/>
  <c r="B91" i="5"/>
  <c r="B96" i="5"/>
  <c r="B97" i="5"/>
  <c r="B98" i="5"/>
  <c r="B99" i="5"/>
  <c r="B119" i="5"/>
  <c r="B120" i="5"/>
  <c r="B121" i="5"/>
  <c r="B122" i="5"/>
  <c r="A104" i="7"/>
  <c r="A143" i="7" s="1"/>
  <c r="B127" i="5"/>
  <c r="B128" i="5"/>
  <c r="B129" i="5"/>
  <c r="B130" i="5"/>
  <c r="A106" i="7"/>
  <c r="A107" i="7"/>
  <c r="A108" i="7"/>
  <c r="A109" i="7"/>
  <c r="B135" i="5" s="1"/>
  <c r="A110" i="7"/>
  <c r="B136" i="5" s="1"/>
  <c r="A111" i="7"/>
  <c r="B137" i="5"/>
  <c r="A112" i="7"/>
  <c r="A113" i="7"/>
  <c r="A114" i="7"/>
  <c r="A115" i="7"/>
  <c r="B141" i="5" s="1"/>
  <c r="A116" i="7"/>
  <c r="A1" i="8"/>
  <c r="E5" i="19"/>
  <c r="E6" i="19"/>
  <c r="E7" i="19"/>
  <c r="A8" i="19"/>
  <c r="E8" i="19"/>
  <c r="F8" i="19"/>
  <c r="G8" i="19"/>
  <c r="H8" i="19"/>
  <c r="B10" i="19"/>
  <c r="B11" i="19"/>
  <c r="E12" i="19"/>
  <c r="A13" i="19"/>
  <c r="E13" i="19"/>
  <c r="F13" i="19"/>
  <c r="G13" i="19"/>
  <c r="H13" i="19"/>
  <c r="B15" i="19"/>
  <c r="B16" i="19"/>
  <c r="B17" i="19"/>
  <c r="E39" i="3"/>
  <c r="E38" i="3"/>
  <c r="E37" i="3"/>
  <c r="E36" i="3"/>
  <c r="E5" i="3"/>
  <c r="E4" i="3"/>
  <c r="F4" i="3" s="1"/>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A5" i="13"/>
  <c r="A6" i="13" s="1"/>
  <c r="A7" i="13" s="1"/>
  <c r="A8" i="13" s="1"/>
  <c r="A9" i="13" s="1"/>
  <c r="A10" i="13" s="1"/>
  <c r="A11" i="13" s="1"/>
  <c r="A12" i="13" s="1"/>
  <c r="A13" i="13" s="1"/>
  <c r="A14" i="13" s="1"/>
  <c r="A15" i="13" s="1"/>
  <c r="A20" i="13"/>
  <c r="A21" i="13" s="1"/>
  <c r="A22" i="13" s="1"/>
  <c r="A23" i="13" s="1"/>
  <c r="A24" i="13" s="1"/>
  <c r="A25" i="13" s="1"/>
  <c r="A26" i="13" s="1"/>
  <c r="A27" i="13" s="1"/>
  <c r="A28" i="13" s="1"/>
  <c r="A29" i="13" s="1"/>
  <c r="A30" i="13" s="1"/>
  <c r="A37" i="13"/>
  <c r="A38" i="13" s="1"/>
  <c r="A39" i="13" s="1"/>
  <c r="A40" i="13" s="1"/>
  <c r="A41" i="13" s="1"/>
  <c r="A42" i="13" s="1"/>
  <c r="A43" i="13" s="1"/>
  <c r="A44" i="13" s="1"/>
  <c r="A45" i="13" s="1"/>
  <c r="A46" i="13" s="1"/>
  <c r="A47" i="13" s="1"/>
  <c r="A52" i="13"/>
  <c r="A53" i="13" s="1"/>
  <c r="A54" i="13" s="1"/>
  <c r="A55" i="13" s="1"/>
  <c r="A56" i="13" s="1"/>
  <c r="A57" i="13" s="1"/>
  <c r="A58" i="13" s="1"/>
  <c r="A59" i="13" s="1"/>
  <c r="A60" i="13" s="1"/>
  <c r="A61" i="13" s="1"/>
  <c r="A62" i="13" s="1"/>
  <c r="A71" i="13"/>
  <c r="A72" i="13" s="1"/>
  <c r="A73" i="13" s="1"/>
  <c r="A74" i="13" s="1"/>
  <c r="A75" i="13" s="1"/>
  <c r="A76" i="13" s="1"/>
  <c r="A77" i="13" s="1"/>
  <c r="A78" i="13" s="1"/>
  <c r="A79" i="13" s="1"/>
  <c r="A80" i="13" s="1"/>
  <c r="A81" i="13" s="1"/>
  <c r="A86" i="13"/>
  <c r="A87" i="13"/>
  <c r="A88" i="13" s="1"/>
  <c r="A89" i="13" s="1"/>
  <c r="A90" i="13" s="1"/>
  <c r="A91" i="13" s="1"/>
  <c r="A92" i="13" s="1"/>
  <c r="A93" i="13" s="1"/>
  <c r="A94" i="13" s="1"/>
  <c r="A95" i="13" s="1"/>
  <c r="A96" i="13" s="1"/>
  <c r="A103" i="13"/>
  <c r="A104" i="13" s="1"/>
  <c r="A105" i="13" s="1"/>
  <c r="A106" i="13" s="1"/>
  <c r="A107" i="13" s="1"/>
  <c r="A108" i="13" s="1"/>
  <c r="A109" i="13" s="1"/>
  <c r="A110" i="13" s="1"/>
  <c r="A111" i="13" s="1"/>
  <c r="A112" i="13" s="1"/>
  <c r="A113" i="13" s="1"/>
  <c r="A118" i="13"/>
  <c r="A119" i="13" s="1"/>
  <c r="A120" i="13" s="1"/>
  <c r="A121" i="13" s="1"/>
  <c r="A122" i="13" s="1"/>
  <c r="A123" i="13" s="1"/>
  <c r="A124" i="13" s="1"/>
  <c r="A125" i="13" s="1"/>
  <c r="A126" i="13" s="1"/>
  <c r="A127" i="13" s="1"/>
  <c r="A128" i="13" s="1"/>
  <c r="A137" i="13"/>
  <c r="A138" i="13" s="1"/>
  <c r="A139" i="13" s="1"/>
  <c r="A140" i="13" s="1"/>
  <c r="A141" i="13" s="1"/>
  <c r="A142" i="13" s="1"/>
  <c r="A143" i="13" s="1"/>
  <c r="A144" i="13" s="1"/>
  <c r="A145" i="13" s="1"/>
  <c r="A146" i="13" s="1"/>
  <c r="A147" i="13" s="1"/>
  <c r="A152" i="13"/>
  <c r="A153" i="13" s="1"/>
  <c r="A154" i="13" s="1"/>
  <c r="A155" i="13" s="1"/>
  <c r="A156" i="13" s="1"/>
  <c r="A157" i="13" s="1"/>
  <c r="A158" i="13" s="1"/>
  <c r="A159" i="13" s="1"/>
  <c r="A160" i="13" s="1"/>
  <c r="A161" i="13" s="1"/>
  <c r="A162" i="13" s="1"/>
  <c r="A169" i="13"/>
  <c r="A170" i="13" s="1"/>
  <c r="A171" i="13" s="1"/>
  <c r="A172" i="13" s="1"/>
  <c r="A173" i="13" s="1"/>
  <c r="A174" i="13" s="1"/>
  <c r="A175" i="13" s="1"/>
  <c r="A176" i="13" s="1"/>
  <c r="A177" i="13" s="1"/>
  <c r="A178" i="13" s="1"/>
  <c r="A179" i="13" s="1"/>
  <c r="A184" i="13"/>
  <c r="A185" i="13" s="1"/>
  <c r="A186" i="13" s="1"/>
  <c r="A187" i="13" s="1"/>
  <c r="A188" i="13" s="1"/>
  <c r="A189" i="13" s="1"/>
  <c r="A190" i="13" s="1"/>
  <c r="A191" i="13" s="1"/>
  <c r="A192" i="13" s="1"/>
  <c r="A193" i="13" s="1"/>
  <c r="A194" i="13" s="1"/>
  <c r="B33" i="6"/>
  <c r="D34" i="6"/>
  <c r="E34" i="6"/>
  <c r="F34" i="6"/>
  <c r="G34" i="6"/>
  <c r="H34" i="6"/>
  <c r="I34" i="6"/>
  <c r="J34" i="6"/>
  <c r="K34" i="6"/>
  <c r="L34" i="6"/>
  <c r="M34" i="6"/>
  <c r="N34" i="6"/>
  <c r="D42" i="6"/>
  <c r="D38" i="6" s="1"/>
  <c r="E42" i="6"/>
  <c r="E38" i="6" s="1"/>
  <c r="F42" i="6"/>
  <c r="F38" i="6" s="1"/>
  <c r="G42" i="6"/>
  <c r="G38" i="6" s="1"/>
  <c r="H42" i="6"/>
  <c r="H38" i="6" s="1"/>
  <c r="I42" i="6"/>
  <c r="I38" i="6" s="1"/>
  <c r="J42" i="6"/>
  <c r="J38" i="6" s="1"/>
  <c r="J52" i="6" s="1"/>
  <c r="K42" i="6"/>
  <c r="K38" i="6" s="1"/>
  <c r="L42" i="6"/>
  <c r="L38" i="6" s="1"/>
  <c r="M42" i="6"/>
  <c r="M38" i="6" s="1"/>
  <c r="N42" i="6"/>
  <c r="N38" i="6" s="1"/>
  <c r="B43" i="6"/>
  <c r="B44" i="6"/>
  <c r="B49" i="6"/>
  <c r="F49" i="6"/>
  <c r="G49" i="6"/>
  <c r="H49" i="6"/>
  <c r="I49" i="6"/>
  <c r="K49" i="6"/>
  <c r="M49" i="6"/>
  <c r="N49" i="6"/>
  <c r="B50" i="6"/>
  <c r="B51" i="6"/>
  <c r="B52" i="6"/>
  <c r="B54" i="6"/>
  <c r="C55" i="6"/>
  <c r="D55" i="6"/>
  <c r="E55" i="6"/>
  <c r="F55" i="6"/>
  <c r="G55" i="6"/>
  <c r="H55" i="6"/>
  <c r="H73" i="6" s="1"/>
  <c r="I55" i="6"/>
  <c r="J55" i="6"/>
  <c r="K55" i="6"/>
  <c r="L55" i="6"/>
  <c r="M55" i="6"/>
  <c r="N55" i="6"/>
  <c r="D63" i="6"/>
  <c r="D59" i="6" s="1"/>
  <c r="E63" i="6"/>
  <c r="E59" i="6" s="1"/>
  <c r="E73" i="6" s="1"/>
  <c r="F63" i="6"/>
  <c r="F59" i="6" s="1"/>
  <c r="G63" i="6"/>
  <c r="G59" i="6" s="1"/>
  <c r="H63" i="6"/>
  <c r="H59" i="6" s="1"/>
  <c r="I63" i="6"/>
  <c r="I59" i="6"/>
  <c r="J63" i="6"/>
  <c r="J59" i="6" s="1"/>
  <c r="K63" i="6"/>
  <c r="K59" i="6" s="1"/>
  <c r="L63" i="6"/>
  <c r="L59" i="6" s="1"/>
  <c r="M63" i="6"/>
  <c r="M59" i="6"/>
  <c r="N63" i="6"/>
  <c r="N59" i="6" s="1"/>
  <c r="C70" i="6"/>
  <c r="D70" i="6"/>
  <c r="E70" i="6"/>
  <c r="F70" i="6"/>
  <c r="G70" i="6"/>
  <c r="H70" i="6"/>
  <c r="I70" i="6"/>
  <c r="J70" i="6"/>
  <c r="K70" i="6"/>
  <c r="L70" i="6"/>
  <c r="M70" i="6"/>
  <c r="N70" i="6"/>
  <c r="N73" i="6" s="1"/>
  <c r="B75" i="6"/>
  <c r="C76" i="6"/>
  <c r="D76" i="6"/>
  <c r="E76" i="6"/>
  <c r="F76" i="6"/>
  <c r="G76" i="6"/>
  <c r="H76" i="6"/>
  <c r="I76" i="6"/>
  <c r="J76" i="6"/>
  <c r="J94" i="6" s="1"/>
  <c r="K76" i="6"/>
  <c r="L76" i="6"/>
  <c r="M76" i="6"/>
  <c r="N76" i="6"/>
  <c r="D84" i="6"/>
  <c r="D80" i="6" s="1"/>
  <c r="D94" i="6" s="1"/>
  <c r="E84" i="6"/>
  <c r="E80" i="6" s="1"/>
  <c r="F84" i="6"/>
  <c r="F80" i="6" s="1"/>
  <c r="G84" i="6"/>
  <c r="G80" i="6" s="1"/>
  <c r="H84" i="6"/>
  <c r="H80" i="6" s="1"/>
  <c r="I84" i="6"/>
  <c r="I80" i="6" s="1"/>
  <c r="J84" i="6"/>
  <c r="J80" i="6" s="1"/>
  <c r="K84" i="6"/>
  <c r="K80" i="6" s="1"/>
  <c r="L84" i="6"/>
  <c r="L80" i="6" s="1"/>
  <c r="M84" i="6"/>
  <c r="M80" i="6"/>
  <c r="N84" i="6"/>
  <c r="N80" i="6" s="1"/>
  <c r="C91" i="6"/>
  <c r="C94" i="6" s="1"/>
  <c r="D91" i="6"/>
  <c r="E91" i="6"/>
  <c r="E94" i="6"/>
  <c r="F91" i="6"/>
  <c r="F94" i="6"/>
  <c r="G91" i="6"/>
  <c r="H91" i="6"/>
  <c r="H94" i="6"/>
  <c r="I91" i="6"/>
  <c r="I94" i="6"/>
  <c r="J91" i="6"/>
  <c r="K91" i="6"/>
  <c r="L91" i="6"/>
  <c r="M91" i="6"/>
  <c r="N91" i="6"/>
  <c r="C97" i="6"/>
  <c r="D97" i="6"/>
  <c r="E97" i="6"/>
  <c r="C98" i="6"/>
  <c r="D98" i="6"/>
  <c r="E98" i="6"/>
  <c r="C100" i="6"/>
  <c r="C99" i="6" s="1"/>
  <c r="D100" i="6"/>
  <c r="D99" i="6" s="1"/>
  <c r="E100" i="6"/>
  <c r="E99" i="6" s="1"/>
  <c r="C101" i="6"/>
  <c r="D101" i="6"/>
  <c r="E101" i="6"/>
  <c r="C102" i="6"/>
  <c r="D102" i="6"/>
  <c r="E102" i="6"/>
  <c r="C128" i="6"/>
  <c r="D128" i="6"/>
  <c r="E128" i="6"/>
  <c r="C134" i="6"/>
  <c r="D134" i="6"/>
  <c r="E134" i="6"/>
  <c r="D140" i="6"/>
  <c r="E146" i="6"/>
  <c r="C236" i="18" s="1"/>
  <c r="C168" i="6"/>
  <c r="C184" i="6" s="1"/>
  <c r="C200" i="6" s="1"/>
  <c r="D168" i="6"/>
  <c r="D184" i="6" s="1"/>
  <c r="D200" i="6" s="1"/>
  <c r="E168" i="6"/>
  <c r="E184" i="6" s="1"/>
  <c r="E200" i="6" s="1"/>
  <c r="F168" i="6"/>
  <c r="F184" i="6" s="1"/>
  <c r="F200" i="6" s="1"/>
  <c r="G168" i="6"/>
  <c r="G184" i="6" s="1"/>
  <c r="G200" i="6"/>
  <c r="H168" i="6"/>
  <c r="I168" i="6"/>
  <c r="I184" i="6" s="1"/>
  <c r="I200" i="6" s="1"/>
  <c r="J168" i="6"/>
  <c r="J184" i="6" s="1"/>
  <c r="J200" i="6" s="1"/>
  <c r="K168" i="6"/>
  <c r="K184" i="6" s="1"/>
  <c r="K200" i="6" s="1"/>
  <c r="L168" i="6"/>
  <c r="L184" i="6" s="1"/>
  <c r="M168" i="6"/>
  <c r="M184" i="6" s="1"/>
  <c r="M200" i="6" s="1"/>
  <c r="N168" i="6"/>
  <c r="N184" i="6" s="1"/>
  <c r="N200" i="6" s="1"/>
  <c r="D169" i="6"/>
  <c r="E169" i="6"/>
  <c r="G169" i="6"/>
  <c r="H184" i="6"/>
  <c r="H200" i="6" s="1"/>
  <c r="L200" i="6"/>
  <c r="D185" i="6"/>
  <c r="E185" i="6"/>
  <c r="G185" i="6"/>
  <c r="D201" i="6"/>
  <c r="E201" i="6"/>
  <c r="G201" i="6"/>
  <c r="B251" i="6"/>
  <c r="B252" i="6"/>
  <c r="B253" i="6"/>
  <c r="B254" i="6"/>
  <c r="B255" i="6"/>
  <c r="B256" i="6"/>
  <c r="B257" i="6"/>
  <c r="B258" i="6"/>
  <c r="B259" i="6"/>
  <c r="B260" i="6"/>
  <c r="B261" i="6"/>
  <c r="B262" i="6"/>
  <c r="B263" i="6"/>
  <c r="B264" i="6"/>
  <c r="B265" i="6"/>
  <c r="B266" i="6"/>
  <c r="B269" i="6"/>
  <c r="B270" i="6"/>
  <c r="B271" i="6"/>
  <c r="B272" i="6"/>
  <c r="B273" i="6"/>
  <c r="B274" i="6"/>
  <c r="B275" i="6"/>
  <c r="B276" i="6"/>
  <c r="B277" i="6"/>
  <c r="B278" i="6"/>
  <c r="B279" i="6"/>
  <c r="B280" i="6"/>
  <c r="B281" i="6"/>
  <c r="B282" i="6"/>
  <c r="B283" i="6"/>
  <c r="B284" i="6"/>
  <c r="G314" i="6"/>
  <c r="G119" i="14" s="1"/>
  <c r="H314" i="6"/>
  <c r="H327" i="6" s="1"/>
  <c r="H220" i="14"/>
  <c r="I314" i="6"/>
  <c r="I327" i="6"/>
  <c r="I220" i="14" s="1"/>
  <c r="J314" i="6"/>
  <c r="J327" i="6"/>
  <c r="J220" i="14" s="1"/>
  <c r="K314" i="6"/>
  <c r="L314" i="6"/>
  <c r="L327" i="6" s="1"/>
  <c r="L220" i="14" s="1"/>
  <c r="D362" i="6"/>
  <c r="D380" i="6" s="1"/>
  <c r="D216" i="15" s="1"/>
  <c r="F362" i="6"/>
  <c r="F380" i="6" s="1"/>
  <c r="F216" i="15" s="1"/>
  <c r="G362" i="6"/>
  <c r="G119" i="15" s="1"/>
  <c r="G380" i="6"/>
  <c r="G216" i="15" s="1"/>
  <c r="G390" i="6"/>
  <c r="H390" i="6" s="1"/>
  <c r="I390" i="6" s="1"/>
  <c r="J390" i="6" s="1"/>
  <c r="K390" i="6" s="1"/>
  <c r="L390" i="6" s="1"/>
  <c r="M390" i="6"/>
  <c r="N390" i="6" s="1"/>
  <c r="O390" i="6" s="1"/>
  <c r="P390" i="6" s="1"/>
  <c r="D391" i="6"/>
  <c r="D392" i="6"/>
  <c r="G394" i="6"/>
  <c r="H394" i="6" s="1"/>
  <c r="I394" i="6"/>
  <c r="J394" i="6" s="1"/>
  <c r="K394" i="6" s="1"/>
  <c r="L394" i="6" s="1"/>
  <c r="M394" i="6" s="1"/>
  <c r="N394" i="6" s="1"/>
  <c r="O394" i="6" s="1"/>
  <c r="P394" i="6" s="1"/>
  <c r="G398" i="6"/>
  <c r="H398" i="6" s="1"/>
  <c r="I398" i="6" s="1"/>
  <c r="J398" i="6" s="1"/>
  <c r="K398" i="6" s="1"/>
  <c r="L398" i="6" s="1"/>
  <c r="M398" i="6" s="1"/>
  <c r="N398" i="6" s="1"/>
  <c r="O398" i="6" s="1"/>
  <c r="P398" i="6" s="1"/>
  <c r="B37" i="6"/>
  <c r="B47" i="6"/>
  <c r="B66" i="6"/>
  <c r="B72" i="6"/>
  <c r="B99" i="6"/>
  <c r="B100" i="6"/>
  <c r="B101" i="6"/>
  <c r="B102" i="6"/>
  <c r="B107" i="6"/>
  <c r="B108" i="6"/>
  <c r="B109" i="6"/>
  <c r="B110" i="6"/>
  <c r="B113" i="6"/>
  <c r="B115" i="6"/>
  <c r="B121" i="6"/>
  <c r="Z50" i="7"/>
  <c r="Z75" i="7" s="1"/>
  <c r="A51" i="7"/>
  <c r="A76" i="7" s="1"/>
  <c r="A130" i="7"/>
  <c r="A148" i="7" s="1"/>
  <c r="A134" i="7"/>
  <c r="A152" i="7" s="1"/>
  <c r="Y16" i="9"/>
  <c r="AM16" i="9"/>
  <c r="BE14" i="9"/>
  <c r="BE15" i="9" s="1"/>
  <c r="AM17" i="9"/>
  <c r="BE16" i="9"/>
  <c r="BE17" i="9" s="1"/>
  <c r="BE18" i="9" s="1"/>
  <c r="BE19" i="9" s="1"/>
  <c r="BE20" i="9" s="1"/>
  <c r="BE21" i="9" s="1"/>
  <c r="BE22" i="9" s="1"/>
  <c r="BE23" i="9" s="1"/>
  <c r="BE24" i="9" s="1"/>
  <c r="BE25" i="9" s="1"/>
  <c r="BE26" i="9" s="1"/>
  <c r="BE27" i="9" s="1"/>
  <c r="BE28" i="9" s="1"/>
  <c r="BE29" i="9" s="1"/>
  <c r="BE30" i="9" s="1"/>
  <c r="BE31" i="9" s="1"/>
  <c r="BE32" i="9" s="1"/>
  <c r="BE33" i="9" s="1"/>
  <c r="BE34" i="9" s="1"/>
  <c r="BE35" i="9" s="1"/>
  <c r="BE36" i="9" s="1"/>
  <c r="BE37" i="9" s="1"/>
  <c r="BE38" i="9" s="1"/>
  <c r="BE39" i="9" s="1"/>
  <c r="BE40" i="9" s="1"/>
  <c r="BE41" i="9" s="1"/>
  <c r="BE42" i="9" s="1"/>
  <c r="BE43" i="9" s="1"/>
  <c r="BE44" i="9" s="1"/>
  <c r="BE45" i="9" s="1"/>
  <c r="BE46" i="9" s="1"/>
  <c r="BE47" i="9" s="1"/>
  <c r="BE48" i="9" s="1"/>
  <c r="BE49" i="9" s="1"/>
  <c r="BE50" i="9" s="1"/>
  <c r="BE51" i="9" s="1"/>
  <c r="BE52" i="9" s="1"/>
  <c r="BE53" i="9" s="1"/>
  <c r="BE54" i="9" s="1"/>
  <c r="BE55" i="9" s="1"/>
  <c r="BE56" i="9" s="1"/>
  <c r="BE57" i="9" s="1"/>
  <c r="BE58" i="9" s="1"/>
  <c r="BE59" i="9" s="1"/>
  <c r="BE60" i="9" s="1"/>
  <c r="BE61" i="9" s="1"/>
  <c r="BE62" i="9" s="1"/>
  <c r="BE63" i="9" s="1"/>
  <c r="BE64" i="9" s="1"/>
  <c r="BE65" i="9" s="1"/>
  <c r="BE66" i="9" s="1"/>
  <c r="BE67" i="9" s="1"/>
  <c r="BE68" i="9" s="1"/>
  <c r="BE69" i="9" s="1"/>
  <c r="BE70" i="9" s="1"/>
  <c r="BE71" i="9" s="1"/>
  <c r="BE72" i="9" s="1"/>
  <c r="BE73" i="9" s="1"/>
  <c r="BE74" i="9" s="1"/>
  <c r="BE75" i="9" s="1"/>
  <c r="BE76" i="9" s="1"/>
  <c r="BE77" i="9" s="1"/>
  <c r="BE78" i="9" s="1"/>
  <c r="BE79" i="9" s="1"/>
  <c r="BE80" i="9" s="1"/>
  <c r="BE81" i="9" s="1"/>
  <c r="BE82" i="9" s="1"/>
  <c r="BE83" i="9" s="1"/>
  <c r="BE84" i="9" s="1"/>
  <c r="AM18" i="9"/>
  <c r="R16" i="9"/>
  <c r="AF16" i="9"/>
  <c r="W102" i="9"/>
  <c r="AF17" i="9"/>
  <c r="AQ17" i="9"/>
  <c r="AQ18" i="9" s="1"/>
  <c r="AQ19" i="9" s="1"/>
  <c r="AQ20" i="9" s="1"/>
  <c r="AQ21" i="9" s="1"/>
  <c r="AQ22" i="9" s="1"/>
  <c r="AQ23" i="9" s="1"/>
  <c r="AQ24" i="9" s="1"/>
  <c r="AQ25" i="9" s="1"/>
  <c r="AQ26" i="9" s="1"/>
  <c r="AQ27" i="9" s="1"/>
  <c r="AQ28" i="9" s="1"/>
  <c r="AQ29" i="9" s="1"/>
  <c r="AQ30" i="9" s="1"/>
  <c r="AQ31" i="9" s="1"/>
  <c r="AQ32" i="9" s="1"/>
  <c r="AQ33" i="9" s="1"/>
  <c r="AQ34" i="9" s="1"/>
  <c r="AQ35" i="9" s="1"/>
  <c r="AQ36" i="9" s="1"/>
  <c r="AQ37" i="9" s="1"/>
  <c r="AQ38" i="9" s="1"/>
  <c r="AQ39" i="9" s="1"/>
  <c r="AQ40" i="9" s="1"/>
  <c r="AQ41" i="9" s="1"/>
  <c r="AQ42" i="9" s="1"/>
  <c r="AQ43" i="9" s="1"/>
  <c r="AQ44" i="9" s="1"/>
  <c r="AQ45" i="9" s="1"/>
  <c r="AQ46" i="9" s="1"/>
  <c r="AQ47" i="9" s="1"/>
  <c r="AQ48" i="9" s="1"/>
  <c r="AQ49" i="9" s="1"/>
  <c r="AQ50" i="9" s="1"/>
  <c r="AQ51" i="9" s="1"/>
  <c r="AQ52" i="9" s="1"/>
  <c r="AQ53" i="9" s="1"/>
  <c r="AQ54" i="9" s="1"/>
  <c r="AQ55" i="9" s="1"/>
  <c r="AQ56" i="9" s="1"/>
  <c r="AQ57" i="9" s="1"/>
  <c r="AQ58" i="9" s="1"/>
  <c r="AQ59" i="9" s="1"/>
  <c r="AQ60" i="9" s="1"/>
  <c r="AQ61" i="9" s="1"/>
  <c r="AQ62" i="9" s="1"/>
  <c r="AQ63" i="9" s="1"/>
  <c r="AQ64" i="9" s="1"/>
  <c r="AQ65" i="9" s="1"/>
  <c r="AQ66" i="9" s="1"/>
  <c r="AQ67" i="9" s="1"/>
  <c r="AQ68" i="9" s="1"/>
  <c r="AQ69" i="9" s="1"/>
  <c r="AQ70" i="9" s="1"/>
  <c r="AQ71" i="9" s="1"/>
  <c r="AQ72" i="9" s="1"/>
  <c r="AQ73" i="9" s="1"/>
  <c r="AQ74" i="9" s="1"/>
  <c r="AQ75" i="9" s="1"/>
  <c r="AQ76" i="9" s="1"/>
  <c r="AQ77" i="9" s="1"/>
  <c r="AQ78" i="9" s="1"/>
  <c r="AQ79" i="9" s="1"/>
  <c r="AQ80" i="9" s="1"/>
  <c r="AQ81" i="9" s="1"/>
  <c r="AQ82" i="9" s="1"/>
  <c r="AQ83" i="9" s="1"/>
  <c r="AQ84" i="9" s="1"/>
  <c r="AQ85" i="9" s="1"/>
  <c r="AQ86" i="9" s="1"/>
  <c r="AQ87" i="9" s="1"/>
  <c r="K102" i="9"/>
  <c r="Y102" i="9"/>
  <c r="AM102" i="9"/>
  <c r="K103" i="9"/>
  <c r="Y103" i="9"/>
  <c r="K188" i="9"/>
  <c r="Y188" i="9"/>
  <c r="AM188" i="9"/>
  <c r="K189" i="9"/>
  <c r="AS94" i="9"/>
  <c r="AS97" i="9"/>
  <c r="AS98" i="9"/>
  <c r="D102" i="9"/>
  <c r="T102" i="9"/>
  <c r="AF102" i="9"/>
  <c r="AF103" i="9" s="1"/>
  <c r="AH102" i="9"/>
  <c r="AQ103" i="9"/>
  <c r="AQ104" i="9" s="1"/>
  <c r="AQ105" i="9" s="1"/>
  <c r="AQ106" i="9" s="1"/>
  <c r="AQ107" i="9" s="1"/>
  <c r="AQ108" i="9" s="1"/>
  <c r="AQ109" i="9" s="1"/>
  <c r="AQ110" i="9" s="1"/>
  <c r="AQ111" i="9" s="1"/>
  <c r="AQ112" i="9" s="1"/>
  <c r="AQ113" i="9" s="1"/>
  <c r="AQ114" i="9" s="1"/>
  <c r="AQ115" i="9" s="1"/>
  <c r="AQ116" i="9" s="1"/>
  <c r="AQ117" i="9" s="1"/>
  <c r="AQ118" i="9" s="1"/>
  <c r="AQ119" i="9" s="1"/>
  <c r="AQ120" i="9" s="1"/>
  <c r="AQ121" i="9" s="1"/>
  <c r="AQ122" i="9" s="1"/>
  <c r="AQ123" i="9" s="1"/>
  <c r="AQ124" i="9" s="1"/>
  <c r="AQ125" i="9" s="1"/>
  <c r="AQ126" i="9" s="1"/>
  <c r="AQ127" i="9" s="1"/>
  <c r="AQ128" i="9" s="1"/>
  <c r="AQ129" i="9" s="1"/>
  <c r="AQ130" i="9" s="1"/>
  <c r="AQ131" i="9" s="1"/>
  <c r="AQ132" i="9" s="1"/>
  <c r="AQ133" i="9" s="1"/>
  <c r="AQ134" i="9" s="1"/>
  <c r="AQ135" i="9" s="1"/>
  <c r="AQ136" i="9" s="1"/>
  <c r="AQ137" i="9" s="1"/>
  <c r="AQ138" i="9" s="1"/>
  <c r="AQ139" i="9" s="1"/>
  <c r="AQ140" i="9" s="1"/>
  <c r="AQ141" i="9" s="1"/>
  <c r="AQ142" i="9" s="1"/>
  <c r="AQ143" i="9" s="1"/>
  <c r="AQ144" i="9" s="1"/>
  <c r="AQ145" i="9" s="1"/>
  <c r="AQ146" i="9" s="1"/>
  <c r="AQ147" i="9" s="1"/>
  <c r="AQ148" i="9" s="1"/>
  <c r="AQ149" i="9" s="1"/>
  <c r="AQ150" i="9" s="1"/>
  <c r="AQ151" i="9" s="1"/>
  <c r="AQ152" i="9" s="1"/>
  <c r="AQ153" i="9" s="1"/>
  <c r="AQ154" i="9" s="1"/>
  <c r="AQ155" i="9" s="1"/>
  <c r="AQ156" i="9" s="1"/>
  <c r="AQ157" i="9" s="1"/>
  <c r="AQ158" i="9" s="1"/>
  <c r="AQ159" i="9" s="1"/>
  <c r="AQ160" i="9" s="1"/>
  <c r="AQ161" i="9" s="1"/>
  <c r="AQ162" i="9" s="1"/>
  <c r="AQ163" i="9" s="1"/>
  <c r="AQ164" i="9" s="1"/>
  <c r="AQ165" i="9" s="1"/>
  <c r="AQ166" i="9" s="1"/>
  <c r="AQ167" i="9" s="1"/>
  <c r="AQ168" i="9" s="1"/>
  <c r="AQ169" i="9" s="1"/>
  <c r="AQ170" i="9" s="1"/>
  <c r="AQ171" i="9" s="1"/>
  <c r="AQ172" i="9" s="1"/>
  <c r="AQ173" i="9" s="1"/>
  <c r="AS180" i="9"/>
  <c r="AS183" i="9"/>
  <c r="AS184" i="9"/>
  <c r="F188" i="9"/>
  <c r="R188" i="9"/>
  <c r="T188" i="9"/>
  <c r="AF188" i="9"/>
  <c r="AH188" i="9"/>
  <c r="AQ189" i="9"/>
  <c r="AQ190" i="9" s="1"/>
  <c r="AQ191" i="9" s="1"/>
  <c r="AQ192" i="9" s="1"/>
  <c r="AQ193" i="9" s="1"/>
  <c r="AQ194" i="9" s="1"/>
  <c r="AQ195" i="9" s="1"/>
  <c r="AQ196" i="9" s="1"/>
  <c r="AQ197" i="9" s="1"/>
  <c r="AQ198" i="9" s="1"/>
  <c r="AQ199" i="9" s="1"/>
  <c r="AQ200" i="9" s="1"/>
  <c r="AQ201" i="9" s="1"/>
  <c r="AQ202" i="9" s="1"/>
  <c r="AQ203" i="9" s="1"/>
  <c r="AQ204" i="9" s="1"/>
  <c r="AQ205" i="9" s="1"/>
  <c r="AQ206" i="9" s="1"/>
  <c r="AQ207" i="9" s="1"/>
  <c r="AQ208" i="9" s="1"/>
  <c r="AQ209" i="9" s="1"/>
  <c r="AQ210" i="9" s="1"/>
  <c r="AQ211" i="9" s="1"/>
  <c r="AQ212" i="9" s="1"/>
  <c r="AQ213" i="9" s="1"/>
  <c r="AQ214" i="9" s="1"/>
  <c r="AQ215" i="9" s="1"/>
  <c r="AQ216" i="9" s="1"/>
  <c r="AQ217" i="9" s="1"/>
  <c r="AQ218" i="9" s="1"/>
  <c r="AQ219" i="9" s="1"/>
  <c r="AQ220" i="9" s="1"/>
  <c r="AQ221" i="9" s="1"/>
  <c r="AQ222" i="9" s="1"/>
  <c r="AQ223" i="9" s="1"/>
  <c r="AQ224" i="9" s="1"/>
  <c r="AQ225" i="9" s="1"/>
  <c r="AQ226" i="9" s="1"/>
  <c r="AQ227" i="9" s="1"/>
  <c r="AQ228" i="9" s="1"/>
  <c r="AQ229" i="9" s="1"/>
  <c r="AQ230" i="9" s="1"/>
  <c r="AQ231" i="9" s="1"/>
  <c r="AQ232" i="9" s="1"/>
  <c r="AQ233" i="9" s="1"/>
  <c r="AQ234" i="9" s="1"/>
  <c r="AQ235" i="9" s="1"/>
  <c r="AQ236" i="9" s="1"/>
  <c r="AQ237" i="9" s="1"/>
  <c r="AQ238" i="9" s="1"/>
  <c r="AQ239" i="9" s="1"/>
  <c r="AQ240" i="9" s="1"/>
  <c r="AQ241" i="9" s="1"/>
  <c r="AQ242" i="9" s="1"/>
  <c r="AQ243" i="9" s="1"/>
  <c r="AQ244" i="9" s="1"/>
  <c r="AQ245" i="9" s="1"/>
  <c r="AQ246" i="9" s="1"/>
  <c r="AQ247" i="9" s="1"/>
  <c r="AQ248" i="9" s="1"/>
  <c r="AQ249" i="9" s="1"/>
  <c r="AQ250" i="9" s="1"/>
  <c r="AQ251" i="9" s="1"/>
  <c r="AQ252" i="9" s="1"/>
  <c r="AQ253" i="9" s="1"/>
  <c r="AQ254" i="9" s="1"/>
  <c r="AQ255" i="9" s="1"/>
  <c r="AQ256" i="9" s="1"/>
  <c r="AQ257" i="9" s="1"/>
  <c r="AQ258" i="9" s="1"/>
  <c r="AQ259" i="9" s="1"/>
  <c r="G3" i="10"/>
  <c r="H3" i="10"/>
  <c r="J3" i="10"/>
  <c r="G4" i="10"/>
  <c r="G5" i="10"/>
  <c r="J5" i="10"/>
  <c r="G6" i="10"/>
  <c r="G7" i="10"/>
  <c r="J7" i="10"/>
  <c r="G8" i="10"/>
  <c r="J8" i="10"/>
  <c r="G9" i="10"/>
  <c r="J9" i="10"/>
  <c r="G10" i="10"/>
  <c r="G11" i="10"/>
  <c r="J11" i="10"/>
  <c r="G12" i="10"/>
  <c r="G13" i="10"/>
  <c r="J13" i="10"/>
  <c r="G14" i="10"/>
  <c r="J14" i="10"/>
  <c r="C18" i="10"/>
  <c r="K18" i="10"/>
  <c r="K85" i="10" s="1"/>
  <c r="K154" i="10" s="1"/>
  <c r="S18" i="10"/>
  <c r="S85" i="10" s="1"/>
  <c r="S154" i="10" s="1"/>
  <c r="AA18" i="10"/>
  <c r="AA85" i="10" s="1"/>
  <c r="AA154" i="10" s="1"/>
  <c r="AI18" i="10"/>
  <c r="AQ18" i="10"/>
  <c r="AQ85" i="10" s="1"/>
  <c r="AQ154" i="10" s="1"/>
  <c r="AY18" i="10"/>
  <c r="AY85" i="10" s="1"/>
  <c r="BG18" i="10"/>
  <c r="BG85" i="10" s="1"/>
  <c r="BG154" i="10" s="1"/>
  <c r="BO18" i="10"/>
  <c r="BO85" i="10" s="1"/>
  <c r="BO154" i="10" s="1"/>
  <c r="BW18" i="10"/>
  <c r="BW85" i="10" s="1"/>
  <c r="BW154" i="10" s="1"/>
  <c r="CE18" i="10"/>
  <c r="CE85" i="10" s="1"/>
  <c r="CE154" i="10" s="1"/>
  <c r="CM18" i="10"/>
  <c r="AR22" i="10"/>
  <c r="AZ22" i="10"/>
  <c r="BH22" i="10"/>
  <c r="CF22" i="10"/>
  <c r="CN22" i="10"/>
  <c r="BH23" i="10"/>
  <c r="BH24" i="10" s="1"/>
  <c r="DO26" i="10"/>
  <c r="CY79" i="10"/>
  <c r="C85" i="10"/>
  <c r="AI85" i="10"/>
  <c r="AI154" i="10" s="1"/>
  <c r="CM85" i="10"/>
  <c r="CM154" i="10" s="1"/>
  <c r="C86" i="10"/>
  <c r="C155" i="10" s="1"/>
  <c r="D86" i="10"/>
  <c r="D155" i="10" s="1"/>
  <c r="E86" i="10"/>
  <c r="F86" i="10"/>
  <c r="G86" i="10"/>
  <c r="G155" i="10" s="1"/>
  <c r="H86" i="10"/>
  <c r="H155" i="10" s="1"/>
  <c r="I86" i="10"/>
  <c r="I155" i="10" s="1"/>
  <c r="J86" i="10"/>
  <c r="J155" i="10" s="1"/>
  <c r="K86" i="10"/>
  <c r="L86" i="10"/>
  <c r="L155" i="10" s="1"/>
  <c r="M86" i="10"/>
  <c r="N86" i="10"/>
  <c r="N155" i="10" s="1"/>
  <c r="O86" i="10"/>
  <c r="O155" i="10" s="1"/>
  <c r="P86" i="10"/>
  <c r="P155" i="10" s="1"/>
  <c r="Q86" i="10"/>
  <c r="Q155" i="10" s="1"/>
  <c r="R86" i="10"/>
  <c r="R155" i="10" s="1"/>
  <c r="S86" i="10"/>
  <c r="T86" i="10"/>
  <c r="T155" i="10" s="1"/>
  <c r="U86" i="10"/>
  <c r="V86" i="10"/>
  <c r="W86" i="10"/>
  <c r="W155" i="10" s="1"/>
  <c r="X86" i="10"/>
  <c r="X155" i="10" s="1"/>
  <c r="Y86" i="10"/>
  <c r="Y155" i="10" s="1"/>
  <c r="Z86" i="10"/>
  <c r="Z155" i="10" s="1"/>
  <c r="AA86" i="10"/>
  <c r="AB86" i="10"/>
  <c r="AB155" i="10" s="1"/>
  <c r="AC86" i="10"/>
  <c r="AD86" i="10"/>
  <c r="AD155" i="10" s="1"/>
  <c r="AE86" i="10"/>
  <c r="AE155" i="10" s="1"/>
  <c r="AF86" i="10"/>
  <c r="AF155" i="10" s="1"/>
  <c r="AG86" i="10"/>
  <c r="AH86" i="10"/>
  <c r="AH155" i="10" s="1"/>
  <c r="AI86" i="10"/>
  <c r="AJ86" i="10"/>
  <c r="AJ155" i="10" s="1"/>
  <c r="AK86" i="10"/>
  <c r="AL86" i="10"/>
  <c r="AM86" i="10"/>
  <c r="AM155" i="10" s="1"/>
  <c r="AN86" i="10"/>
  <c r="AN155" i="10" s="1"/>
  <c r="AO86" i="10"/>
  <c r="AO155" i="10" s="1"/>
  <c r="AP86" i="10"/>
  <c r="AP155" i="10" s="1"/>
  <c r="AQ86" i="10"/>
  <c r="AR86" i="10"/>
  <c r="AR155" i="10" s="1"/>
  <c r="AS86" i="10"/>
  <c r="AS155" i="10" s="1"/>
  <c r="AT86" i="10"/>
  <c r="AT155" i="10" s="1"/>
  <c r="AU86" i="10"/>
  <c r="AU155" i="10" s="1"/>
  <c r="AV86" i="10"/>
  <c r="AV155" i="10" s="1"/>
  <c r="AW86" i="10"/>
  <c r="AX86" i="10"/>
  <c r="AX155" i="10" s="1"/>
  <c r="AY86" i="10"/>
  <c r="AZ86" i="10"/>
  <c r="AZ155" i="10" s="1"/>
  <c r="BA86" i="10"/>
  <c r="BB86" i="10"/>
  <c r="BC86" i="10"/>
  <c r="BC155" i="10" s="1"/>
  <c r="BD86" i="10"/>
  <c r="BD155" i="10" s="1"/>
  <c r="BE86" i="10"/>
  <c r="BE155" i="10" s="1"/>
  <c r="BF86" i="10"/>
  <c r="BF155" i="10" s="1"/>
  <c r="BG86" i="10"/>
  <c r="BG155" i="10" s="1"/>
  <c r="BH86" i="10"/>
  <c r="BH155" i="10" s="1"/>
  <c r="BI86" i="10"/>
  <c r="BJ86" i="10"/>
  <c r="BJ155" i="10" s="1"/>
  <c r="BK86" i="10"/>
  <c r="BK155" i="10" s="1"/>
  <c r="BL86" i="10"/>
  <c r="BL155" i="10" s="1"/>
  <c r="BM86" i="10"/>
  <c r="BN86" i="10"/>
  <c r="BN155" i="10" s="1"/>
  <c r="BO86" i="10"/>
  <c r="BP86" i="10"/>
  <c r="BP155" i="10" s="1"/>
  <c r="BQ86" i="10"/>
  <c r="BR86" i="10"/>
  <c r="BS86" i="10"/>
  <c r="BS155" i="10" s="1"/>
  <c r="BT86" i="10"/>
  <c r="BT155" i="10" s="1"/>
  <c r="BU86" i="10"/>
  <c r="BU155" i="10" s="1"/>
  <c r="BV86" i="10"/>
  <c r="BV155" i="10" s="1"/>
  <c r="BW86" i="10"/>
  <c r="BX86" i="10"/>
  <c r="BX155" i="10" s="1"/>
  <c r="BY86" i="10"/>
  <c r="BZ86" i="10"/>
  <c r="BZ155" i="10" s="1"/>
  <c r="CA86" i="10"/>
  <c r="CA155" i="10" s="1"/>
  <c r="CB86" i="10"/>
  <c r="CB155" i="10" s="1"/>
  <c r="CC86" i="10"/>
  <c r="CD86" i="10"/>
  <c r="CD155" i="10" s="1"/>
  <c r="CE86" i="10"/>
  <c r="CF86" i="10"/>
  <c r="CF155" i="10" s="1"/>
  <c r="CG86" i="10"/>
  <c r="CH86" i="10"/>
  <c r="CH155" i="10" s="1"/>
  <c r="CI86" i="10"/>
  <c r="CI155" i="10" s="1"/>
  <c r="CJ86" i="10"/>
  <c r="CJ155" i="10" s="1"/>
  <c r="CK86" i="10"/>
  <c r="CK155" i="10" s="1"/>
  <c r="CL86" i="10"/>
  <c r="CL155" i="10" s="1"/>
  <c r="CM86" i="10"/>
  <c r="CN86" i="10"/>
  <c r="CN155" i="10" s="1"/>
  <c r="CO86" i="10"/>
  <c r="CP86" i="10"/>
  <c r="CP155" i="10" s="1"/>
  <c r="CQ86" i="10"/>
  <c r="CQ155" i="10" s="1"/>
  <c r="CR86" i="10"/>
  <c r="CR155" i="10" s="1"/>
  <c r="CS86" i="10"/>
  <c r="CT86" i="10"/>
  <c r="CT155" i="10" s="1"/>
  <c r="CU86" i="10"/>
  <c r="CV86" i="10"/>
  <c r="CV155" i="10" s="1"/>
  <c r="CW86" i="10"/>
  <c r="CX86" i="10"/>
  <c r="CY86" i="10"/>
  <c r="CY155" i="10" s="1"/>
  <c r="CZ86" i="10"/>
  <c r="CZ155" i="10" s="1"/>
  <c r="DA86" i="10"/>
  <c r="DA155" i="10" s="1"/>
  <c r="AY154" i="10"/>
  <c r="CU154" i="10"/>
  <c r="E155" i="10"/>
  <c r="F155" i="10"/>
  <c r="K155" i="10"/>
  <c r="M155" i="10"/>
  <c r="S155" i="10"/>
  <c r="U155" i="10"/>
  <c r="V155" i="10"/>
  <c r="AA155" i="10"/>
  <c r="AC155" i="10"/>
  <c r="AG155" i="10"/>
  <c r="AI155" i="10"/>
  <c r="AK155" i="10"/>
  <c r="AL155" i="10"/>
  <c r="AQ155" i="10"/>
  <c r="AW155" i="10"/>
  <c r="AY155" i="10"/>
  <c r="BA155" i="10"/>
  <c r="BB155" i="10"/>
  <c r="BI155" i="10"/>
  <c r="BM155" i="10"/>
  <c r="BO155" i="10"/>
  <c r="BQ155" i="10"/>
  <c r="BR155" i="10"/>
  <c r="BW155" i="10"/>
  <c r="BY155" i="10"/>
  <c r="CC155" i="10"/>
  <c r="CE155" i="10"/>
  <c r="CG155" i="10"/>
  <c r="CM155" i="10"/>
  <c r="CO155" i="10"/>
  <c r="CS155" i="10"/>
  <c r="CU155" i="10"/>
  <c r="CW155" i="10"/>
  <c r="CX155" i="10"/>
  <c r="DO157" i="10"/>
  <c r="C217" i="10"/>
  <c r="D217" i="10" s="1"/>
  <c r="K217" i="10"/>
  <c r="L217" i="10" s="1"/>
  <c r="AI217" i="10"/>
  <c r="AJ217" i="10" s="1"/>
  <c r="AQ217" i="10"/>
  <c r="AR217" i="10" s="1"/>
  <c r="BO217" i="10"/>
  <c r="BP217" i="10" s="1"/>
  <c r="BW217" i="10"/>
  <c r="BX217" i="10" s="1"/>
  <c r="CU218" i="10"/>
  <c r="CV218" i="10"/>
  <c r="CW218" i="10"/>
  <c r="CX218" i="10"/>
  <c r="CZ218" i="10"/>
  <c r="D22" i="15"/>
  <c r="F22" i="15"/>
  <c r="G22" i="15"/>
  <c r="G25" i="15" s="1"/>
  <c r="O32" i="15"/>
  <c r="O129" i="15" s="1"/>
  <c r="O226" i="15" s="1"/>
  <c r="A35" i="15"/>
  <c r="A41" i="15"/>
  <c r="A36" i="15"/>
  <c r="A48" i="15"/>
  <c r="A54" i="15" s="1"/>
  <c r="A60" i="15" s="1"/>
  <c r="A37" i="15"/>
  <c r="A43" i="15" s="1"/>
  <c r="A38" i="15"/>
  <c r="A39" i="15"/>
  <c r="A42" i="15"/>
  <c r="A47" i="15"/>
  <c r="A53" i="15" s="1"/>
  <c r="A59" i="15" s="1"/>
  <c r="C100" i="15"/>
  <c r="D100" i="15"/>
  <c r="E100" i="15"/>
  <c r="F100" i="15"/>
  <c r="G100" i="15"/>
  <c r="D119" i="15"/>
  <c r="B25" i="20"/>
  <c r="C25" i="20"/>
  <c r="D25" i="20"/>
  <c r="A26" i="20"/>
  <c r="A27" i="20"/>
  <c r="A28" i="20"/>
  <c r="A29" i="20"/>
  <c r="A30" i="20"/>
  <c r="A31" i="20"/>
  <c r="A14" i="11"/>
  <c r="J14" i="11"/>
  <c r="S14" i="11"/>
  <c r="F15" i="14"/>
  <c r="F16" i="14"/>
  <c r="G18" i="14"/>
  <c r="H18" i="14"/>
  <c r="I18" i="14"/>
  <c r="J18" i="14"/>
  <c r="K18" i="14"/>
  <c r="L18" i="14"/>
  <c r="O20" i="14"/>
  <c r="O121" i="14" s="1"/>
  <c r="O222" i="14" s="1"/>
  <c r="A23" i="14"/>
  <c r="A24" i="14"/>
  <c r="A35" i="14" s="1"/>
  <c r="A25" i="14"/>
  <c r="A81" i="14" s="1"/>
  <c r="A92" i="14" s="1"/>
  <c r="A26" i="14"/>
  <c r="A60" i="14" s="1"/>
  <c r="A27" i="14"/>
  <c r="A28" i="14"/>
  <c r="A29" i="14"/>
  <c r="A51" i="14" s="1"/>
  <c r="A30" i="14"/>
  <c r="A75" i="14" s="1"/>
  <c r="A31" i="14"/>
  <c r="A32" i="14"/>
  <c r="A88" i="14" s="1"/>
  <c r="A99" i="14" s="1"/>
  <c r="A37" i="14"/>
  <c r="A39" i="14"/>
  <c r="A43" i="14"/>
  <c r="A48" i="14"/>
  <c r="A50" i="14"/>
  <c r="A54" i="14"/>
  <c r="A62" i="14"/>
  <c r="A66" i="14"/>
  <c r="A71" i="14"/>
  <c r="A73" i="14"/>
  <c r="A74" i="14"/>
  <c r="A80" i="14"/>
  <c r="A91" i="14" s="1"/>
  <c r="A82" i="14"/>
  <c r="A84" i="14"/>
  <c r="A95" i="14" s="1"/>
  <c r="A85" i="14"/>
  <c r="A96" i="14" s="1"/>
  <c r="A93" i="14"/>
  <c r="H119" i="14"/>
  <c r="I119" i="14"/>
  <c r="J119" i="14"/>
  <c r="L119" i="14"/>
  <c r="A124" i="14"/>
  <c r="A135" i="14" s="1"/>
  <c r="A125" i="14"/>
  <c r="A126" i="14"/>
  <c r="A127" i="14"/>
  <c r="A128" i="14"/>
  <c r="A139" i="14" s="1"/>
  <c r="A129" i="14"/>
  <c r="A151" i="14" s="1"/>
  <c r="A130" i="14"/>
  <c r="A141" i="14" s="1"/>
  <c r="A131" i="14"/>
  <c r="A132" i="14"/>
  <c r="A143" i="14" s="1"/>
  <c r="A133" i="14"/>
  <c r="A144" i="14" s="1"/>
  <c r="A137" i="14"/>
  <c r="A140" i="14"/>
  <c r="A142" i="14"/>
  <c r="A146" i="14"/>
  <c r="A148" i="14"/>
  <c r="A152" i="14"/>
  <c r="A160" i="14"/>
  <c r="A167" i="14"/>
  <c r="A171" i="14"/>
  <c r="A174" i="14"/>
  <c r="A177" i="14"/>
  <c r="A178" i="14"/>
  <c r="A182" i="14"/>
  <c r="A193" i="14" s="1"/>
  <c r="A185" i="14"/>
  <c r="A196" i="14" s="1"/>
  <c r="A186" i="14"/>
  <c r="A197" i="14" s="1"/>
  <c r="A225" i="14"/>
  <c r="A236" i="14" s="1"/>
  <c r="A226" i="14"/>
  <c r="A227" i="14"/>
  <c r="A228" i="14"/>
  <c r="A229" i="14"/>
  <c r="A230" i="14"/>
  <c r="A231" i="14"/>
  <c r="A276" i="14" s="1"/>
  <c r="A232" i="14"/>
  <c r="A243" i="14" s="1"/>
  <c r="A233" i="14"/>
  <c r="A244" i="14" s="1"/>
  <c r="A234" i="14"/>
  <c r="A238" i="14"/>
  <c r="A241" i="14"/>
  <c r="A249" i="14"/>
  <c r="A259" i="14"/>
  <c r="A267" i="14"/>
  <c r="A281" i="14"/>
  <c r="A292" i="14" s="1"/>
  <c r="A289" i="14"/>
  <c r="A300" i="14" s="1"/>
  <c r="C47" i="28"/>
  <c r="C48" i="28"/>
  <c r="G48" i="28" s="1"/>
  <c r="C49" i="28"/>
  <c r="C50" i="28"/>
  <c r="C51" i="28"/>
  <c r="A51" i="28" s="1"/>
  <c r="C52" i="28"/>
  <c r="C53" i="28"/>
  <c r="C54" i="28"/>
  <c r="C55" i="28"/>
  <c r="A55" i="28"/>
  <c r="C56" i="28"/>
  <c r="A56" i="28"/>
  <c r="G56" i="28"/>
  <c r="C57" i="28"/>
  <c r="A57" i="28" s="1"/>
  <c r="C58" i="28"/>
  <c r="B58" i="28" s="1"/>
  <c r="F58" i="28" s="1"/>
  <c r="A3" i="12"/>
  <c r="B20" i="12" s="1"/>
  <c r="B40" i="12" s="1"/>
  <c r="B60" i="12" s="1"/>
  <c r="A4" i="12"/>
  <c r="H20" i="12" s="1"/>
  <c r="H40" i="12"/>
  <c r="H60" i="12" s="1"/>
  <c r="A7" i="12"/>
  <c r="A13" i="12"/>
  <c r="BJ20" i="12" s="1"/>
  <c r="BJ40" i="12" s="1"/>
  <c r="BJ60" i="12" s="1"/>
  <c r="A82" i="28"/>
  <c r="A86" i="28"/>
  <c r="A87" i="28"/>
  <c r="A89" i="28"/>
  <c r="A90" i="28"/>
  <c r="A91" i="28"/>
  <c r="A92" i="28"/>
  <c r="A93" i="28"/>
  <c r="A94" i="28"/>
  <c r="A95" i="28"/>
  <c r="A96" i="28"/>
  <c r="A97" i="28"/>
  <c r="A98" i="28"/>
  <c r="A99" i="28"/>
  <c r="A100" i="28"/>
  <c r="A101" i="28"/>
  <c r="A102" i="28"/>
  <c r="A103" i="28"/>
  <c r="A104" i="28"/>
  <c r="A105" i="28"/>
  <c r="A106" i="28"/>
  <c r="A107" i="28"/>
  <c r="A108" i="28"/>
  <c r="A109" i="28"/>
  <c r="A111" i="28"/>
  <c r="A113" i="28"/>
  <c r="A116" i="28"/>
  <c r="C129" i="28"/>
  <c r="C130" i="28"/>
  <c r="C131" i="28"/>
  <c r="D131" i="28" s="1"/>
  <c r="E131" i="28" s="1"/>
  <c r="C133" i="28"/>
  <c r="B133" i="28" s="1"/>
  <c r="D133" i="28"/>
  <c r="E133" i="28" s="1"/>
  <c r="A156" i="28"/>
  <c r="A160" i="28"/>
  <c r="A161" i="28"/>
  <c r="A163" i="28"/>
  <c r="A164" i="28"/>
  <c r="A165" i="28"/>
  <c r="A166" i="28"/>
  <c r="A167" i="28"/>
  <c r="A168" i="28"/>
  <c r="A169" i="28"/>
  <c r="A170" i="28"/>
  <c r="A171" i="28"/>
  <c r="A172" i="28"/>
  <c r="A173" i="28"/>
  <c r="A174" i="28"/>
  <c r="A175" i="28"/>
  <c r="A176" i="28"/>
  <c r="A177" i="28"/>
  <c r="A178" i="28"/>
  <c r="A179" i="28"/>
  <c r="A180" i="28"/>
  <c r="A181" i="28"/>
  <c r="A182" i="28"/>
  <c r="A183" i="28"/>
  <c r="A185" i="28"/>
  <c r="A187" i="28"/>
  <c r="A190" i="28"/>
  <c r="C200" i="28"/>
  <c r="A200" i="28" s="1"/>
  <c r="C201" i="28"/>
  <c r="C202" i="28"/>
  <c r="C204" i="28"/>
  <c r="B204" i="28" s="1"/>
  <c r="C205" i="28"/>
  <c r="B205" i="28" s="1"/>
  <c r="F205" i="28" s="1"/>
  <c r="C207" i="28"/>
  <c r="A207" i="28" s="1"/>
  <c r="B18" i="31"/>
  <c r="B28" i="31" s="1"/>
  <c r="B41" i="31" s="1"/>
  <c r="B53" i="31" s="1"/>
  <c r="B61" i="31" s="1"/>
  <c r="B72" i="31" s="1"/>
  <c r="B79" i="31" s="1"/>
  <c r="C18" i="31"/>
  <c r="C28" i="31" s="1"/>
  <c r="C41" i="31" s="1"/>
  <c r="C53" i="31" s="1"/>
  <c r="C61" i="31" s="1"/>
  <c r="C72" i="31" s="1"/>
  <c r="C79" i="31" s="1"/>
  <c r="D18" i="31"/>
  <c r="D28" i="31" s="1"/>
  <c r="D41" i="31" s="1"/>
  <c r="D53" i="31" s="1"/>
  <c r="D61" i="31" s="1"/>
  <c r="D72" i="31" s="1"/>
  <c r="D79" i="31" s="1"/>
  <c r="C43" i="31"/>
  <c r="B84" i="31"/>
  <c r="B153" i="31"/>
  <c r="B95" i="31" s="1"/>
  <c r="C153" i="31"/>
  <c r="C95" i="31" s="1"/>
  <c r="D153" i="31"/>
  <c r="D95" i="31" s="1"/>
  <c r="B143" i="31"/>
  <c r="B144" i="31"/>
  <c r="B145" i="31"/>
  <c r="B147" i="31"/>
  <c r="C147" i="31"/>
  <c r="D147" i="31"/>
  <c r="B150" i="31"/>
  <c r="C150" i="31"/>
  <c r="D150" i="31"/>
  <c r="B154" i="31"/>
  <c r="C154" i="31"/>
  <c r="D154" i="31"/>
  <c r="B181" i="31"/>
  <c r="D181" i="31"/>
  <c r="F8" i="21"/>
  <c r="B5" i="22"/>
  <c r="B52" i="22" s="1"/>
  <c r="B6" i="22"/>
  <c r="B7" i="22"/>
  <c r="B101" i="22" s="1"/>
  <c r="B8" i="22"/>
  <c r="B31" i="22" s="1"/>
  <c r="B9" i="22"/>
  <c r="B10" i="22"/>
  <c r="B127" i="22" s="1"/>
  <c r="B11" i="22"/>
  <c r="B12" i="22"/>
  <c r="B82" i="22" s="1"/>
  <c r="B13" i="22"/>
  <c r="B15" i="22"/>
  <c r="B85" i="22" s="1"/>
  <c r="B16" i="22"/>
  <c r="B63" i="22" s="1"/>
  <c r="B21" i="22"/>
  <c r="B44" i="22" s="1"/>
  <c r="B18" i="22"/>
  <c r="B19" i="22"/>
  <c r="B136" i="22" s="1"/>
  <c r="B27" i="22"/>
  <c r="B35" i="22"/>
  <c r="B51" i="22"/>
  <c r="B74" i="22"/>
  <c r="B98" i="22"/>
  <c r="B121" i="22"/>
  <c r="K3" i="12"/>
  <c r="G4" i="12"/>
  <c r="A5" i="12"/>
  <c r="N20" i="12" s="1"/>
  <c r="A6" i="12"/>
  <c r="T20" i="12" s="1"/>
  <c r="T40" i="12" s="1"/>
  <c r="T60" i="12" s="1"/>
  <c r="H6" i="12"/>
  <c r="J6" i="12"/>
  <c r="K6" i="12"/>
  <c r="G7" i="12"/>
  <c r="K7" i="12"/>
  <c r="A8" i="12"/>
  <c r="AF20" i="12" s="1"/>
  <c r="AF40" i="12" s="1"/>
  <c r="AF60" i="12" s="1"/>
  <c r="A9" i="12"/>
  <c r="AL20" i="12" s="1"/>
  <c r="AL40" i="12" s="1"/>
  <c r="AL60" i="12" s="1"/>
  <c r="H9" i="12"/>
  <c r="A10" i="12"/>
  <c r="AR20" i="12"/>
  <c r="AR40" i="12" s="1"/>
  <c r="AR60" i="12" s="1"/>
  <c r="H10" i="12"/>
  <c r="J10" i="12" s="1"/>
  <c r="A11" i="12"/>
  <c r="AX20" i="12" s="1"/>
  <c r="AX40" i="12" s="1"/>
  <c r="AX60" i="12" s="1"/>
  <c r="K11" i="12"/>
  <c r="A12" i="12"/>
  <c r="BD20" i="12"/>
  <c r="BD40" i="12" s="1"/>
  <c r="BD60" i="12" s="1"/>
  <c r="A14" i="12"/>
  <c r="BP20" i="12" s="1"/>
  <c r="BP40" i="12" s="1"/>
  <c r="BP60" i="12" s="1"/>
  <c r="K14" i="12"/>
  <c r="N40" i="12"/>
  <c r="N60" i="12" s="1"/>
  <c r="Z20" i="12"/>
  <c r="Z40" i="12" s="1"/>
  <c r="Z60" i="12" s="1"/>
  <c r="H21" i="12"/>
  <c r="AX21" i="12" s="1"/>
  <c r="J21" i="12"/>
  <c r="L21" i="12"/>
  <c r="T21" i="12"/>
  <c r="V21" i="12"/>
  <c r="X21" i="12"/>
  <c r="AF21" i="12"/>
  <c r="AH21" i="12"/>
  <c r="AJ21" i="12"/>
  <c r="AR21" i="12"/>
  <c r="AT21" i="12"/>
  <c r="AV21" i="12"/>
  <c r="BD21" i="12"/>
  <c r="BJ21" i="12" s="1"/>
  <c r="BP21" i="12" s="1"/>
  <c r="BF21" i="12"/>
  <c r="BH21" i="12"/>
  <c r="BR21" i="12"/>
  <c r="BW21" i="12" s="1"/>
  <c r="BT21" i="12"/>
  <c r="BY21" i="12" s="1"/>
  <c r="BV40" i="12"/>
  <c r="BV60" i="12" s="1"/>
  <c r="J41" i="12"/>
  <c r="L41" i="12"/>
  <c r="V41" i="12"/>
  <c r="X41" i="12"/>
  <c r="AH41" i="12"/>
  <c r="AJ41" i="12"/>
  <c r="AT41" i="12"/>
  <c r="AV41" i="12"/>
  <c r="BF41" i="12"/>
  <c r="BH41" i="12"/>
  <c r="BR41" i="12"/>
  <c r="BW41" i="12" s="1"/>
  <c r="BT41" i="12"/>
  <c r="BY41" i="12" s="1"/>
  <c r="J61" i="12"/>
  <c r="L61" i="12"/>
  <c r="V61" i="12"/>
  <c r="X61" i="12"/>
  <c r="AH61" i="12"/>
  <c r="AJ61" i="12"/>
  <c r="AT61" i="12"/>
  <c r="AV61" i="12"/>
  <c r="BF61" i="12"/>
  <c r="BH61" i="12"/>
  <c r="BR61" i="12"/>
  <c r="BW61" i="12" s="1"/>
  <c r="BT61" i="12"/>
  <c r="BY61" i="12" s="1"/>
  <c r="F3" i="18"/>
  <c r="G3" i="18" s="1"/>
  <c r="H3" i="18" s="1"/>
  <c r="I3" i="18" s="1"/>
  <c r="J3" i="18" s="1"/>
  <c r="K3" i="18" s="1"/>
  <c r="L3" i="18" s="1"/>
  <c r="M3" i="18" s="1"/>
  <c r="N3" i="18" s="1"/>
  <c r="O3" i="18" s="1"/>
  <c r="B4" i="18"/>
  <c r="C4" i="18"/>
  <c r="B5" i="18"/>
  <c r="B91" i="18" s="1"/>
  <c r="B176" i="18" s="1"/>
  <c r="B6" i="18"/>
  <c r="B92" i="18" s="1"/>
  <c r="C6" i="18"/>
  <c r="B7" i="18"/>
  <c r="B93" i="18" s="1"/>
  <c r="B178" i="18" s="1"/>
  <c r="D77" i="18"/>
  <c r="D78" i="18" s="1"/>
  <c r="F89" i="18"/>
  <c r="G89" i="18" s="1"/>
  <c r="H89" i="18" s="1"/>
  <c r="I89" i="18" s="1"/>
  <c r="J89" i="18" s="1"/>
  <c r="K89" i="18" s="1"/>
  <c r="L89" i="18" s="1"/>
  <c r="M89" i="18" s="1"/>
  <c r="N89" i="18" s="1"/>
  <c r="O89" i="18" s="1"/>
  <c r="B90" i="18"/>
  <c r="C90" i="18"/>
  <c r="B177" i="18"/>
  <c r="C92" i="18"/>
  <c r="O97" i="18"/>
  <c r="C162" i="18"/>
  <c r="D162" i="18" s="1"/>
  <c r="D163" i="18" s="1"/>
  <c r="C163" i="18"/>
  <c r="F174" i="18"/>
  <c r="G174" i="18"/>
  <c r="H174" i="18" s="1"/>
  <c r="I174" i="18" s="1"/>
  <c r="J174" i="18" s="1"/>
  <c r="K174" i="18" s="1"/>
  <c r="L174" i="18" s="1"/>
  <c r="M174" i="18" s="1"/>
  <c r="N174" i="18" s="1"/>
  <c r="O174" i="18" s="1"/>
  <c r="B175" i="18"/>
  <c r="O182" i="18"/>
  <c r="C1" i="25"/>
  <c r="C8" i="25"/>
  <c r="D10" i="25"/>
  <c r="E10" i="25"/>
  <c r="F10" i="25"/>
  <c r="G10" i="25"/>
  <c r="H10" i="25"/>
  <c r="I10" i="25"/>
  <c r="J10" i="25"/>
  <c r="K10" i="25"/>
  <c r="L10" i="25"/>
  <c r="M10" i="25"/>
  <c r="N10" i="25"/>
  <c r="C33" i="25"/>
  <c r="C34" i="25"/>
  <c r="C35" i="25"/>
  <c r="C36" i="25"/>
  <c r="A57" i="25"/>
  <c r="A58" i="25"/>
  <c r="A61" i="25"/>
  <c r="A62" i="25"/>
  <c r="A63" i="25"/>
  <c r="A64" i="25"/>
  <c r="D64" i="25"/>
  <c r="E64" i="25"/>
  <c r="F64" i="25"/>
  <c r="G64" i="25"/>
  <c r="H64" i="25"/>
  <c r="I64" i="25"/>
  <c r="J64" i="25"/>
  <c r="K64" i="25"/>
  <c r="L64" i="25"/>
  <c r="M64" i="25"/>
  <c r="N64" i="25"/>
  <c r="A65" i="25"/>
  <c r="A67" i="25"/>
  <c r="A68" i="25"/>
  <c r="A71" i="25"/>
  <c r="A72" i="25"/>
  <c r="A74" i="25"/>
  <c r="A75" i="25"/>
  <c r="A76" i="25"/>
  <c r="A77" i="25"/>
  <c r="A78" i="25"/>
  <c r="A79" i="25"/>
  <c r="A80" i="25"/>
  <c r="A81" i="25"/>
  <c r="A82" i="25"/>
  <c r="A83" i="25"/>
  <c r="A85" i="25"/>
  <c r="A86" i="25"/>
  <c r="A87" i="25"/>
  <c r="A88" i="25"/>
  <c r="A89" i="25"/>
  <c r="A90" i="25"/>
  <c r="A91" i="25"/>
  <c r="A92" i="25"/>
  <c r="A93" i="25"/>
  <c r="A95" i="25"/>
  <c r="A96" i="25"/>
  <c r="A97" i="25"/>
  <c r="A98" i="25"/>
  <c r="A99" i="25"/>
  <c r="A101" i="25"/>
  <c r="A102" i="25"/>
  <c r="A104" i="25"/>
  <c r="A105" i="25"/>
  <c r="A106" i="25"/>
  <c r="A107" i="25"/>
  <c r="A112" i="25"/>
  <c r="A115" i="25"/>
  <c r="A116" i="25"/>
  <c r="A117" i="25"/>
  <c r="A118" i="25"/>
  <c r="D118" i="25"/>
  <c r="E118" i="25"/>
  <c r="F118" i="25"/>
  <c r="G118" i="25"/>
  <c r="H118" i="25"/>
  <c r="I118" i="25"/>
  <c r="J118" i="25"/>
  <c r="K118" i="25"/>
  <c r="L118" i="25"/>
  <c r="M118" i="25"/>
  <c r="N118" i="25"/>
  <c r="A119" i="25"/>
  <c r="A121" i="25"/>
  <c r="A122" i="25"/>
  <c r="A125" i="25"/>
  <c r="A126" i="25"/>
  <c r="A128" i="25"/>
  <c r="A129" i="25"/>
  <c r="A130" i="25"/>
  <c r="A131" i="25"/>
  <c r="A132" i="25"/>
  <c r="A133" i="25"/>
  <c r="A134" i="25"/>
  <c r="A135" i="25"/>
  <c r="A136" i="25"/>
  <c r="A137" i="25"/>
  <c r="A138" i="25"/>
  <c r="A139" i="25"/>
  <c r="A140" i="25"/>
  <c r="A141" i="25"/>
  <c r="A142" i="25"/>
  <c r="A143" i="25"/>
  <c r="A144" i="25"/>
  <c r="A145" i="25"/>
  <c r="A146" i="25"/>
  <c r="A147" i="25"/>
  <c r="A149" i="25"/>
  <c r="A150" i="25"/>
  <c r="A151" i="25"/>
  <c r="A152" i="25"/>
  <c r="A153" i="25"/>
  <c r="A155" i="25"/>
  <c r="A156" i="25"/>
  <c r="A158" i="25"/>
  <c r="A159" i="25"/>
  <c r="A160" i="25"/>
  <c r="A161" i="25"/>
  <c r="G4" i="16"/>
  <c r="H4" i="16" s="1"/>
  <c r="I4" i="16"/>
  <c r="P11" i="17"/>
  <c r="N74" i="17"/>
  <c r="N140" i="17" s="1"/>
  <c r="F135" i="17"/>
  <c r="E233" i="5"/>
  <c r="AM19" i="9"/>
  <c r="D56" i="28"/>
  <c r="E56" i="28" s="1"/>
  <c r="D48" i="28"/>
  <c r="E48" i="28" s="1"/>
  <c r="CO21" i="10"/>
  <c r="CK21" i="10"/>
  <c r="CL21" i="10" s="1"/>
  <c r="CM108" i="10"/>
  <c r="CR34" i="10"/>
  <c r="CR39" i="10" s="1"/>
  <c r="CR44" i="10" s="1"/>
  <c r="CR49" i="10" s="1"/>
  <c r="CR54" i="10" s="1"/>
  <c r="CR59" i="10" s="1"/>
  <c r="CR64" i="10" s="1"/>
  <c r="CR69" i="10" s="1"/>
  <c r="CR74" i="10" s="1"/>
  <c r="CM40" i="10"/>
  <c r="BT39" i="10"/>
  <c r="BT44" i="10" s="1"/>
  <c r="BG108" i="10"/>
  <c r="AV102" i="10"/>
  <c r="AV107" i="10" s="1"/>
  <c r="AV112" i="10" s="1"/>
  <c r="AV117" i="10" s="1"/>
  <c r="AV122" i="10" s="1"/>
  <c r="AI35" i="10"/>
  <c r="AI40" i="10" s="1"/>
  <c r="AI45" i="10" s="1"/>
  <c r="AF34" i="10"/>
  <c r="AA40" i="10"/>
  <c r="AA45" i="10" s="1"/>
  <c r="AA50" i="10" s="1"/>
  <c r="X107" i="10"/>
  <c r="C103" i="10"/>
  <c r="C108" i="10" s="1"/>
  <c r="C113" i="10" s="1"/>
  <c r="C118" i="10" s="1"/>
  <c r="C123" i="10" s="1"/>
  <c r="C128" i="10" s="1"/>
  <c r="L73" i="6"/>
  <c r="D73" i="6"/>
  <c r="F52" i="6"/>
  <c r="AD103" i="9"/>
  <c r="CB171" i="10"/>
  <c r="CB176" i="10" s="1"/>
  <c r="AS21" i="10"/>
  <c r="AR25" i="10"/>
  <c r="AR30" i="10" s="1"/>
  <c r="CR122" i="10"/>
  <c r="CR127" i="10" s="1"/>
  <c r="CR132" i="10" s="1"/>
  <c r="CR137" i="10" s="1"/>
  <c r="CR142" i="10" s="1"/>
  <c r="CE35" i="10"/>
  <c r="CE40" i="10" s="1"/>
  <c r="BW108" i="10"/>
  <c r="BW113" i="10" s="1"/>
  <c r="BW118" i="10" s="1"/>
  <c r="BW123" i="10" s="1"/>
  <c r="CB34" i="10"/>
  <c r="CB39" i="10" s="1"/>
  <c r="CB44" i="10" s="1"/>
  <c r="CB49" i="10" s="1"/>
  <c r="CB54" i="10" s="1"/>
  <c r="CB59" i="10" s="1"/>
  <c r="CB64" i="10" s="1"/>
  <c r="CB69" i="10" s="1"/>
  <c r="CB74" i="10" s="1"/>
  <c r="BW40" i="10"/>
  <c r="BW45" i="10" s="1"/>
  <c r="BO103" i="10"/>
  <c r="BO108" i="10" s="1"/>
  <c r="BO113" i="10" s="1"/>
  <c r="BO118" i="10" s="1"/>
  <c r="BL102" i="10"/>
  <c r="BL107" i="10" s="1"/>
  <c r="BL112" i="10" s="1"/>
  <c r="BL117" i="10" s="1"/>
  <c r="BL122" i="10" s="1"/>
  <c r="BL127" i="10" s="1"/>
  <c r="BL132" i="10" s="1"/>
  <c r="BD39" i="10"/>
  <c r="BD44" i="10" s="1"/>
  <c r="BD49" i="10" s="1"/>
  <c r="BD54" i="10" s="1"/>
  <c r="AV34" i="10"/>
  <c r="AV39" i="10" s="1"/>
  <c r="AI103" i="10"/>
  <c r="AI108" i="10" s="1"/>
  <c r="AI113" i="10" s="1"/>
  <c r="AI118" i="10" s="1"/>
  <c r="AF102" i="10"/>
  <c r="AF107" i="10" s="1"/>
  <c r="AF112" i="10" s="1"/>
  <c r="AF117" i="10" s="1"/>
  <c r="AF122" i="10" s="1"/>
  <c r="S35" i="10"/>
  <c r="K40" i="10"/>
  <c r="AN103" i="9"/>
  <c r="AG104" i="9" s="1"/>
  <c r="AI104" i="9"/>
  <c r="AJ104" i="9" s="1"/>
  <c r="AK104" i="9" s="1"/>
  <c r="G255" i="6"/>
  <c r="G273" i="6"/>
  <c r="H237" i="6"/>
  <c r="E52" i="6"/>
  <c r="U92" i="7"/>
  <c r="L175" i="18"/>
  <c r="B144" i="13"/>
  <c r="L176" i="18"/>
  <c r="B159" i="13" s="1"/>
  <c r="H175" i="18"/>
  <c r="H176" i="18"/>
  <c r="B155" i="13" s="1"/>
  <c r="T81" i="7"/>
  <c r="L172" i="6"/>
  <c r="K172" i="6"/>
  <c r="K173" i="6" s="1"/>
  <c r="J172" i="6"/>
  <c r="AR24" i="12" s="1"/>
  <c r="AS24" i="12" s="1"/>
  <c r="I172" i="6"/>
  <c r="H172" i="6"/>
  <c r="H173" i="6" s="1"/>
  <c r="AF25" i="12" s="1"/>
  <c r="N176" i="18"/>
  <c r="B161" i="13" s="1"/>
  <c r="N175" i="18"/>
  <c r="B146" i="13" s="1"/>
  <c r="J178" i="18"/>
  <c r="B189" i="13" s="1"/>
  <c r="J177" i="18"/>
  <c r="B174" i="13" s="1"/>
  <c r="I178" i="18"/>
  <c r="B188" i="13" s="1"/>
  <c r="I177" i="18"/>
  <c r="B173" i="13" s="1"/>
  <c r="G172" i="6"/>
  <c r="BK23" i="12"/>
  <c r="E16" i="9"/>
  <c r="F16" i="9" s="1"/>
  <c r="E17" i="15"/>
  <c r="F342" i="6"/>
  <c r="N173" i="6"/>
  <c r="N174" i="6" s="1"/>
  <c r="BP26" i="12" s="1"/>
  <c r="BP24" i="12"/>
  <c r="C173" i="6"/>
  <c r="B24" i="12"/>
  <c r="C24" i="12" s="1"/>
  <c r="BK22" i="12"/>
  <c r="F20" i="15"/>
  <c r="F25" i="15"/>
  <c r="BJ25" i="12"/>
  <c r="BK25" i="12"/>
  <c r="M174" i="6"/>
  <c r="D173" i="6"/>
  <c r="H24" i="12"/>
  <c r="I24" i="12" s="1"/>
  <c r="C20" i="15"/>
  <c r="C25" i="15" s="1"/>
  <c r="B25" i="12"/>
  <c r="C25" i="12" s="1"/>
  <c r="C174" i="6"/>
  <c r="CJ191" i="10"/>
  <c r="X112" i="10"/>
  <c r="X117" i="10" s="1"/>
  <c r="X122" i="10" s="1"/>
  <c r="X127" i="10" s="1"/>
  <c r="X132" i="10" s="1"/>
  <c r="X137" i="10" s="1"/>
  <c r="AF39" i="10"/>
  <c r="AF44" i="10" s="1"/>
  <c r="BG113" i="10"/>
  <c r="AV186" i="10"/>
  <c r="AV191" i="10" s="1"/>
  <c r="AV196" i="10" s="1"/>
  <c r="AV201" i="10" s="1"/>
  <c r="AV206" i="10" s="1"/>
  <c r="AV211" i="10" s="1"/>
  <c r="M175" i="6"/>
  <c r="BJ27" i="12" s="1"/>
  <c r="BK27" i="12" s="1"/>
  <c r="BJ26" i="12"/>
  <c r="BK26" i="12" s="1"/>
  <c r="F360" i="6"/>
  <c r="F114" i="15" s="1"/>
  <c r="F116" i="15" s="1"/>
  <c r="AX24" i="12"/>
  <c r="AY24" i="12" s="1"/>
  <c r="B140" i="13"/>
  <c r="I237" i="6"/>
  <c r="J237" i="6" s="1"/>
  <c r="H255" i="6"/>
  <c r="H273" i="6" s="1"/>
  <c r="K45" i="10"/>
  <c r="CJ44" i="10"/>
  <c r="AS25" i="10"/>
  <c r="AT24" i="10" s="1"/>
  <c r="P107" i="10"/>
  <c r="CN30" i="10"/>
  <c r="CO30" i="10" s="1"/>
  <c r="CP29" i="10" s="1"/>
  <c r="E219" i="5"/>
  <c r="E235" i="5" s="1"/>
  <c r="E234" i="5"/>
  <c r="CP24" i="10"/>
  <c r="BW50" i="10"/>
  <c r="AV44" i="10"/>
  <c r="AV49" i="10" s="1"/>
  <c r="AV54" i="10" s="1"/>
  <c r="AV59" i="10" s="1"/>
  <c r="AV64" i="10" s="1"/>
  <c r="AV69" i="10" s="1"/>
  <c r="AV74" i="10" s="1"/>
  <c r="CJ196" i="10"/>
  <c r="CB181" i="10"/>
  <c r="CB186" i="10" s="1"/>
  <c r="CB191" i="10" s="1"/>
  <c r="CB196" i="10" s="1"/>
  <c r="CB201" i="10" s="1"/>
  <c r="CB206" i="10" s="1"/>
  <c r="CB211" i="10" s="1"/>
  <c r="BQ26" i="12"/>
  <c r="E220" i="5"/>
  <c r="E221" i="5" s="1"/>
  <c r="E222" i="5" s="1"/>
  <c r="E223" i="5" s="1"/>
  <c r="E239" i="5" s="1"/>
  <c r="CN35" i="10"/>
  <c r="CO35" i="10" s="1"/>
  <c r="CP34" i="10" s="1"/>
  <c r="P112" i="10"/>
  <c r="AR35" i="10"/>
  <c r="AR40" i="10" s="1"/>
  <c r="AR45" i="10" s="1"/>
  <c r="AR50" i="10" s="1"/>
  <c r="AR55" i="10" s="1"/>
  <c r="AR60" i="10" s="1"/>
  <c r="AR65" i="10" s="1"/>
  <c r="AR70" i="10" s="1"/>
  <c r="AR75" i="10" s="1"/>
  <c r="CE45" i="10"/>
  <c r="AN104" i="9"/>
  <c r="AG105" i="9" s="1"/>
  <c r="AI105" i="9"/>
  <c r="AJ105" i="9" s="1"/>
  <c r="AK105" i="9" s="1"/>
  <c r="F378" i="6"/>
  <c r="F211" i="15" s="1"/>
  <c r="F213" i="15" s="1"/>
  <c r="H174" i="6"/>
  <c r="CJ201" i="10"/>
  <c r="CJ206" i="10" s="1"/>
  <c r="CJ211" i="10" s="1"/>
  <c r="AN105" i="9"/>
  <c r="AG106" i="9" s="1"/>
  <c r="AI106" i="9"/>
  <c r="AJ106" i="9" s="1"/>
  <c r="AI123" i="10"/>
  <c r="BD59" i="10"/>
  <c r="BD64" i="10" s="1"/>
  <c r="BD69" i="10" s="1"/>
  <c r="BD74" i="10" s="1"/>
  <c r="BW128" i="10"/>
  <c r="CJ142" i="10"/>
  <c r="K133" i="10"/>
  <c r="AV127" i="10"/>
  <c r="AV132" i="10" s="1"/>
  <c r="AV137" i="10" s="1"/>
  <c r="BT132" i="10"/>
  <c r="BL137" i="10"/>
  <c r="BL142" i="10" s="1"/>
  <c r="X142" i="10"/>
  <c r="AV142" i="10"/>
  <c r="K27" i="7"/>
  <c r="U52" i="7"/>
  <c r="E205" i="5"/>
  <c r="B81" i="5"/>
  <c r="B69" i="6"/>
  <c r="A91" i="7"/>
  <c r="B75" i="5"/>
  <c r="B63" i="6"/>
  <c r="A85" i="7"/>
  <c r="B73" i="5"/>
  <c r="B61" i="6"/>
  <c r="A83" i="7"/>
  <c r="B71" i="5"/>
  <c r="A81" i="7"/>
  <c r="A6" i="20" s="1"/>
  <c r="A130" i="28"/>
  <c r="D130" i="28"/>
  <c r="E130" i="28" s="1"/>
  <c r="A133" i="15"/>
  <c r="D197" i="15"/>
  <c r="A230" i="15" s="1"/>
  <c r="F119" i="15"/>
  <c r="B73" i="6"/>
  <c r="B83" i="5"/>
  <c r="B71" i="6"/>
  <c r="BQ21" i="10"/>
  <c r="BP25" i="10"/>
  <c r="BP30" i="10" s="1"/>
  <c r="BP35" i="10" s="1"/>
  <c r="BP40" i="10" s="1"/>
  <c r="BP45" i="10" s="1"/>
  <c r="BP50" i="10" s="1"/>
  <c r="BP55" i="10" s="1"/>
  <c r="BP60" i="10" s="1"/>
  <c r="BP65" i="10" s="1"/>
  <c r="BP70" i="10" s="1"/>
  <c r="BP75" i="10" s="1"/>
  <c r="BI24" i="10"/>
  <c r="BG26" i="10"/>
  <c r="BH26" i="10" s="1"/>
  <c r="BH27" i="10" s="1"/>
  <c r="BH28" i="10" s="1"/>
  <c r="W188" i="9"/>
  <c r="X188" i="9" s="1"/>
  <c r="Z188" i="9"/>
  <c r="S189" i="9" s="1"/>
  <c r="U189" i="9" s="1"/>
  <c r="B122" i="13"/>
  <c r="B89" i="13"/>
  <c r="C248" i="18"/>
  <c r="B201" i="28"/>
  <c r="F201" i="28" s="1"/>
  <c r="B56" i="28"/>
  <c r="F56" i="28" s="1"/>
  <c r="B48" i="28"/>
  <c r="F48" i="28" s="1"/>
  <c r="F201" i="6"/>
  <c r="A105" i="7"/>
  <c r="B131" i="5" s="1"/>
  <c r="A94" i="7"/>
  <c r="B93" i="6" s="1"/>
  <c r="A92" i="7"/>
  <c r="A86" i="7"/>
  <c r="B39" i="22"/>
  <c r="B86" i="22"/>
  <c r="B110" i="22"/>
  <c r="B133" i="22"/>
  <c r="B83" i="22"/>
  <c r="B81" i="22"/>
  <c r="B30" i="22"/>
  <c r="B77" i="22"/>
  <c r="E140" i="6"/>
  <c r="U5" i="11" s="1"/>
  <c r="V5" i="11" s="1"/>
  <c r="U8" i="11" s="1"/>
  <c r="L5" i="11"/>
  <c r="M5" i="11" s="1"/>
  <c r="B142" i="5"/>
  <c r="B122" i="6"/>
  <c r="B138" i="5"/>
  <c r="B118" i="6"/>
  <c r="A133" i="7"/>
  <c r="A151" i="7" s="1"/>
  <c r="B116" i="6"/>
  <c r="B134" i="5"/>
  <c r="B114" i="6"/>
  <c r="A129" i="7"/>
  <c r="A147" i="7" s="1"/>
  <c r="B132" i="5"/>
  <c r="B112" i="6"/>
  <c r="A127" i="7"/>
  <c r="A145" i="7" s="1"/>
  <c r="B126" i="5"/>
  <c r="B106" i="6"/>
  <c r="A125" i="7"/>
  <c r="B112" i="5"/>
  <c r="B92" i="6"/>
  <c r="A16" i="20"/>
  <c r="B52" i="5"/>
  <c r="B48" i="6"/>
  <c r="B50" i="5"/>
  <c r="B46" i="5"/>
  <c r="B42" i="6"/>
  <c r="B44" i="5"/>
  <c r="B40" i="6"/>
  <c r="B42" i="5"/>
  <c r="B38" i="6"/>
  <c r="D35" i="10"/>
  <c r="T25" i="10"/>
  <c r="T30" i="10" s="1"/>
  <c r="T35" i="10" s="1"/>
  <c r="T40" i="10" s="1"/>
  <c r="T45" i="10" s="1"/>
  <c r="T50" i="10" s="1"/>
  <c r="T55" i="10" s="1"/>
  <c r="T60" i="10" s="1"/>
  <c r="T65" i="10" s="1"/>
  <c r="T70" i="10" s="1"/>
  <c r="T75" i="10" s="1"/>
  <c r="U21" i="10"/>
  <c r="U103" i="9"/>
  <c r="V103" i="9" s="1"/>
  <c r="W103" i="9" s="1"/>
  <c r="X103" i="9" s="1"/>
  <c r="F113" i="15"/>
  <c r="E232" i="5"/>
  <c r="C189" i="9"/>
  <c r="F172" i="6"/>
  <c r="T24" i="12" s="1"/>
  <c r="U24" i="12" s="1"/>
  <c r="C119" i="15"/>
  <c r="G230" i="6"/>
  <c r="B138" i="17" s="1"/>
  <c r="M236" i="6"/>
  <c r="N236" i="6" s="1"/>
  <c r="BJ24" i="12"/>
  <c r="BK24" i="12" s="1"/>
  <c r="BP23" i="12"/>
  <c r="BQ23" i="12" s="1"/>
  <c r="U25" i="10"/>
  <c r="B113" i="5"/>
  <c r="B82" i="6"/>
  <c r="F173" i="6"/>
  <c r="F174" i="6" s="1"/>
  <c r="T26" i="12" s="1"/>
  <c r="U26" i="12" s="1"/>
  <c r="P103" i="9"/>
  <c r="B111" i="6"/>
  <c r="BU21" i="10"/>
  <c r="BQ22" i="10" s="1"/>
  <c r="B80" i="6"/>
  <c r="B104" i="5"/>
  <c r="B84" i="6"/>
  <c r="A10" i="20"/>
  <c r="B110" i="5"/>
  <c r="B90" i="6"/>
  <c r="A14" i="20"/>
  <c r="C133" i="10"/>
  <c r="U30" i="10"/>
  <c r="Z103" i="9"/>
  <c r="S104" i="9" s="1"/>
  <c r="U104" i="9"/>
  <c r="V189" i="9"/>
  <c r="P189" i="9"/>
  <c r="BQ23" i="10"/>
  <c r="F175" i="6"/>
  <c r="A133" i="28"/>
  <c r="D57" i="28"/>
  <c r="E57" i="28" s="1"/>
  <c r="D55" i="28"/>
  <c r="E55" i="28" s="1"/>
  <c r="D51" i="28"/>
  <c r="E51" i="28" s="1"/>
  <c r="D49" i="28"/>
  <c r="E49" i="28" s="1"/>
  <c r="G129" i="28"/>
  <c r="G55" i="28"/>
  <c r="G51" i="28"/>
  <c r="C114" i="5"/>
  <c r="C85" i="5"/>
  <c r="G78" i="7"/>
  <c r="G77" i="7" s="1"/>
  <c r="C93" i="7"/>
  <c r="K53" i="7"/>
  <c r="K52" i="7" s="1"/>
  <c r="G68" i="7"/>
  <c r="C53" i="7"/>
  <c r="C52" i="7" s="1"/>
  <c r="C67" i="7"/>
  <c r="K42" i="7"/>
  <c r="AY22" i="12"/>
  <c r="AM22" i="12"/>
  <c r="AA22" i="12"/>
  <c r="N85" i="7"/>
  <c r="N81" i="7" s="1"/>
  <c r="P85" i="7"/>
  <c r="P81" i="7" s="1"/>
  <c r="K114" i="7"/>
  <c r="K153" i="7" s="1"/>
  <c r="H60" i="7"/>
  <c r="I60" i="7" s="1"/>
  <c r="X60" i="7"/>
  <c r="Y60" i="7" s="1"/>
  <c r="J17" i="14"/>
  <c r="I17" i="14"/>
  <c r="C101" i="7"/>
  <c r="F14" i="14"/>
  <c r="E14" i="14"/>
  <c r="E20" i="15"/>
  <c r="E25" i="15" s="1"/>
  <c r="C18" i="15"/>
  <c r="G205" i="28"/>
  <c r="A204" i="28"/>
  <c r="B200" i="28"/>
  <c r="F200" i="28" s="1"/>
  <c r="D18" i="15"/>
  <c r="K216" i="14"/>
  <c r="BE22" i="12"/>
  <c r="AS22" i="12"/>
  <c r="U22" i="12"/>
  <c r="D85" i="7"/>
  <c r="D81" i="7" s="1"/>
  <c r="L85" i="7"/>
  <c r="V85" i="7"/>
  <c r="Z83" i="7"/>
  <c r="Z93" i="7"/>
  <c r="D26" i="20"/>
  <c r="Z53" i="7"/>
  <c r="C3" i="20" s="1"/>
  <c r="Z65" i="7"/>
  <c r="C13" i="20" s="1"/>
  <c r="F60" i="7"/>
  <c r="G60" i="7" s="1"/>
  <c r="G56" i="7" s="1"/>
  <c r="N60" i="7"/>
  <c r="O60" i="7" s="1"/>
  <c r="V60" i="7"/>
  <c r="D5" i="11"/>
  <c r="L3" i="11"/>
  <c r="K13" i="11" s="1"/>
  <c r="K14" i="11" s="1"/>
  <c r="B138" i="22"/>
  <c r="B102" i="22"/>
  <c r="B78" i="22"/>
  <c r="B68" i="22"/>
  <c r="B55" i="22"/>
  <c r="D202" i="28"/>
  <c r="E202" i="28" s="1"/>
  <c r="G201" i="28"/>
  <c r="G200" i="28"/>
  <c r="D200" i="28"/>
  <c r="E200" i="28" s="1"/>
  <c r="B57" i="28"/>
  <c r="F57" i="28" s="1"/>
  <c r="B55" i="28"/>
  <c r="F55" i="28" s="1"/>
  <c r="B51" i="28"/>
  <c r="F51" i="28" s="1"/>
  <c r="B49" i="28"/>
  <c r="F49" i="28" s="1"/>
  <c r="C56" i="5"/>
  <c r="Z79" i="7"/>
  <c r="D4" i="20" s="1"/>
  <c r="Z78" i="7"/>
  <c r="K105" i="7"/>
  <c r="G101" i="7"/>
  <c r="K17" i="14"/>
  <c r="K14" i="14"/>
  <c r="G14" i="14"/>
  <c r="C14" i="14"/>
  <c r="B129" i="28"/>
  <c r="F129" i="28" s="1"/>
  <c r="C381" i="6"/>
  <c r="C217" i="15" s="1"/>
  <c r="C120" i="15"/>
  <c r="V4" i="11"/>
  <c r="U6" i="11"/>
  <c r="B58" i="22"/>
  <c r="B128" i="22"/>
  <c r="B103" i="22"/>
  <c r="B54" i="22"/>
  <c r="B124" i="22"/>
  <c r="B59" i="22"/>
  <c r="B207" i="28"/>
  <c r="F207" i="28" s="1"/>
  <c r="B104" i="22"/>
  <c r="B33" i="22"/>
  <c r="B57" i="22"/>
  <c r="B80" i="22"/>
  <c r="B130" i="28"/>
  <c r="F130" i="28" s="1"/>
  <c r="G130" i="28"/>
  <c r="G57" i="28"/>
  <c r="C23" i="15"/>
  <c r="C26" i="15" s="1"/>
  <c r="U77" i="7"/>
  <c r="J52" i="7"/>
  <c r="B52" i="7"/>
  <c r="B82" i="13"/>
  <c r="L6" i="11"/>
  <c r="M4" i="11"/>
  <c r="S55" i="7"/>
  <c r="AA55" i="7" s="1"/>
  <c r="R52" i="7"/>
  <c r="Z55" i="7"/>
  <c r="C5" i="20" s="1"/>
  <c r="H52" i="7"/>
  <c r="Z54" i="7"/>
  <c r="C4" i="20" s="1"/>
  <c r="I54" i="7"/>
  <c r="I52" i="7" s="1"/>
  <c r="F71" i="17"/>
  <c r="H13" i="12"/>
  <c r="J13" i="12" s="1"/>
  <c r="E85" i="7"/>
  <c r="E81" i="7" s="1"/>
  <c r="Q85" i="7"/>
  <c r="Q81" i="7" s="1"/>
  <c r="AU16" i="9"/>
  <c r="A54" i="28"/>
  <c r="P60" i="7"/>
  <c r="P56" i="7" s="1"/>
  <c r="Q61" i="7"/>
  <c r="W61" i="7"/>
  <c r="S59" i="7"/>
  <c r="S58" i="7"/>
  <c r="I57" i="7"/>
  <c r="Z57" i="7"/>
  <c r="C7" i="20" s="1"/>
  <c r="B48" i="13"/>
  <c r="D23" i="15"/>
  <c r="D363" i="6"/>
  <c r="D381" i="6" s="1"/>
  <c r="E345" i="6"/>
  <c r="F345" i="6" s="1"/>
  <c r="G131" i="28"/>
  <c r="Y42" i="7"/>
  <c r="BE23" i="12"/>
  <c r="AG25" i="12"/>
  <c r="H5" i="12"/>
  <c r="J5" i="12" s="1"/>
  <c r="G5" i="12"/>
  <c r="D4" i="11"/>
  <c r="C6" i="11"/>
  <c r="D213" i="15"/>
  <c r="N67" i="7"/>
  <c r="O68" i="7"/>
  <c r="O67" i="7" s="1"/>
  <c r="C5" i="18"/>
  <c r="B24" i="13"/>
  <c r="B31" i="13" s="1"/>
  <c r="V67" i="7"/>
  <c r="B70" i="22"/>
  <c r="B140" i="22"/>
  <c r="B93" i="22"/>
  <c r="B117" i="22"/>
  <c r="G53" i="7"/>
  <c r="G52" i="7" s="1"/>
  <c r="F52" i="7"/>
  <c r="O53" i="7"/>
  <c r="O52" i="7" s="1"/>
  <c r="N52" i="7"/>
  <c r="W53" i="7"/>
  <c r="V52" i="7"/>
  <c r="O30" i="7"/>
  <c r="X27" i="7"/>
  <c r="Y28" i="7"/>
  <c r="AA28" i="7" s="1"/>
  <c r="E36" i="7"/>
  <c r="D35" i="7"/>
  <c r="M34" i="7"/>
  <c r="U34" i="7"/>
  <c r="W33" i="7"/>
  <c r="G32" i="7"/>
  <c r="O32" i="7"/>
  <c r="W32" i="7"/>
  <c r="H14" i="15"/>
  <c r="B29" i="20"/>
  <c r="C3" i="11"/>
  <c r="B13" i="11" s="1"/>
  <c r="Z29" i="7"/>
  <c r="I27" i="7"/>
  <c r="D201" i="28"/>
  <c r="E201" i="28" s="1"/>
  <c r="A201" i="28"/>
  <c r="J7" i="12"/>
  <c r="C86" i="7"/>
  <c r="F85" i="7"/>
  <c r="F81" i="7" s="1"/>
  <c r="G86" i="7"/>
  <c r="P92" i="7"/>
  <c r="Q93" i="7"/>
  <c r="Q92" i="7" s="1"/>
  <c r="D67" i="7"/>
  <c r="E68" i="7"/>
  <c r="E67" i="7" s="1"/>
  <c r="B46" i="22"/>
  <c r="V42" i="7"/>
  <c r="U44" i="7"/>
  <c r="Q28" i="7"/>
  <c r="Q27" i="7" s="1"/>
  <c r="H27" i="7"/>
  <c r="Z87" i="7"/>
  <c r="H92" i="7"/>
  <c r="K101" i="7"/>
  <c r="D7" i="8"/>
  <c r="T67" i="7"/>
  <c r="B60" i="22"/>
  <c r="B107" i="22"/>
  <c r="B76" i="22"/>
  <c r="A49" i="28"/>
  <c r="G49" i="28"/>
  <c r="M78" i="7"/>
  <c r="M77" i="7" s="1"/>
  <c r="L77" i="7"/>
  <c r="D77" i="7"/>
  <c r="O22" i="12"/>
  <c r="F77" i="7"/>
  <c r="V77" i="7"/>
  <c r="B114" i="13"/>
  <c r="H14" i="14"/>
  <c r="H4" i="15"/>
  <c r="G207" i="28"/>
  <c r="D207" i="28"/>
  <c r="E207" i="28" s="1"/>
  <c r="A129" i="28"/>
  <c r="D129" i="28"/>
  <c r="E129" i="28" s="1"/>
  <c r="K78" i="7"/>
  <c r="K77" i="7" s="1"/>
  <c r="J77" i="7"/>
  <c r="R85" i="7"/>
  <c r="S85" i="7" s="1"/>
  <c r="S86" i="7"/>
  <c r="Z86" i="7"/>
  <c r="K82" i="7"/>
  <c r="F136" i="17"/>
  <c r="Z68" i="7"/>
  <c r="Y68" i="7"/>
  <c r="Y67" i="7" s="1"/>
  <c r="B18" i="20"/>
  <c r="M7" i="17"/>
  <c r="B29" i="28"/>
  <c r="AA23" i="12"/>
  <c r="M92" i="7"/>
  <c r="K92" i="7"/>
  <c r="J92" i="7"/>
  <c r="Z62" i="7"/>
  <c r="H17" i="14"/>
  <c r="B16" i="13"/>
  <c r="J27" i="7"/>
  <c r="R27" i="7"/>
  <c r="E16" i="15"/>
  <c r="B14" i="11"/>
  <c r="B15" i="11" s="1"/>
  <c r="E23" i="15"/>
  <c r="E26" i="15" s="1"/>
  <c r="F137" i="17"/>
  <c r="S52" i="7"/>
  <c r="C7" i="8"/>
  <c r="C27" i="20"/>
  <c r="W42" i="7"/>
  <c r="C105" i="7"/>
  <c r="B13" i="8" s="1"/>
  <c r="BQ22" i="12"/>
  <c r="J14" i="12"/>
  <c r="G14" i="12"/>
  <c r="BQ24" i="12"/>
  <c r="C33" i="7"/>
  <c r="Z33" i="7"/>
  <c r="B8" i="20" s="1"/>
  <c r="G3" i="12"/>
  <c r="C153" i="7"/>
  <c r="B27" i="20"/>
  <c r="B26" i="20" s="1"/>
  <c r="B7" i="8"/>
  <c r="D45" i="26"/>
  <c r="B142" i="31" s="1"/>
  <c r="AT21" i="10"/>
  <c r="E8" i="1"/>
  <c r="E7" i="1" s="1"/>
  <c r="L1" i="16" s="1"/>
  <c r="CH21" i="10"/>
  <c r="V24" i="10"/>
  <c r="D217" i="15"/>
  <c r="D120" i="15"/>
  <c r="E363" i="6"/>
  <c r="E120" i="15" s="1"/>
  <c r="D3" i="20"/>
  <c r="C109" i="25"/>
  <c r="C55" i="25"/>
  <c r="D54" i="28"/>
  <c r="E54" i="28" s="1"/>
  <c r="B54" i="28"/>
  <c r="F54" i="28" s="1"/>
  <c r="G54" i="28"/>
  <c r="AA87" i="7"/>
  <c r="H12" i="12"/>
  <c r="J12" i="12" s="1"/>
  <c r="G8" i="12"/>
  <c r="AG23" i="12"/>
  <c r="AG22" i="12"/>
  <c r="S80" i="7"/>
  <c r="AA80" i="7" s="1"/>
  <c r="Z80" i="7"/>
  <c r="D5" i="20"/>
  <c r="C79" i="7"/>
  <c r="C77" i="7" s="1"/>
  <c r="B77" i="7"/>
  <c r="O79" i="7"/>
  <c r="O77" i="7" s="1"/>
  <c r="N77" i="7"/>
  <c r="X77" i="7"/>
  <c r="Y79" i="7"/>
  <c r="Y77" i="7" s="1"/>
  <c r="H85" i="7"/>
  <c r="I85" i="7" s="1"/>
  <c r="Y82" i="7"/>
  <c r="AA82" i="7" s="1"/>
  <c r="Z82" i="7"/>
  <c r="D7" i="20" s="1"/>
  <c r="X92" i="7"/>
  <c r="Y94" i="7"/>
  <c r="Y92" i="7" s="1"/>
  <c r="Z94" i="7"/>
  <c r="AA83" i="7"/>
  <c r="W91" i="7"/>
  <c r="Z91" i="7"/>
  <c r="D14" i="20" s="1"/>
  <c r="Y90" i="7"/>
  <c r="AA90" i="7" s="1"/>
  <c r="Z90" i="7"/>
  <c r="D13" i="20" s="1"/>
  <c r="U3" i="11"/>
  <c r="T13" i="11" s="1"/>
  <c r="U14" i="11" s="1"/>
  <c r="BA13" i="11" s="1"/>
  <c r="D29" i="20"/>
  <c r="W66" i="7"/>
  <c r="Z66" i="7"/>
  <c r="C14" i="20" s="1"/>
  <c r="C64" i="7"/>
  <c r="Z64" i="7"/>
  <c r="C12" i="20" s="1"/>
  <c r="C63" i="7"/>
  <c r="Y63" i="7"/>
  <c r="Z63" i="7"/>
  <c r="C11" i="20" s="1"/>
  <c r="O39" i="7"/>
  <c r="O38" i="7"/>
  <c r="AA38" i="7" s="1"/>
  <c r="Z38" i="7"/>
  <c r="B11" i="20" s="1"/>
  <c r="H35" i="7"/>
  <c r="H31" i="7" s="1"/>
  <c r="I36" i="7"/>
  <c r="C32" i="7"/>
  <c r="S32" i="7"/>
  <c r="Z32" i="7"/>
  <c r="B7" i="20" s="1"/>
  <c r="H42" i="7"/>
  <c r="I44" i="7"/>
  <c r="I42" i="7" s="1"/>
  <c r="Z44" i="7"/>
  <c r="O88" i="7"/>
  <c r="E61" i="7"/>
  <c r="D60" i="7"/>
  <c r="S62" i="7"/>
  <c r="AA62" i="7" s="1"/>
  <c r="S69" i="7"/>
  <c r="R67" i="7"/>
  <c r="I68" i="7"/>
  <c r="I67" i="7" s="1"/>
  <c r="H67" i="7"/>
  <c r="Q68" i="7"/>
  <c r="P67" i="7"/>
  <c r="Z40" i="7"/>
  <c r="B13" i="20" s="1"/>
  <c r="Y40" i="7"/>
  <c r="AA40" i="7" s="1"/>
  <c r="T95" i="7"/>
  <c r="X67" i="7"/>
  <c r="R77" i="7"/>
  <c r="S78" i="7"/>
  <c r="G93" i="7"/>
  <c r="F92" i="7"/>
  <c r="O93" i="7"/>
  <c r="O92" i="7" s="1"/>
  <c r="N92" i="7"/>
  <c r="AM23" i="12"/>
  <c r="U27" i="7"/>
  <c r="W67" i="7"/>
  <c r="B130" i="22"/>
  <c r="B36" i="22"/>
  <c r="B122" i="22"/>
  <c r="B75" i="22"/>
  <c r="B99" i="22"/>
  <c r="B28" i="22"/>
  <c r="G9" i="12"/>
  <c r="J9" i="12"/>
  <c r="P77" i="7"/>
  <c r="Q79" i="7"/>
  <c r="Q77" i="7" s="1"/>
  <c r="V27" i="7"/>
  <c r="W29" i="7"/>
  <c r="E28" i="7"/>
  <c r="E27" i="7"/>
  <c r="D27" i="7"/>
  <c r="C36" i="7"/>
  <c r="B35" i="7"/>
  <c r="B31" i="7" s="1"/>
  <c r="V35" i="7"/>
  <c r="W35" i="7" s="1"/>
  <c r="W36" i="7"/>
  <c r="B27" i="7"/>
  <c r="C29" i="7"/>
  <c r="W93" i="7"/>
  <c r="V92" i="7"/>
  <c r="G36" i="7"/>
  <c r="F35" i="7"/>
  <c r="G35" i="7" s="1"/>
  <c r="M43" i="7"/>
  <c r="M42" i="7" s="1"/>
  <c r="L42" i="7"/>
  <c r="E92" i="7"/>
  <c r="J85" i="7"/>
  <c r="J81" i="7" s="1"/>
  <c r="J95" i="7" s="1"/>
  <c r="D92" i="7"/>
  <c r="M12" i="14"/>
  <c r="B42" i="22"/>
  <c r="B113" i="22"/>
  <c r="B66" i="22"/>
  <c r="B89" i="22"/>
  <c r="D58" i="28"/>
  <c r="E58" i="28" s="1"/>
  <c r="G53" i="28"/>
  <c r="B92" i="7"/>
  <c r="C94" i="7"/>
  <c r="L27" i="7"/>
  <c r="M28" i="7"/>
  <c r="R35" i="7"/>
  <c r="S36" i="7"/>
  <c r="X35" i="7"/>
  <c r="X31" i="7" s="1"/>
  <c r="X45" i="7" s="1"/>
  <c r="D42" i="7"/>
  <c r="E43" i="7"/>
  <c r="E42" i="7" s="1"/>
  <c r="T27" i="7"/>
  <c r="Z43" i="7"/>
  <c r="B16" i="20" s="1"/>
  <c r="M27" i="7"/>
  <c r="C26" i="20"/>
  <c r="F31" i="7"/>
  <c r="K85" i="7"/>
  <c r="Q67" i="7"/>
  <c r="I81" i="7"/>
  <c r="F23" i="15"/>
  <c r="F26" i="15" s="1"/>
  <c r="D17" i="20"/>
  <c r="C117" i="7"/>
  <c r="W14" i="11"/>
  <c r="BA14" i="11" s="1"/>
  <c r="A181" i="14" l="1"/>
  <c r="A192" i="14" s="1"/>
  <c r="A159" i="14"/>
  <c r="A170" i="14"/>
  <c r="V31" i="7"/>
  <c r="L14" i="11"/>
  <c r="G345" i="6"/>
  <c r="F363" i="6"/>
  <c r="B111" i="5"/>
  <c r="B91" i="6"/>
  <c r="A15" i="20"/>
  <c r="CG22" i="10"/>
  <c r="CG23" i="10" s="1"/>
  <c r="B68" i="6"/>
  <c r="B80" i="5"/>
  <c r="A90" i="7"/>
  <c r="B89" i="6" s="1"/>
  <c r="F119" i="14"/>
  <c r="F327" i="6"/>
  <c r="F220" i="14" s="1"/>
  <c r="R31" i="7"/>
  <c r="S35" i="7"/>
  <c r="S89" i="7"/>
  <c r="Z89" i="7"/>
  <c r="D12" i="20" s="1"/>
  <c r="M88" i="7"/>
  <c r="AA88" i="7" s="1"/>
  <c r="Z88" i="7"/>
  <c r="D11" i="20" s="1"/>
  <c r="B81" i="7"/>
  <c r="B95" i="7" s="1"/>
  <c r="C85" i="7"/>
  <c r="C81" i="7" s="1"/>
  <c r="Y86" i="7"/>
  <c r="X85" i="7"/>
  <c r="O84" i="7"/>
  <c r="AA84" i="7" s="1"/>
  <c r="Z84" i="7"/>
  <c r="D9" i="20" s="1"/>
  <c r="J255" i="6"/>
  <c r="J273" i="6" s="1"/>
  <c r="K237" i="6"/>
  <c r="B114" i="5"/>
  <c r="B94" i="6"/>
  <c r="Y27" i="7"/>
  <c r="H81" i="7"/>
  <c r="AA86" i="7"/>
  <c r="AA85" i="7" s="1"/>
  <c r="E35" i="7"/>
  <c r="E31" i="7" s="1"/>
  <c r="D31" i="7"/>
  <c r="K174" i="6"/>
  <c r="K175" i="6" s="1"/>
  <c r="AX25" i="12"/>
  <c r="AY25" i="12" s="1"/>
  <c r="A202" i="28"/>
  <c r="G202" i="28"/>
  <c r="B202" i="28"/>
  <c r="F202" i="28" s="1"/>
  <c r="S217" i="10"/>
  <c r="T217" i="10" s="1"/>
  <c r="J176" i="18"/>
  <c r="B157" i="13" s="1"/>
  <c r="J175" i="18"/>
  <c r="B142" i="13" s="1"/>
  <c r="A240" i="14"/>
  <c r="A285" i="14"/>
  <c r="A296" i="14" s="1"/>
  <c r="A263" i="14"/>
  <c r="Y21" i="10"/>
  <c r="V21" i="10"/>
  <c r="B65" i="22"/>
  <c r="B88" i="22"/>
  <c r="B112" i="22"/>
  <c r="B135" i="22"/>
  <c r="B41" i="22"/>
  <c r="B56" i="22"/>
  <c r="B126" i="22"/>
  <c r="A47" i="28"/>
  <c r="B47" i="28"/>
  <c r="F47" i="28" s="1"/>
  <c r="G47" i="28"/>
  <c r="D47" i="28"/>
  <c r="E47" i="28" s="1"/>
  <c r="B35" i="6"/>
  <c r="A53" i="7"/>
  <c r="A78" i="7" s="1"/>
  <c r="A3" i="20" s="1"/>
  <c r="A102" i="7"/>
  <c r="B35" i="5"/>
  <c r="CE177" i="10"/>
  <c r="CE182" i="10" s="1"/>
  <c r="CE187" i="10" s="1"/>
  <c r="CE192" i="10" s="1"/>
  <c r="CE197" i="10" s="1"/>
  <c r="CE202" i="10" s="1"/>
  <c r="CE207" i="10" s="1"/>
  <c r="CE212" i="10" s="1"/>
  <c r="U39" i="7"/>
  <c r="AA39" i="7" s="1"/>
  <c r="Z39" i="7"/>
  <c r="B12" i="20" s="1"/>
  <c r="U37" i="7"/>
  <c r="Z37" i="7"/>
  <c r="Y36" i="7"/>
  <c r="Z36" i="7"/>
  <c r="G5" i="16" s="1"/>
  <c r="H5" i="16" s="1"/>
  <c r="I5" i="16" s="1"/>
  <c r="Q34" i="7"/>
  <c r="Z34" i="7"/>
  <c r="B9" i="20" s="1"/>
  <c r="E91" i="18"/>
  <c r="B86" i="13" s="1"/>
  <c r="F399" i="6"/>
  <c r="E176" i="18" s="1"/>
  <c r="B152" i="13" s="1"/>
  <c r="D395" i="6"/>
  <c r="G107" i="15"/>
  <c r="G117" i="15" s="1"/>
  <c r="G122" i="15" s="1"/>
  <c r="G374" i="6"/>
  <c r="G204" i="15" s="1"/>
  <c r="G214" i="15" s="1"/>
  <c r="G219" i="15" s="1"/>
  <c r="A135" i="15"/>
  <c r="F197" i="15"/>
  <c r="A232" i="15" s="1"/>
  <c r="G94" i="6"/>
  <c r="A87" i="7"/>
  <c r="B77" i="5"/>
  <c r="B65" i="6"/>
  <c r="Z28" i="7"/>
  <c r="B3" i="20" s="1"/>
  <c r="P27" i="7"/>
  <c r="W41" i="7"/>
  <c r="AA41" i="7" s="1"/>
  <c r="Z41" i="7"/>
  <c r="B14" i="20" s="1"/>
  <c r="E18" i="15"/>
  <c r="E19" i="15"/>
  <c r="C247" i="18"/>
  <c r="D247" i="18" s="1"/>
  <c r="B53" i="28"/>
  <c r="F53" i="28" s="1"/>
  <c r="A53" i="28"/>
  <c r="D53" i="28"/>
  <c r="E53" i="28" s="1"/>
  <c r="A52" i="14"/>
  <c r="A86" i="14"/>
  <c r="A97" i="14" s="1"/>
  <c r="A41" i="14"/>
  <c r="A64" i="14"/>
  <c r="K61" i="7"/>
  <c r="J60" i="7"/>
  <c r="S61" i="7"/>
  <c r="Z61" i="7"/>
  <c r="R60" i="7"/>
  <c r="E59" i="7"/>
  <c r="Z59" i="7"/>
  <c r="C9" i="20" s="1"/>
  <c r="W58" i="7"/>
  <c r="Z58" i="7"/>
  <c r="C8" i="20" s="1"/>
  <c r="O57" i="7"/>
  <c r="O56" i="7" s="1"/>
  <c r="N56" i="7"/>
  <c r="G69" i="7"/>
  <c r="Z69" i="7"/>
  <c r="C17" i="20" s="1"/>
  <c r="F67" i="7"/>
  <c r="L67" i="7"/>
  <c r="M68" i="7"/>
  <c r="M67" i="7" s="1"/>
  <c r="B56" i="13"/>
  <c r="B63" i="13" s="1"/>
  <c r="C7" i="18"/>
  <c r="W30" i="7"/>
  <c r="Z30" i="7"/>
  <c r="B5" i="20" s="1"/>
  <c r="O29" i="7"/>
  <c r="N27" i="7"/>
  <c r="A50" i="28"/>
  <c r="G50" i="28"/>
  <c r="B50" i="28"/>
  <c r="F50" i="28" s="1"/>
  <c r="D50" i="28"/>
  <c r="E50" i="28" s="1"/>
  <c r="G67" i="7"/>
  <c r="G70" i="7" s="1"/>
  <c r="Z67" i="7"/>
  <c r="O85" i="7"/>
  <c r="O81" i="7" s="1"/>
  <c r="D248" i="18"/>
  <c r="B100" i="22"/>
  <c r="B53" i="22"/>
  <c r="AY217" i="10"/>
  <c r="AZ217" i="10" s="1"/>
  <c r="I116" i="14"/>
  <c r="I325" i="6"/>
  <c r="I217" i="14" s="1"/>
  <c r="K81" i="7"/>
  <c r="K95" i="7" s="1"/>
  <c r="AA63" i="7"/>
  <c r="N175" i="6"/>
  <c r="I255" i="6"/>
  <c r="I273" i="6" s="1"/>
  <c r="AF24" i="12"/>
  <c r="AG24" i="12" s="1"/>
  <c r="AD104" i="9"/>
  <c r="AE104" i="9" s="1"/>
  <c r="AF104" i="9" s="1"/>
  <c r="B129" i="22"/>
  <c r="A173" i="14"/>
  <c r="A154" i="14"/>
  <c r="A77" i="14"/>
  <c r="A46" i="14"/>
  <c r="L94" i="6"/>
  <c r="O18" i="9"/>
  <c r="Y17" i="9"/>
  <c r="D22" i="10"/>
  <c r="C23" i="10"/>
  <c r="R189" i="9"/>
  <c r="O400" i="6"/>
  <c r="N93" i="18"/>
  <c r="B127" i="13" s="1"/>
  <c r="G93" i="18"/>
  <c r="B120" i="13" s="1"/>
  <c r="H400" i="6"/>
  <c r="F400" i="6"/>
  <c r="E178" i="18" s="1"/>
  <c r="B184" i="13" s="1"/>
  <c r="E93" i="18"/>
  <c r="B118" i="13" s="1"/>
  <c r="F110" i="14"/>
  <c r="F321" i="6"/>
  <c r="F211" i="14" s="1"/>
  <c r="D124" i="15"/>
  <c r="D382" i="6"/>
  <c r="D221" i="15" s="1"/>
  <c r="A150" i="14"/>
  <c r="A59" i="14"/>
  <c r="T22" i="10"/>
  <c r="S23" i="10"/>
  <c r="G112" i="15"/>
  <c r="G377" i="6"/>
  <c r="G209" i="15" s="1"/>
  <c r="R42" i="7"/>
  <c r="S43" i="7"/>
  <c r="S42" i="7" s="1"/>
  <c r="S45" i="7" s="1"/>
  <c r="C370" i="6"/>
  <c r="C198" i="15" s="1"/>
  <c r="C101" i="15"/>
  <c r="AA64" i="7"/>
  <c r="AA91" i="7"/>
  <c r="X56" i="7"/>
  <c r="A126" i="7"/>
  <c r="A144" i="7" s="1"/>
  <c r="A131" i="7"/>
  <c r="A149" i="7" s="1"/>
  <c r="B85" i="5"/>
  <c r="E237" i="5"/>
  <c r="M176" i="6"/>
  <c r="A169" i="14"/>
  <c r="A58" i="14"/>
  <c r="A40" i="14"/>
  <c r="G327" i="6"/>
  <c r="G220" i="14" s="1"/>
  <c r="A132" i="7"/>
  <c r="A150" i="7" s="1"/>
  <c r="B117" i="6"/>
  <c r="E231" i="5"/>
  <c r="AB22" i="10"/>
  <c r="AA23" i="10"/>
  <c r="AW102" i="9"/>
  <c r="H102" i="9"/>
  <c r="I102" i="9" s="1"/>
  <c r="T52" i="7"/>
  <c r="Y53" i="7"/>
  <c r="Y52" i="7" s="1"/>
  <c r="X52" i="7"/>
  <c r="F93" i="18"/>
  <c r="B119" i="13" s="1"/>
  <c r="G400" i="6"/>
  <c r="C272" i="6"/>
  <c r="D254" i="6"/>
  <c r="E261" i="6"/>
  <c r="E279" i="6" s="1"/>
  <c r="F243" i="6"/>
  <c r="D6" i="1"/>
  <c r="D45" i="7"/>
  <c r="C35" i="7"/>
  <c r="G92" i="7"/>
  <c r="AA66" i="7"/>
  <c r="C16" i="11"/>
  <c r="AE3" i="11" s="1"/>
  <c r="T25" i="12"/>
  <c r="U25" i="12" s="1"/>
  <c r="A164" i="14"/>
  <c r="A70" i="14"/>
  <c r="D5" i="30"/>
  <c r="D25" i="30" s="1"/>
  <c r="D40" i="30" s="1"/>
  <c r="C55" i="30"/>
  <c r="L93" i="18"/>
  <c r="B125" i="13" s="1"/>
  <c r="M400" i="6"/>
  <c r="S31" i="7"/>
  <c r="O27" i="7"/>
  <c r="A175" i="14"/>
  <c r="A69" i="14"/>
  <c r="G15" i="10"/>
  <c r="N94" i="6"/>
  <c r="G113" i="14"/>
  <c r="D91" i="18"/>
  <c r="B85" i="13" s="1"/>
  <c r="E399" i="6"/>
  <c r="D176" i="18" s="1"/>
  <c r="B151" i="13" s="1"/>
  <c r="D251" i="6"/>
  <c r="D269" i="6" s="1"/>
  <c r="E233" i="6"/>
  <c r="AA58" i="7"/>
  <c r="L81" i="7"/>
  <c r="L95" i="7" s="1"/>
  <c r="B133" i="5"/>
  <c r="A128" i="7"/>
  <c r="A146" i="7" s="1"/>
  <c r="B82" i="5"/>
  <c r="B70" i="6"/>
  <c r="F376" i="6"/>
  <c r="F208" i="15" s="1"/>
  <c r="F210" i="15" s="1"/>
  <c r="T35" i="7"/>
  <c r="H11" i="12"/>
  <c r="J11" i="12" s="1"/>
  <c r="F16" i="15"/>
  <c r="BA188" i="9"/>
  <c r="AK102" i="9"/>
  <c r="C73" i="6"/>
  <c r="H52" i="6"/>
  <c r="G114" i="5"/>
  <c r="U23" i="12"/>
  <c r="G399" i="6"/>
  <c r="I77" i="7"/>
  <c r="K115" i="14"/>
  <c r="D152" i="18"/>
  <c r="C10" i="4"/>
  <c r="J325" i="6"/>
  <c r="J217" i="14" s="1"/>
  <c r="G73" i="6"/>
  <c r="D325" i="6"/>
  <c r="D217" i="14" s="1"/>
  <c r="D219" i="14" s="1"/>
  <c r="E382" i="6"/>
  <c r="E221" i="15" s="1"/>
  <c r="L17" i="14"/>
  <c r="H23" i="12"/>
  <c r="I23" i="12" s="1"/>
  <c r="F177" i="17"/>
  <c r="K2" i="16"/>
  <c r="B171" i="6" s="1"/>
  <c r="B187" i="6" s="1"/>
  <c r="B203" i="6" s="1"/>
  <c r="D1" i="13"/>
  <c r="D67" i="13" s="1"/>
  <c r="B25" i="7"/>
  <c r="B12" i="17"/>
  <c r="K1" i="16"/>
  <c r="C10" i="5"/>
  <c r="D406" i="5" s="1"/>
  <c r="E1" i="26"/>
  <c r="AA118" i="10"/>
  <c r="AA123" i="10" s="1"/>
  <c r="AA128" i="10" s="1"/>
  <c r="AA133" i="10" s="1"/>
  <c r="AA138" i="10" s="1"/>
  <c r="AA143" i="10" s="1"/>
  <c r="N95" i="7"/>
  <c r="O70" i="7"/>
  <c r="L8" i="11"/>
  <c r="Z14" i="11"/>
  <c r="Y14" i="11" s="1"/>
  <c r="Y35" i="7"/>
  <c r="Y31" i="7" s="1"/>
  <c r="Y45" i="7" s="1"/>
  <c r="M47" i="17" s="1"/>
  <c r="D15" i="11"/>
  <c r="F15" i="11" s="1"/>
  <c r="T14" i="11"/>
  <c r="O95" i="7"/>
  <c r="G85" i="7"/>
  <c r="G81" i="7" s="1"/>
  <c r="G95" i="7" s="1"/>
  <c r="R81" i="7"/>
  <c r="B131" i="28"/>
  <c r="F131" i="28" s="1"/>
  <c r="Z77" i="7"/>
  <c r="B100" i="5"/>
  <c r="J173" i="6"/>
  <c r="A153" i="14"/>
  <c r="A165" i="14"/>
  <c r="A176" i="14"/>
  <c r="A187" i="14"/>
  <c r="A198" i="14" s="1"/>
  <c r="A138" i="14"/>
  <c r="A149" i="14"/>
  <c r="A161" i="14"/>
  <c r="A172" i="14"/>
  <c r="A183" i="14"/>
  <c r="A194" i="14" s="1"/>
  <c r="A136" i="15"/>
  <c r="G197" i="15"/>
  <c r="A233" i="15" s="1"/>
  <c r="F45" i="26"/>
  <c r="H45" i="26" s="1"/>
  <c r="D142" i="31" s="1"/>
  <c r="B16" i="11"/>
  <c r="H45" i="7"/>
  <c r="E47" i="17" s="1"/>
  <c r="C15" i="11"/>
  <c r="D14" i="11"/>
  <c r="F14" i="11" s="1"/>
  <c r="Z52" i="7"/>
  <c r="AA34" i="7"/>
  <c r="M85" i="7"/>
  <c r="E224" i="5"/>
  <c r="AH105" i="9"/>
  <c r="AH106" i="9" s="1"/>
  <c r="BD24" i="12"/>
  <c r="BE24" i="12" s="1"/>
  <c r="L173" i="6"/>
  <c r="A205" i="28"/>
  <c r="D205" i="28"/>
  <c r="E205" i="28" s="1"/>
  <c r="A287" i="14"/>
  <c r="A298" i="14" s="1"/>
  <c r="A242" i="14"/>
  <c r="A253" i="14"/>
  <c r="A265" i="14"/>
  <c r="A261" i="14"/>
  <c r="A272" i="14"/>
  <c r="A283" i="14"/>
  <c r="A294" i="14" s="1"/>
  <c r="A42" i="14"/>
  <c r="A53" i="14"/>
  <c r="A76" i="14"/>
  <c r="A38" i="14"/>
  <c r="A49" i="14"/>
  <c r="A72" i="14"/>
  <c r="A34" i="14"/>
  <c r="A45" i="14"/>
  <c r="A68" i="14"/>
  <c r="L400" i="6"/>
  <c r="Y56" i="7"/>
  <c r="Y70" i="7" s="1"/>
  <c r="A50" i="15"/>
  <c r="A56" i="15" s="1"/>
  <c r="A62" i="15" s="1"/>
  <c r="A44" i="15"/>
  <c r="O93" i="18"/>
  <c r="B128" i="13" s="1"/>
  <c r="P400" i="6"/>
  <c r="F8" i="1"/>
  <c r="G8" i="1" s="1"/>
  <c r="H8" i="1" s="1"/>
  <c r="H7" i="1" s="1"/>
  <c r="I35" i="7"/>
  <c r="I31" i="7" s="1"/>
  <c r="I45" i="7" s="1"/>
  <c r="E45" i="7"/>
  <c r="B91" i="22"/>
  <c r="AC5" i="11"/>
  <c r="C2" i="20"/>
  <c r="C14" i="11"/>
  <c r="AC3" i="11" s="1"/>
  <c r="A131" i="28"/>
  <c r="B115" i="22"/>
  <c r="A17" i="20"/>
  <c r="E238" i="5"/>
  <c r="E236" i="5"/>
  <c r="F17" i="15"/>
  <c r="G342" i="6"/>
  <c r="D8" i="21"/>
  <c r="C181" i="31"/>
  <c r="BA21" i="10"/>
  <c r="AZ25" i="10"/>
  <c r="AZ30" i="10" s="1"/>
  <c r="AZ35" i="10" s="1"/>
  <c r="AZ40" i="10" s="1"/>
  <c r="AZ45" i="10" s="1"/>
  <c r="AZ50" i="10" s="1"/>
  <c r="AZ55" i="10" s="1"/>
  <c r="AZ60" i="10" s="1"/>
  <c r="AZ65" i="10" s="1"/>
  <c r="AZ70" i="10" s="1"/>
  <c r="AZ75" i="10" s="1"/>
  <c r="CM24" i="10"/>
  <c r="CN23" i="10"/>
  <c r="CN24" i="10" s="1"/>
  <c r="BW23" i="10"/>
  <c r="BX22" i="10"/>
  <c r="K23" i="10"/>
  <c r="L22" i="10"/>
  <c r="B106" i="22"/>
  <c r="A48" i="28"/>
  <c r="A274" i="14"/>
  <c r="A255" i="14"/>
  <c r="A247" i="14"/>
  <c r="A189" i="14"/>
  <c r="A200" i="14" s="1"/>
  <c r="A163" i="14"/>
  <c r="A155" i="14"/>
  <c r="A147" i="14"/>
  <c r="A136" i="14"/>
  <c r="A63" i="14"/>
  <c r="A47" i="14"/>
  <c r="A36" i="14"/>
  <c r="K73" i="6"/>
  <c r="B76" i="5"/>
  <c r="B64" i="6"/>
  <c r="B45" i="5"/>
  <c r="B41" i="6"/>
  <c r="A59" i="7"/>
  <c r="D258" i="5"/>
  <c r="AO21" i="10"/>
  <c r="AK22" i="10" s="1"/>
  <c r="AK23" i="10" s="1"/>
  <c r="C30" i="10"/>
  <c r="E25" i="10"/>
  <c r="F24" i="10" s="1"/>
  <c r="B64" i="5"/>
  <c r="B56" i="6"/>
  <c r="F85" i="5"/>
  <c r="AC104" i="9"/>
  <c r="AM103" i="9"/>
  <c r="AL103" i="9" s="1"/>
  <c r="D396" i="6"/>
  <c r="B125" i="22"/>
  <c r="A278" i="14"/>
  <c r="A270" i="14"/>
  <c r="A251" i="14"/>
  <c r="A49" i="15"/>
  <c r="A55" i="15" s="1"/>
  <c r="A61" i="15" s="1"/>
  <c r="T189" i="9"/>
  <c r="I169" i="6"/>
  <c r="I185" i="6"/>
  <c r="I201" i="6"/>
  <c r="M73" i="6"/>
  <c r="I73" i="6"/>
  <c r="B71" i="17"/>
  <c r="G229" i="6"/>
  <c r="B137" i="17" s="1"/>
  <c r="AL102" i="9"/>
  <c r="F73" i="6"/>
  <c r="K52" i="6"/>
  <c r="G52" i="6"/>
  <c r="B37" i="5"/>
  <c r="D453" i="5"/>
  <c r="D254" i="5"/>
  <c r="C201" i="5"/>
  <c r="I114" i="5"/>
  <c r="D85" i="5"/>
  <c r="AJ25" i="10"/>
  <c r="AJ30" i="10" s="1"/>
  <c r="AB21" i="10"/>
  <c r="L324" i="6"/>
  <c r="L215" i="14" s="1"/>
  <c r="L216" i="14" s="1"/>
  <c r="F374" i="6"/>
  <c r="F204" i="15" s="1"/>
  <c r="F107" i="15"/>
  <c r="F246" i="6"/>
  <c r="L52" i="6"/>
  <c r="F27" i="7"/>
  <c r="G29" i="7"/>
  <c r="X102" i="9"/>
  <c r="J73" i="6"/>
  <c r="N52" i="6"/>
  <c r="I52" i="6"/>
  <c r="M52" i="6"/>
  <c r="CF25" i="10"/>
  <c r="H326" i="6"/>
  <c r="H218" i="14" s="1"/>
  <c r="H219" i="14" s="1"/>
  <c r="T103" i="9"/>
  <c r="T104" i="9" s="1"/>
  <c r="D376" i="6"/>
  <c r="D208" i="15" s="1"/>
  <c r="D210" i="15" s="1"/>
  <c r="D111" i="15"/>
  <c r="D113" i="15" s="1"/>
  <c r="D52" i="7"/>
  <c r="E53" i="7"/>
  <c r="M53" i="7"/>
  <c r="M52" i="7" s="1"/>
  <c r="L52" i="7"/>
  <c r="B60" i="7"/>
  <c r="C61" i="7"/>
  <c r="O43" i="7"/>
  <c r="O42" i="7" s="1"/>
  <c r="N42" i="7"/>
  <c r="U43" i="7"/>
  <c r="T42" i="7"/>
  <c r="D370" i="6"/>
  <c r="D198" i="15" s="1"/>
  <c r="D101" i="15"/>
  <c r="E235" i="6"/>
  <c r="D253" i="6"/>
  <c r="D271" i="6" s="1"/>
  <c r="J234" i="6"/>
  <c r="I252" i="6"/>
  <c r="I270" i="6" s="1"/>
  <c r="G12" i="12"/>
  <c r="G15" i="12" s="1"/>
  <c r="E15" i="12" s="1"/>
  <c r="B67" i="7"/>
  <c r="J67" i="7"/>
  <c r="C12" i="9"/>
  <c r="D67" i="18"/>
  <c r="D16" i="15"/>
  <c r="H28" i="19"/>
  <c r="B42" i="7"/>
  <c r="B45" i="7" s="1"/>
  <c r="B47" i="17" s="1"/>
  <c r="BV21" i="10"/>
  <c r="BR21" i="10"/>
  <c r="AL21" i="10"/>
  <c r="R17" i="9"/>
  <c r="C52" i="6"/>
  <c r="L14" i="14"/>
  <c r="C16" i="15"/>
  <c r="C374" i="6"/>
  <c r="C204" i="15" s="1"/>
  <c r="D117" i="14"/>
  <c r="D118" i="14" s="1"/>
  <c r="E52" i="7"/>
  <c r="T60" i="7"/>
  <c r="C17" i="14"/>
  <c r="M17" i="14" s="1"/>
  <c r="C43" i="7"/>
  <c r="C42" i="7" s="1"/>
  <c r="R84" i="13"/>
  <c r="D133" i="13"/>
  <c r="R150" i="13" s="1"/>
  <c r="A23" i="12"/>
  <c r="A43" i="12" s="1"/>
  <c r="A63" i="12" s="1"/>
  <c r="BF14" i="9"/>
  <c r="BF26" i="9" s="1"/>
  <c r="BF38" i="9" s="1"/>
  <c r="BF50" i="9" s="1"/>
  <c r="BF62" i="9" s="1"/>
  <c r="BF74" i="9" s="1"/>
  <c r="B5" i="3"/>
  <c r="A24" i="10"/>
  <c r="A92" i="10" s="1"/>
  <c r="A161" i="10" s="1"/>
  <c r="D16" i="11"/>
  <c r="F16" i="11" s="1"/>
  <c r="C17" i="11"/>
  <c r="E60" i="7"/>
  <c r="E56" i="7" s="1"/>
  <c r="E70" i="7" s="1"/>
  <c r="D56" i="7"/>
  <c r="Z42" i="7"/>
  <c r="B17" i="20"/>
  <c r="B15" i="20" s="1"/>
  <c r="F56" i="7"/>
  <c r="F70" i="7" s="1"/>
  <c r="D111" i="17" s="1"/>
  <c r="W60" i="7"/>
  <c r="V56" i="7"/>
  <c r="V70" i="7" s="1"/>
  <c r="CE50" i="10"/>
  <c r="AA55" i="10"/>
  <c r="BW55" i="10"/>
  <c r="CM45" i="10"/>
  <c r="CR176" i="10"/>
  <c r="F21" i="10"/>
  <c r="I8" i="1"/>
  <c r="G7" i="1"/>
  <c r="DD20" i="10"/>
  <c r="C142" i="31"/>
  <c r="F7" i="1"/>
  <c r="Z35" i="7"/>
  <c r="G425" i="5"/>
  <c r="D357" i="5"/>
  <c r="D425" i="5"/>
  <c r="C357" i="5"/>
  <c r="C369" i="5"/>
  <c r="C27" i="7"/>
  <c r="AA29" i="7"/>
  <c r="H177" i="17"/>
  <c r="C31" i="7"/>
  <c r="B33" i="20"/>
  <c r="V45" i="7"/>
  <c r="B4" i="20"/>
  <c r="B2" i="20" s="1"/>
  <c r="Z27" i="7"/>
  <c r="E16" i="11"/>
  <c r="C13" i="8"/>
  <c r="G117" i="7"/>
  <c r="D8" i="20"/>
  <c r="F176" i="6"/>
  <c r="T27" i="12"/>
  <c r="U27" i="12" s="1"/>
  <c r="J25" i="7"/>
  <c r="O1" i="16"/>
  <c r="S67" i="7"/>
  <c r="AA69" i="7"/>
  <c r="B32" i="20"/>
  <c r="B14" i="8"/>
  <c r="AO8" i="11"/>
  <c r="N14" i="11"/>
  <c r="AA59" i="7"/>
  <c r="BG13" i="9"/>
  <c r="BS12" i="9"/>
  <c r="K15" i="11"/>
  <c r="L15" i="11"/>
  <c r="M14" i="11"/>
  <c r="O14" i="11" s="1"/>
  <c r="P117" i="10"/>
  <c r="CB107" i="10"/>
  <c r="CM113" i="10"/>
  <c r="CS21" i="10"/>
  <c r="CP21" i="10"/>
  <c r="F12" i="17"/>
  <c r="B200" i="5"/>
  <c r="B216" i="5" s="1"/>
  <c r="B232" i="5" s="1"/>
  <c r="B17" i="11"/>
  <c r="E381" i="6"/>
  <c r="E217" i="15" s="1"/>
  <c r="C20" i="14"/>
  <c r="C121" i="14" s="1"/>
  <c r="C222" i="14" s="1"/>
  <c r="B56" i="17"/>
  <c r="AC2" i="11"/>
  <c r="C32" i="15"/>
  <c r="B120" i="17"/>
  <c r="B74" i="17"/>
  <c r="C232" i="6"/>
  <c r="C25" i="16"/>
  <c r="D95" i="7"/>
  <c r="C45" i="7"/>
  <c r="S77" i="7"/>
  <c r="AA78" i="7"/>
  <c r="AA79" i="7"/>
  <c r="D2" i="20"/>
  <c r="C16" i="20"/>
  <c r="C15" i="20" s="1"/>
  <c r="C12" i="17"/>
  <c r="D25" i="7"/>
  <c r="Q60" i="7"/>
  <c r="Q56" i="7" s="1"/>
  <c r="G31" i="7"/>
  <c r="AA32" i="7"/>
  <c r="W52" i="7"/>
  <c r="AA53" i="7"/>
  <c r="H56" i="7"/>
  <c r="H70" i="7" s="1"/>
  <c r="AO10" i="11"/>
  <c r="W85" i="7"/>
  <c r="W81" i="7" s="1"/>
  <c r="V81" i="7"/>
  <c r="V95" i="7" s="1"/>
  <c r="Z85" i="7"/>
  <c r="D10" i="20" s="1"/>
  <c r="D6" i="20" s="1"/>
  <c r="X70" i="7"/>
  <c r="R95" i="7"/>
  <c r="K117" i="7"/>
  <c r="D13" i="8"/>
  <c r="N70" i="7"/>
  <c r="H111" i="17" s="1"/>
  <c r="I56" i="7"/>
  <c r="I70" i="7" s="1"/>
  <c r="AA57" i="7"/>
  <c r="AA61" i="7"/>
  <c r="AA60" i="7" s="1"/>
  <c r="D16" i="20"/>
  <c r="D15" i="20" s="1"/>
  <c r="Z92" i="7"/>
  <c r="K60" i="7"/>
  <c r="K56" i="7" s="1"/>
  <c r="J56" i="7"/>
  <c r="J70" i="7" s="1"/>
  <c r="C92" i="7"/>
  <c r="C95" i="7" s="1"/>
  <c r="V29" i="10"/>
  <c r="A145" i="15"/>
  <c r="A151" i="15" s="1"/>
  <c r="A157" i="15" s="1"/>
  <c r="A139" i="15"/>
  <c r="BT137" i="10"/>
  <c r="W92" i="7"/>
  <c r="W95" i="7" s="1"/>
  <c r="AA93" i="7"/>
  <c r="F95" i="7"/>
  <c r="Q95" i="7"/>
  <c r="AA33" i="7"/>
  <c r="C8" i="11"/>
  <c r="AV16" i="9"/>
  <c r="P95" i="7"/>
  <c r="CE143" i="10"/>
  <c r="CE148" i="10" s="1"/>
  <c r="CF148" i="10" s="1"/>
  <c r="W189" i="9"/>
  <c r="Z189" i="9"/>
  <c r="S190" i="9" s="1"/>
  <c r="U190" i="9"/>
  <c r="BH29" i="10"/>
  <c r="BW133" i="10"/>
  <c r="C10" i="6"/>
  <c r="K138" i="10"/>
  <c r="V104" i="9"/>
  <c r="P104" i="9"/>
  <c r="AI128" i="10"/>
  <c r="A134" i="15"/>
  <c r="E197" i="15"/>
  <c r="A231" i="15" s="1"/>
  <c r="B63" i="5"/>
  <c r="A77" i="7"/>
  <c r="B92" i="5" s="1"/>
  <c r="AN132" i="10"/>
  <c r="AF127" i="10"/>
  <c r="AF49" i="10"/>
  <c r="B26" i="12"/>
  <c r="C26" i="12" s="1"/>
  <c r="C175" i="6"/>
  <c r="C197" i="15"/>
  <c r="A229" i="15" s="1"/>
  <c r="A132" i="15"/>
  <c r="B120" i="6"/>
  <c r="B140" i="5"/>
  <c r="A153" i="7"/>
  <c r="AI107" i="9"/>
  <c r="AN106" i="9"/>
  <c r="AG107" i="9" s="1"/>
  <c r="AK106" i="9"/>
  <c r="AF26" i="12"/>
  <c r="AG26" i="12" s="1"/>
  <c r="H175" i="6"/>
  <c r="BG118" i="10"/>
  <c r="G173" i="6"/>
  <c r="Z24" i="12"/>
  <c r="AA24" i="12" s="1"/>
  <c r="D43" i="31"/>
  <c r="D84" i="31" s="1"/>
  <c r="C84" i="31"/>
  <c r="AS189" i="9"/>
  <c r="A242" i="15"/>
  <c r="A248" i="15" s="1"/>
  <c r="A254" i="15" s="1"/>
  <c r="A236" i="15"/>
  <c r="J102" i="9"/>
  <c r="AZ102" i="9" s="1"/>
  <c r="BA102" i="9"/>
  <c r="AD105" i="9"/>
  <c r="D40" i="10"/>
  <c r="A8" i="20"/>
  <c r="B102" i="5"/>
  <c r="E206" i="5"/>
  <c r="BO123" i="10"/>
  <c r="CJ49" i="10"/>
  <c r="K50" i="10"/>
  <c r="AX26" i="12"/>
  <c r="AY26" i="12" s="1"/>
  <c r="A238" i="15"/>
  <c r="A244" i="15"/>
  <c r="A250" i="15" s="1"/>
  <c r="A256" i="15" s="1"/>
  <c r="B78" i="5"/>
  <c r="A88" i="7"/>
  <c r="E114" i="5"/>
  <c r="A191" i="9"/>
  <c r="K190" i="9"/>
  <c r="O105" i="9"/>
  <c r="Y104" i="9"/>
  <c r="AM20" i="9"/>
  <c r="AC21" i="9"/>
  <c r="A19" i="9"/>
  <c r="K18" i="9"/>
  <c r="D70" i="30"/>
  <c r="E5" i="30"/>
  <c r="D55" i="30"/>
  <c r="BO30" i="10"/>
  <c r="BQ25" i="10"/>
  <c r="BL29" i="10"/>
  <c r="BG27" i="10"/>
  <c r="AY24" i="10"/>
  <c r="AZ23" i="10"/>
  <c r="AZ24" i="10" s="1"/>
  <c r="AY30" i="10"/>
  <c r="BA25" i="10"/>
  <c r="AY26" i="10"/>
  <c r="AQ35" i="10"/>
  <c r="AS30" i="10"/>
  <c r="X29" i="10"/>
  <c r="P29" i="10"/>
  <c r="H49" i="10"/>
  <c r="O177" i="18"/>
  <c r="B179" i="13" s="1"/>
  <c r="O178" i="18"/>
  <c r="B194" i="13" s="1"/>
  <c r="O91" i="18"/>
  <c r="B96" i="13" s="1"/>
  <c r="P399" i="6"/>
  <c r="C138" i="10"/>
  <c r="S148" i="10"/>
  <c r="T148" i="10" s="1"/>
  <c r="B105" i="5"/>
  <c r="B85" i="6"/>
  <c r="BJ28" i="12"/>
  <c r="BK28" i="12" s="1"/>
  <c r="M177" i="6"/>
  <c r="BT49" i="10"/>
  <c r="AI50" i="10"/>
  <c r="S40" i="10"/>
  <c r="U35" i="10"/>
  <c r="A58" i="28"/>
  <c r="G58" i="28"/>
  <c r="F452" i="5"/>
  <c r="D452" i="5" s="1"/>
  <c r="D448" i="5"/>
  <c r="AC190" i="9"/>
  <c r="AM189" i="9"/>
  <c r="AC105" i="9"/>
  <c r="AM104" i="9"/>
  <c r="AL104" i="9" s="1"/>
  <c r="K104" i="9"/>
  <c r="A105" i="9"/>
  <c r="O19" i="9"/>
  <c r="Y18" i="9"/>
  <c r="F16" i="16"/>
  <c r="E18" i="16"/>
  <c r="BG35" i="10"/>
  <c r="AY103" i="10"/>
  <c r="AQ108" i="10"/>
  <c r="AQ24" i="10"/>
  <c r="AR23" i="10"/>
  <c r="AR24" i="10" s="1"/>
  <c r="AN39" i="10"/>
  <c r="AA24" i="10"/>
  <c r="AB23" i="10"/>
  <c r="AB24" i="10" s="1"/>
  <c r="CN40" i="10"/>
  <c r="CN45" i="10" s="1"/>
  <c r="CN50" i="10" s="1"/>
  <c r="CN55" i="10" s="1"/>
  <c r="CN60" i="10" s="1"/>
  <c r="CN65" i="10" s="1"/>
  <c r="CN70" i="10" s="1"/>
  <c r="CN75" i="10" s="1"/>
  <c r="I173" i="6"/>
  <c r="AL24" i="12"/>
  <c r="AM24" i="12" s="1"/>
  <c r="B38" i="22"/>
  <c r="B62" i="22"/>
  <c r="B109" i="22"/>
  <c r="B132" i="22"/>
  <c r="B105" i="22"/>
  <c r="B34" i="22"/>
  <c r="D52" i="28"/>
  <c r="A52" i="28"/>
  <c r="B52" i="28"/>
  <c r="F52" i="28" s="1"/>
  <c r="G52" i="28"/>
  <c r="A245" i="14"/>
  <c r="A268" i="14"/>
  <c r="A290" i="14"/>
  <c r="A301" i="14" s="1"/>
  <c r="A256" i="14"/>
  <c r="A279" i="14"/>
  <c r="A264" i="14"/>
  <c r="A286" i="14"/>
  <c r="A297" i="14" s="1"/>
  <c r="A252" i="14"/>
  <c r="A275" i="14"/>
  <c r="A260" i="14"/>
  <c r="A282" i="14"/>
  <c r="A293" i="14" s="1"/>
  <c r="A237" i="14"/>
  <c r="A248" i="14"/>
  <c r="A271" i="14"/>
  <c r="M94" i="6"/>
  <c r="A64" i="7"/>
  <c r="B46" i="6"/>
  <c r="I326" i="6"/>
  <c r="I218" i="14" s="1"/>
  <c r="I219" i="14" s="1"/>
  <c r="I117" i="14"/>
  <c r="I118" i="14" s="1"/>
  <c r="L102" i="9"/>
  <c r="AX102" i="9"/>
  <c r="B66" i="17"/>
  <c r="C11" i="4" s="1"/>
  <c r="G226" i="6"/>
  <c r="B132" i="17" s="1"/>
  <c r="C12" i="4" s="1"/>
  <c r="U16" i="9"/>
  <c r="T16" i="9"/>
  <c r="B93" i="5"/>
  <c r="B77" i="6"/>
  <c r="B109" i="5"/>
  <c r="A13" i="20"/>
  <c r="AR25" i="12"/>
  <c r="AS25" i="12" s="1"/>
  <c r="J174" i="6"/>
  <c r="B32" i="22"/>
  <c r="B79" i="22"/>
  <c r="A254" i="14"/>
  <c r="A277" i="14"/>
  <c r="A266" i="14"/>
  <c r="A288" i="14"/>
  <c r="A299" i="14" s="1"/>
  <c r="A239" i="14"/>
  <c r="A250" i="14"/>
  <c r="A273" i="14"/>
  <c r="A262" i="14"/>
  <c r="A284" i="14"/>
  <c r="A295" i="14" s="1"/>
  <c r="A45" i="15"/>
  <c r="A51" i="15"/>
  <c r="A57" i="15" s="1"/>
  <c r="A63" i="15" s="1"/>
  <c r="K327" i="6"/>
  <c r="K220" i="14" s="1"/>
  <c r="K119" i="14"/>
  <c r="F169" i="6"/>
  <c r="F185" i="6"/>
  <c r="B66" i="5"/>
  <c r="B58" i="6"/>
  <c r="A80" i="7"/>
  <c r="A57" i="7"/>
  <c r="B43" i="5"/>
  <c r="B39" i="6"/>
  <c r="A101" i="7"/>
  <c r="B34" i="5"/>
  <c r="D255" i="5"/>
  <c r="F259" i="5"/>
  <c r="D259" i="5" s="1"/>
  <c r="AN188" i="9"/>
  <c r="AG189" i="9" s="1"/>
  <c r="AK188" i="9"/>
  <c r="AL188" i="9" s="1"/>
  <c r="AS188" i="9"/>
  <c r="D188" i="9"/>
  <c r="AT188" i="9" s="1"/>
  <c r="K326" i="6"/>
  <c r="K218" i="14" s="1"/>
  <c r="K219" i="14" s="1"/>
  <c r="K117" i="14"/>
  <c r="K118" i="14" s="1"/>
  <c r="G326" i="6"/>
  <c r="G218" i="14" s="1"/>
  <c r="G219" i="14" s="1"/>
  <c r="G117" i="14"/>
  <c r="G118" i="14" s="1"/>
  <c r="Q103" i="9"/>
  <c r="R102" i="9"/>
  <c r="AT102" i="9" s="1"/>
  <c r="F113" i="14"/>
  <c r="F115" i="14" s="1"/>
  <c r="F323" i="6"/>
  <c r="F214" i="14" s="1"/>
  <c r="F216" i="14" s="1"/>
  <c r="BP25" i="12"/>
  <c r="BQ25" i="12" s="1"/>
  <c r="A188" i="14"/>
  <c r="A199" i="14" s="1"/>
  <c r="A184" i="14"/>
  <c r="A195" i="14" s="1"/>
  <c r="A180" i="14"/>
  <c r="A191" i="14" s="1"/>
  <c r="A166" i="14"/>
  <c r="A162" i="14"/>
  <c r="A158" i="14"/>
  <c r="A87" i="14"/>
  <c r="A98" i="14" s="1"/>
  <c r="A83" i="14"/>
  <c r="A94" i="14" s="1"/>
  <c r="A79" i="14"/>
  <c r="A90" i="14" s="1"/>
  <c r="A65" i="14"/>
  <c r="A61" i="14"/>
  <c r="A57" i="14"/>
  <c r="AV188" i="9"/>
  <c r="K94" i="6"/>
  <c r="B36" i="6"/>
  <c r="B36" i="5"/>
  <c r="A54" i="7"/>
  <c r="A103" i="7"/>
  <c r="D202" i="5"/>
  <c r="D217" i="5"/>
  <c r="F114" i="5"/>
  <c r="J85" i="5"/>
  <c r="J12" i="10"/>
  <c r="BX21" i="10"/>
  <c r="BH21" i="10"/>
  <c r="J10" i="10"/>
  <c r="AU24" i="10"/>
  <c r="AU29" i="10" s="1"/>
  <c r="AU34" i="10" s="1"/>
  <c r="AU39" i="10" s="1"/>
  <c r="AU44" i="10" s="1"/>
  <c r="AU49" i="10" s="1"/>
  <c r="AU54" i="10" s="1"/>
  <c r="AU59" i="10" s="1"/>
  <c r="AU64" i="10" s="1"/>
  <c r="AU69" i="10" s="1"/>
  <c r="AU74" i="10" s="1"/>
  <c r="AU89" i="10" s="1"/>
  <c r="AU92" i="10" s="1"/>
  <c r="AU97" i="10" s="1"/>
  <c r="AU102" i="10" s="1"/>
  <c r="AU107" i="10" s="1"/>
  <c r="AU112" i="10" s="1"/>
  <c r="AU117" i="10" s="1"/>
  <c r="AU122" i="10" s="1"/>
  <c r="AU127" i="10" s="1"/>
  <c r="AU132" i="10" s="1"/>
  <c r="AU137" i="10" s="1"/>
  <c r="AU142" i="10" s="1"/>
  <c r="AU158" i="10" s="1"/>
  <c r="AU161" i="10" s="1"/>
  <c r="AU166" i="10" s="1"/>
  <c r="AU171" i="10" s="1"/>
  <c r="AU176" i="10" s="1"/>
  <c r="AU181" i="10" s="1"/>
  <c r="AU186" i="10" s="1"/>
  <c r="AU191" i="10" s="1"/>
  <c r="AU196" i="10" s="1"/>
  <c r="AU201" i="10" s="1"/>
  <c r="AU206" i="10" s="1"/>
  <c r="AU211" i="10" s="1"/>
  <c r="AW21" i="10"/>
  <c r="CM217" i="10"/>
  <c r="CN217" i="10" s="1"/>
  <c r="BG217" i="10"/>
  <c r="BH217" i="10" s="1"/>
  <c r="AA217" i="10"/>
  <c r="AB217" i="10" s="1"/>
  <c r="M91" i="18"/>
  <c r="B94" i="13" s="1"/>
  <c r="N399" i="6"/>
  <c r="F42" i="7"/>
  <c r="G44" i="7"/>
  <c r="E116" i="14"/>
  <c r="E325" i="6"/>
  <c r="E217" i="14" s="1"/>
  <c r="E219" i="14" s="1"/>
  <c r="H25" i="12"/>
  <c r="I25" i="12" s="1"/>
  <c r="D174" i="6"/>
  <c r="B123" i="22"/>
  <c r="B29" i="22"/>
  <c r="D204" i="28"/>
  <c r="E204" i="28" s="1"/>
  <c r="C154" i="10"/>
  <c r="C203" i="28" s="1"/>
  <c r="C132" i="28"/>
  <c r="B119" i="6"/>
  <c r="B139" i="5"/>
  <c r="B45" i="6"/>
  <c r="B49" i="5"/>
  <c r="H114" i="5"/>
  <c r="E85" i="5"/>
  <c r="AK25" i="10"/>
  <c r="G24" i="10"/>
  <c r="G29" i="10" s="1"/>
  <c r="G34" i="10" s="1"/>
  <c r="G39" i="10" s="1"/>
  <c r="G44" i="10" s="1"/>
  <c r="G49" i="10" s="1"/>
  <c r="G54" i="10" s="1"/>
  <c r="G59" i="10" s="1"/>
  <c r="G64" i="10" s="1"/>
  <c r="G69" i="10" s="1"/>
  <c r="G74" i="10" s="1"/>
  <c r="G89" i="10" s="1"/>
  <c r="G92" i="10" s="1"/>
  <c r="G97" i="10" s="1"/>
  <c r="G102" i="10" s="1"/>
  <c r="G107" i="10" s="1"/>
  <c r="G112" i="10" s="1"/>
  <c r="G117" i="10" s="1"/>
  <c r="G122" i="10" s="1"/>
  <c r="G127" i="10" s="1"/>
  <c r="G132" i="10" s="1"/>
  <c r="G137" i="10" s="1"/>
  <c r="G142" i="10" s="1"/>
  <c r="G158" i="10" s="1"/>
  <c r="G161" i="10" s="1"/>
  <c r="G166" i="10" s="1"/>
  <c r="G171" i="10" s="1"/>
  <c r="G176" i="10" s="1"/>
  <c r="G181" i="10" s="1"/>
  <c r="G186" i="10" s="1"/>
  <c r="G191" i="10" s="1"/>
  <c r="G196" i="10" s="1"/>
  <c r="G201" i="10" s="1"/>
  <c r="G206" i="10" s="1"/>
  <c r="G211" i="10" s="1"/>
  <c r="I21" i="10"/>
  <c r="D114" i="5"/>
  <c r="I85" i="5"/>
  <c r="J326" i="6"/>
  <c r="J218" i="14" s="1"/>
  <c r="J219" i="14" s="1"/>
  <c r="J117" i="14"/>
  <c r="J118" i="14" s="1"/>
  <c r="G110" i="14"/>
  <c r="G321" i="6"/>
  <c r="G211" i="14" s="1"/>
  <c r="G111" i="15"/>
  <c r="G113" i="15" s="1"/>
  <c r="G376" i="6"/>
  <c r="G208" i="15" s="1"/>
  <c r="G210" i="15" s="1"/>
  <c r="E119" i="15"/>
  <c r="E380" i="6"/>
  <c r="E216" i="15" s="1"/>
  <c r="D449" i="5"/>
  <c r="Y189" i="9"/>
  <c r="X189" i="9" s="1"/>
  <c r="O190" i="9"/>
  <c r="A28" i="30"/>
  <c r="A43" i="30" s="1"/>
  <c r="A9" i="30"/>
  <c r="L21" i="10"/>
  <c r="J4" i="10"/>
  <c r="AW188" i="9"/>
  <c r="H188" i="9"/>
  <c r="I400" i="6"/>
  <c r="H93" i="18"/>
  <c r="B121" i="13" s="1"/>
  <c r="C103" i="9"/>
  <c r="AS102" i="9"/>
  <c r="I110" i="14"/>
  <c r="I321" i="6"/>
  <c r="I211" i="14" s="1"/>
  <c r="H114" i="14"/>
  <c r="H115" i="14" s="1"/>
  <c r="H324" i="6"/>
  <c r="H215" i="14" s="1"/>
  <c r="H216" i="14" s="1"/>
  <c r="D113" i="14"/>
  <c r="D115" i="14" s="1"/>
  <c r="D323" i="6"/>
  <c r="D214" i="14" s="1"/>
  <c r="D216" i="14" s="1"/>
  <c r="E111" i="15"/>
  <c r="E376" i="6"/>
  <c r="E208" i="15" s="1"/>
  <c r="D93" i="18"/>
  <c r="E400" i="6"/>
  <c r="F242" i="6"/>
  <c r="E260" i="6"/>
  <c r="E278" i="6" s="1"/>
  <c r="J114" i="5"/>
  <c r="BO23" i="10"/>
  <c r="AI23" i="10"/>
  <c r="AJ22" i="10"/>
  <c r="J399" i="6"/>
  <c r="AF189" i="9"/>
  <c r="M93" i="18"/>
  <c r="B126" i="13" s="1"/>
  <c r="N400" i="6"/>
  <c r="L115" i="14"/>
  <c r="I324" i="6"/>
  <c r="I215" i="14" s="1"/>
  <c r="I216" i="14" s="1"/>
  <c r="I114" i="14"/>
  <c r="I115" i="14" s="1"/>
  <c r="E114" i="14"/>
  <c r="E324" i="6"/>
  <c r="E215" i="14" s="1"/>
  <c r="C323" i="6"/>
  <c r="C214" i="14" s="1"/>
  <c r="C113" i="14"/>
  <c r="N23" i="12"/>
  <c r="O23" i="12" s="1"/>
  <c r="E172" i="6"/>
  <c r="AI16" i="9"/>
  <c r="AH16" i="9"/>
  <c r="M37" i="7"/>
  <c r="L35" i="7"/>
  <c r="CF23" i="10"/>
  <c r="CF24" i="10" s="1"/>
  <c r="CE24" i="10"/>
  <c r="D23" i="10"/>
  <c r="D24" i="10" s="1"/>
  <c r="C24" i="10"/>
  <c r="L117" i="14"/>
  <c r="L118" i="14" s="1"/>
  <c r="L326" i="6"/>
  <c r="L218" i="14" s="1"/>
  <c r="L219" i="14" s="1"/>
  <c r="E117" i="14"/>
  <c r="E326" i="6"/>
  <c r="E218" i="14" s="1"/>
  <c r="G114" i="14"/>
  <c r="G115" i="14" s="1"/>
  <c r="G324" i="6"/>
  <c r="G215" i="14" s="1"/>
  <c r="G216" i="14" s="1"/>
  <c r="C112" i="15"/>
  <c r="C113" i="15" s="1"/>
  <c r="C377" i="6"/>
  <c r="C209" i="15" s="1"/>
  <c r="C210" i="15" s="1"/>
  <c r="D52" i="6"/>
  <c r="U81" i="7"/>
  <c r="U95" i="7" s="1"/>
  <c r="K177" i="17" s="1"/>
  <c r="F175" i="18"/>
  <c r="F176" i="18"/>
  <c r="G247" i="6"/>
  <c r="F265" i="6"/>
  <c r="F283" i="6" s="1"/>
  <c r="J216" i="14"/>
  <c r="K91" i="18"/>
  <c r="B92" i="13" s="1"/>
  <c r="L399" i="6"/>
  <c r="F326" i="6"/>
  <c r="F218" i="14" s="1"/>
  <c r="F219" i="14" s="1"/>
  <c r="F117" i="14"/>
  <c r="F118" i="14" s="1"/>
  <c r="C117" i="14"/>
  <c r="C326" i="6"/>
  <c r="C218" i="14" s="1"/>
  <c r="H110" i="14"/>
  <c r="H321" i="6"/>
  <c r="H211" i="14" s="1"/>
  <c r="E113" i="14"/>
  <c r="E323" i="6"/>
  <c r="E214" i="14" s="1"/>
  <c r="E216" i="14" s="1"/>
  <c r="AU102" i="9"/>
  <c r="F102" i="9"/>
  <c r="AV102" i="9" s="1"/>
  <c r="K68" i="7"/>
  <c r="E77" i="7"/>
  <c r="E95" i="7" s="1"/>
  <c r="M81" i="7"/>
  <c r="M95" i="7" s="1"/>
  <c r="G177" i="17" s="1"/>
  <c r="H8" i="12"/>
  <c r="J8" i="12" s="1"/>
  <c r="J15" i="12" s="1"/>
  <c r="P52" i="7"/>
  <c r="P70" i="7" s="1"/>
  <c r="Q54" i="7"/>
  <c r="F178" i="18"/>
  <c r="B185" i="13" s="1"/>
  <c r="F177" i="18"/>
  <c r="U67" i="7"/>
  <c r="S94" i="7"/>
  <c r="I92" i="7"/>
  <c r="I95" i="7" s="1"/>
  <c r="O37" i="7"/>
  <c r="N35" i="7"/>
  <c r="C116" i="14"/>
  <c r="C325" i="6"/>
  <c r="C217" i="14" s="1"/>
  <c r="E245" i="6"/>
  <c r="E248" i="6"/>
  <c r="D266" i="6"/>
  <c r="D284" i="6" s="1"/>
  <c r="H77" i="7"/>
  <c r="H95" i="7" s="1"/>
  <c r="E177" i="17" s="1"/>
  <c r="G91" i="18"/>
  <c r="H399" i="6"/>
  <c r="G27" i="7"/>
  <c r="Q36" i="7"/>
  <c r="AA36" i="7" s="1"/>
  <c r="P35" i="7"/>
  <c r="Q42" i="7"/>
  <c r="E370" i="6"/>
  <c r="E198" i="15" s="1"/>
  <c r="E101" i="15"/>
  <c r="G246" i="6"/>
  <c r="F264" i="6"/>
  <c r="F282" i="6" s="1"/>
  <c r="E251" i="6"/>
  <c r="E269" i="6" s="1"/>
  <c r="F233" i="6"/>
  <c r="E240" i="6"/>
  <c r="D258" i="6"/>
  <c r="D276" i="6" s="1"/>
  <c r="D107" i="15"/>
  <c r="D374" i="6"/>
  <c r="D204" i="15" s="1"/>
  <c r="D20" i="15"/>
  <c r="AU188" i="9"/>
  <c r="K110" i="14"/>
  <c r="K321" i="6"/>
  <c r="K211" i="14" s="1"/>
  <c r="C11" i="6"/>
  <c r="B19" i="20" s="1"/>
  <c r="J35" i="7"/>
  <c r="F382" i="6"/>
  <c r="F221" i="15" s="1"/>
  <c r="L60" i="7"/>
  <c r="J42" i="7"/>
  <c r="D67" i="26"/>
  <c r="I14" i="14"/>
  <c r="E110" i="14"/>
  <c r="E321" i="6"/>
  <c r="E211" i="14" s="1"/>
  <c r="F239" i="6"/>
  <c r="E257" i="6"/>
  <c r="E275" i="6" s="1"/>
  <c r="H21" i="19"/>
  <c r="D14" i="14"/>
  <c r="F241" i="6"/>
  <c r="E259" i="6"/>
  <c r="E277" i="6" s="1"/>
  <c r="C22" i="12"/>
  <c r="BP27" i="12" l="1"/>
  <c r="BQ27" i="12" s="1"/>
  <c r="N176" i="6"/>
  <c r="B86" i="6"/>
  <c r="B106" i="5"/>
  <c r="F381" i="6"/>
  <c r="F217" i="15" s="1"/>
  <c r="F120" i="15"/>
  <c r="U35" i="7"/>
  <c r="U31" i="7" s="1"/>
  <c r="T31" i="7"/>
  <c r="N177" i="18"/>
  <c r="B178" i="13" s="1"/>
  <c r="N178" i="18"/>
  <c r="B193" i="13" s="1"/>
  <c r="CE217" i="10"/>
  <c r="CF217" i="10" s="1"/>
  <c r="L237" i="6"/>
  <c r="K255" i="6"/>
  <c r="K273" i="6" s="1"/>
  <c r="G23" i="15"/>
  <c r="G26" i="15" s="1"/>
  <c r="G363" i="6"/>
  <c r="Z81" i="7"/>
  <c r="W56" i="7"/>
  <c r="F261" i="6"/>
  <c r="F279" i="6" s="1"/>
  <c r="G243" i="6"/>
  <c r="AY102" i="9"/>
  <c r="R56" i="7"/>
  <c r="R70" i="7" s="1"/>
  <c r="S60" i="7"/>
  <c r="S56" i="7" s="1"/>
  <c r="A141" i="15"/>
  <c r="A147" i="15"/>
  <c r="A153" i="15" s="1"/>
  <c r="A159" i="15" s="1"/>
  <c r="B177" i="17"/>
  <c r="C51" i="18"/>
  <c r="C47" i="17"/>
  <c r="AA148" i="10"/>
  <c r="AB148" i="10" s="1"/>
  <c r="L178" i="18"/>
  <c r="B191" i="13" s="1"/>
  <c r="L177" i="18"/>
  <c r="B176" i="13" s="1"/>
  <c r="E254" i="6"/>
  <c r="D272" i="6"/>
  <c r="S24" i="10"/>
  <c r="T23" i="10"/>
  <c r="T24" i="10" s="1"/>
  <c r="A141" i="7"/>
  <c r="A123" i="7"/>
  <c r="B104" i="6"/>
  <c r="B124" i="5"/>
  <c r="U22" i="10"/>
  <c r="U23" i="10" s="1"/>
  <c r="Z21" i="10"/>
  <c r="AA89" i="7"/>
  <c r="AA81" i="7" s="1"/>
  <c r="S81" i="7"/>
  <c r="AA30" i="7"/>
  <c r="B104" i="7" s="1"/>
  <c r="W27" i="7"/>
  <c r="X81" i="7"/>
  <c r="X95" i="7" s="1"/>
  <c r="M177" i="17" s="1"/>
  <c r="Y85" i="7"/>
  <c r="Y81" i="7" s="1"/>
  <c r="Y95" i="7" s="1"/>
  <c r="T45" i="7"/>
  <c r="C117" i="15"/>
  <c r="C115" i="15"/>
  <c r="G178" i="18"/>
  <c r="B186" i="13" s="1"/>
  <c r="G177" i="18"/>
  <c r="B171" i="13" s="1"/>
  <c r="W31" i="7"/>
  <c r="W45" i="7" s="1"/>
  <c r="L47" i="17" s="1"/>
  <c r="R45" i="7"/>
  <c r="J47" i="17" s="1"/>
  <c r="AA43" i="7"/>
  <c r="AX27" i="12"/>
  <c r="AY27" i="12" s="1"/>
  <c r="K176" i="6"/>
  <c r="F235" i="6"/>
  <c r="E253" i="6"/>
  <c r="E271" i="6" s="1"/>
  <c r="C60" i="7"/>
  <c r="C56" i="7" s="1"/>
  <c r="C70" i="7" s="1"/>
  <c r="C135" i="18" s="1"/>
  <c r="B56" i="7"/>
  <c r="B70" i="7" s="1"/>
  <c r="BX23" i="10"/>
  <c r="BX24" i="10" s="1"/>
  <c r="BW24" i="10"/>
  <c r="BW26" i="10" s="1"/>
  <c r="F18" i="15"/>
  <c r="F19" i="15"/>
  <c r="A142" i="15"/>
  <c r="A148" i="15"/>
  <c r="A154" i="15" s="1"/>
  <c r="A160" i="15" s="1"/>
  <c r="U15" i="11"/>
  <c r="T15" i="11"/>
  <c r="BA15" i="11"/>
  <c r="V14" i="11"/>
  <c r="X14" i="11" s="1"/>
  <c r="C219" i="14"/>
  <c r="F45" i="7"/>
  <c r="E14" i="11"/>
  <c r="C343" i="5"/>
  <c r="C344" i="5" s="1"/>
  <c r="D390" i="5"/>
  <c r="D391" i="5" s="1"/>
  <c r="F406" i="5"/>
  <c r="D370" i="5"/>
  <c r="F424" i="5"/>
  <c r="U60" i="7"/>
  <c r="U56" i="7" s="1"/>
  <c r="T56" i="7"/>
  <c r="T70" i="7" s="1"/>
  <c r="H16" i="15"/>
  <c r="C16" i="9"/>
  <c r="AS12" i="9"/>
  <c r="K16" i="9"/>
  <c r="BA16" i="9" s="1"/>
  <c r="BN13" i="9" s="1"/>
  <c r="B16" i="9"/>
  <c r="K17" i="9"/>
  <c r="BA17" i="9" s="1"/>
  <c r="BN14" i="9" s="1"/>
  <c r="G16" i="9"/>
  <c r="F222" i="6"/>
  <c r="CG25" i="10"/>
  <c r="CH24" i="10" s="1"/>
  <c r="CF30" i="10"/>
  <c r="F212" i="15"/>
  <c r="F214" i="15"/>
  <c r="K169" i="6"/>
  <c r="K185" i="6"/>
  <c r="K201" i="6"/>
  <c r="BD25" i="12"/>
  <c r="BE25" i="12" s="1"/>
  <c r="L174" i="6"/>
  <c r="E240" i="5"/>
  <c r="E225" i="5"/>
  <c r="BA103" i="9"/>
  <c r="A21" i="10"/>
  <c r="A89" i="10" s="1"/>
  <c r="A158" i="10" s="1"/>
  <c r="B170" i="6"/>
  <c r="B186" i="6" s="1"/>
  <c r="B202" i="6" s="1"/>
  <c r="D17" i="16"/>
  <c r="D18" i="16" s="1"/>
  <c r="C47" i="18" s="1"/>
  <c r="C38" i="25" s="1"/>
  <c r="BF13" i="9"/>
  <c r="BF25" i="9" s="1"/>
  <c r="BF37" i="9" s="1"/>
  <c r="BF49" i="9" s="1"/>
  <c r="BF61" i="9" s="1"/>
  <c r="BF73" i="9" s="1"/>
  <c r="B4" i="3"/>
  <c r="A22" i="12"/>
  <c r="A42" i="12" s="1"/>
  <c r="A62" i="12" s="1"/>
  <c r="DC20" i="10"/>
  <c r="C1" i="13"/>
  <c r="C67" i="13" s="1"/>
  <c r="B199" i="5"/>
  <c r="B215" i="5" s="1"/>
  <c r="B231" i="5" s="1"/>
  <c r="M111" i="17"/>
  <c r="C212" i="15"/>
  <c r="C214" i="15"/>
  <c r="F115" i="15"/>
  <c r="F117" i="15"/>
  <c r="G59" i="28"/>
  <c r="S70" i="7"/>
  <c r="J111" i="17" s="1"/>
  <c r="F425" i="5"/>
  <c r="C370" i="5"/>
  <c r="E424" i="5"/>
  <c r="E406" i="5"/>
  <c r="K234" i="6"/>
  <c r="J252" i="6"/>
  <c r="J270" i="6" s="1"/>
  <c r="B74" i="5"/>
  <c r="A84" i="7"/>
  <c r="B62" i="6"/>
  <c r="L23" i="10"/>
  <c r="L24" i="10" s="1"/>
  <c r="K24" i="10"/>
  <c r="CO24" i="10"/>
  <c r="CO26" i="10" s="1"/>
  <c r="CM26" i="10"/>
  <c r="K177" i="18"/>
  <c r="B175" i="13" s="1"/>
  <c r="K178" i="18"/>
  <c r="B190" i="13" s="1"/>
  <c r="U42" i="7"/>
  <c r="U45" i="7" s="1"/>
  <c r="K47" i="17" s="1"/>
  <c r="B38" i="17"/>
  <c r="B43" i="17" s="1"/>
  <c r="C10" i="18"/>
  <c r="C4" i="22"/>
  <c r="B186" i="17"/>
  <c r="D177" i="17"/>
  <c r="BE21" i="10"/>
  <c r="BB21" i="10"/>
  <c r="E425" i="5"/>
  <c r="C390" i="5"/>
  <c r="C391" i="5" s="1"/>
  <c r="G407" i="5"/>
  <c r="D356" i="5"/>
  <c r="C406" i="5"/>
  <c r="C356" i="5"/>
  <c r="D407" i="5"/>
  <c r="G406" i="5"/>
  <c r="G424" i="5"/>
  <c r="C425" i="5"/>
  <c r="F407" i="5"/>
  <c r="D424" i="5"/>
  <c r="U70" i="7"/>
  <c r="K111" i="17" s="1"/>
  <c r="E115" i="14"/>
  <c r="J15" i="10"/>
  <c r="Z95" i="7"/>
  <c r="AA77" i="7"/>
  <c r="C407" i="5"/>
  <c r="E407" i="5"/>
  <c r="C424" i="5"/>
  <c r="D369" i="5"/>
  <c r="D343" i="5"/>
  <c r="D344" i="5" s="1"/>
  <c r="D70" i="7"/>
  <c r="C111" i="17" s="1"/>
  <c r="AP21" i="10"/>
  <c r="AB25" i="10"/>
  <c r="AC21" i="10"/>
  <c r="C202" i="5"/>
  <c r="C217" i="5"/>
  <c r="C233" i="5" s="1"/>
  <c r="C35" i="10"/>
  <c r="E30" i="10"/>
  <c r="F29" i="10" s="1"/>
  <c r="G17" i="15"/>
  <c r="G360" i="6"/>
  <c r="AD3" i="11"/>
  <c r="E15" i="11"/>
  <c r="A245" i="15"/>
  <c r="A251" i="15" s="1"/>
  <c r="A257" i="15" s="1"/>
  <c r="A239" i="15"/>
  <c r="E42" i="26"/>
  <c r="G1" i="26"/>
  <c r="B50" i="7"/>
  <c r="C33" i="6"/>
  <c r="B6" i="27" s="1"/>
  <c r="B11" i="27" s="1"/>
  <c r="E111" i="17"/>
  <c r="B33" i="17"/>
  <c r="C18" i="17"/>
  <c r="D29" i="18" s="1"/>
  <c r="D20" i="25" s="1"/>
  <c r="C19" i="17"/>
  <c r="D16" i="17"/>
  <c r="D26" i="17"/>
  <c r="D28" i="17"/>
  <c r="D30" i="17"/>
  <c r="D33" i="17"/>
  <c r="D35" i="17"/>
  <c r="E18" i="17"/>
  <c r="F29" i="18" s="1"/>
  <c r="F20" i="25" s="1"/>
  <c r="E19" i="17"/>
  <c r="F59" i="17"/>
  <c r="I21" i="17"/>
  <c r="J32" i="18" s="1"/>
  <c r="J23" i="25" s="1"/>
  <c r="J18" i="17"/>
  <c r="K29" i="18" s="1"/>
  <c r="K20" i="25" s="1"/>
  <c r="C147" i="17"/>
  <c r="B16" i="17"/>
  <c r="C21" i="17"/>
  <c r="D32" i="18" s="1"/>
  <c r="D23" i="25" s="1"/>
  <c r="D21" i="17"/>
  <c r="E32" i="18" s="1"/>
  <c r="E23" i="25" s="1"/>
  <c r="D29" i="17"/>
  <c r="D59" i="17"/>
  <c r="E29" i="17"/>
  <c r="G18" i="17"/>
  <c r="H29" i="18" s="1"/>
  <c r="H20" i="25" s="1"/>
  <c r="G21" i="17"/>
  <c r="H32" i="18" s="1"/>
  <c r="H23" i="25" s="1"/>
  <c r="J21" i="17"/>
  <c r="K32" i="18" s="1"/>
  <c r="K23" i="25" s="1"/>
  <c r="M59" i="17"/>
  <c r="D144" i="17"/>
  <c r="B81" i="17"/>
  <c r="D81" i="17"/>
  <c r="B89" i="17"/>
  <c r="B91" i="17"/>
  <c r="B94" i="17"/>
  <c r="B96" i="17"/>
  <c r="C89" i="17"/>
  <c r="C91" i="17"/>
  <c r="C94" i="17"/>
  <c r="C96" i="17"/>
  <c r="E96" i="17"/>
  <c r="C35" i="17"/>
  <c r="D18" i="17"/>
  <c r="E29" i="18" s="1"/>
  <c r="E20" i="25" s="1"/>
  <c r="D22" i="17"/>
  <c r="E33" i="18" s="1"/>
  <c r="E24" i="25" s="1"/>
  <c r="D32" i="17"/>
  <c r="E16" i="17"/>
  <c r="E21" i="17"/>
  <c r="F32" i="18" s="1"/>
  <c r="F23" i="25" s="1"/>
  <c r="E33" i="17"/>
  <c r="E59" i="17"/>
  <c r="F30" i="17"/>
  <c r="H21" i="17"/>
  <c r="I32" i="18" s="1"/>
  <c r="I23" i="25" s="1"/>
  <c r="H59" i="17"/>
  <c r="J59" i="17"/>
  <c r="D78" i="17"/>
  <c r="B83" i="17"/>
  <c r="B90" i="17"/>
  <c r="C83" i="17"/>
  <c r="D117" i="18" s="1"/>
  <c r="D77" i="25" s="1"/>
  <c r="C95" i="17"/>
  <c r="C97" i="17"/>
  <c r="D83" i="17"/>
  <c r="E117" i="18" s="1"/>
  <c r="E77" i="25" s="1"/>
  <c r="D91" i="17"/>
  <c r="E92" i="17"/>
  <c r="B146" i="17"/>
  <c r="B149" i="17"/>
  <c r="B150" i="17"/>
  <c r="C149" i="17"/>
  <c r="D202" i="18" s="1"/>
  <c r="D131" i="25" s="1"/>
  <c r="C160" i="17"/>
  <c r="C163" i="17"/>
  <c r="C154" i="17"/>
  <c r="C156" i="17"/>
  <c r="C158" i="17"/>
  <c r="H80" i="17"/>
  <c r="I114" i="18" s="1"/>
  <c r="I74" i="25" s="1"/>
  <c r="E150" i="17"/>
  <c r="F203" i="18" s="1"/>
  <c r="F132" i="25" s="1"/>
  <c r="G146" i="17"/>
  <c r="H199" i="18" s="1"/>
  <c r="H128" i="25" s="1"/>
  <c r="D34" i="17"/>
  <c r="E26" i="17"/>
  <c r="E34" i="17"/>
  <c r="D147" i="17"/>
  <c r="B78" i="17"/>
  <c r="B84" i="17"/>
  <c r="B97" i="17"/>
  <c r="C88" i="17"/>
  <c r="D80" i="17"/>
  <c r="E114" i="18" s="1"/>
  <c r="E74" i="25" s="1"/>
  <c r="D88" i="17"/>
  <c r="D92" i="17"/>
  <c r="D95" i="17"/>
  <c r="B154" i="17"/>
  <c r="B157" i="17"/>
  <c r="B160" i="17"/>
  <c r="C161" i="17"/>
  <c r="C157" i="17"/>
  <c r="D146" i="17"/>
  <c r="E199" i="18" s="1"/>
  <c r="E128" i="25" s="1"/>
  <c r="D157" i="17"/>
  <c r="AT23" i="12"/>
  <c r="AU23" i="12" s="1"/>
  <c r="AZ23" i="12"/>
  <c r="BA23" i="12" s="1"/>
  <c r="E84" i="17"/>
  <c r="F118" i="18" s="1"/>
  <c r="F78" i="25" s="1"/>
  <c r="F80" i="17"/>
  <c r="G114" i="18" s="1"/>
  <c r="G74" i="25" s="1"/>
  <c r="G80" i="17"/>
  <c r="H114" i="18" s="1"/>
  <c r="H74" i="25" s="1"/>
  <c r="B19" i="17"/>
  <c r="B28" i="17"/>
  <c r="E30" i="17"/>
  <c r="F21" i="17"/>
  <c r="G32" i="18" s="1"/>
  <c r="G23" i="25" s="1"/>
  <c r="F34" i="17"/>
  <c r="H18" i="17"/>
  <c r="I29" i="18" s="1"/>
  <c r="I20" i="25" s="1"/>
  <c r="L59" i="17"/>
  <c r="C144" i="17"/>
  <c r="B147" i="17"/>
  <c r="C81" i="17"/>
  <c r="B92" i="17"/>
  <c r="C90" i="17"/>
  <c r="D90" i="17"/>
  <c r="D96" i="17"/>
  <c r="C59" i="17"/>
  <c r="B80" i="17"/>
  <c r="E95" i="17"/>
  <c r="B161" i="17"/>
  <c r="D19" i="17"/>
  <c r="D27" i="17"/>
  <c r="I59" i="17"/>
  <c r="K59" i="17"/>
  <c r="C92" i="17"/>
  <c r="N63" i="17"/>
  <c r="B126" i="17" s="1"/>
  <c r="B155" i="17"/>
  <c r="B158" i="17"/>
  <c r="B162" i="17"/>
  <c r="D162" i="17"/>
  <c r="F18" i="17"/>
  <c r="G29" i="18" s="1"/>
  <c r="G20" i="25" s="1"/>
  <c r="B144" i="17"/>
  <c r="D154" i="17"/>
  <c r="E158" i="17"/>
  <c r="C84" i="17"/>
  <c r="D118" i="18" s="1"/>
  <c r="D78" i="25" s="1"/>
  <c r="E28" i="17"/>
  <c r="C146" i="17"/>
  <c r="D199" i="18" s="1"/>
  <c r="D128" i="25" s="1"/>
  <c r="E161" i="17"/>
  <c r="C150" i="17"/>
  <c r="D203" i="18" s="1"/>
  <c r="D132" i="25" s="1"/>
  <c r="D84" i="17"/>
  <c r="E118" i="18" s="1"/>
  <c r="E78" i="25" s="1"/>
  <c r="I146" i="17"/>
  <c r="J199" i="18" s="1"/>
  <c r="J128" i="25" s="1"/>
  <c r="G59" i="17"/>
  <c r="K21" i="17"/>
  <c r="L32" i="18" s="1"/>
  <c r="L23" i="25" s="1"/>
  <c r="D161" i="17"/>
  <c r="D158" i="17"/>
  <c r="E80" i="17"/>
  <c r="F114" i="18" s="1"/>
  <c r="F74" i="25" s="1"/>
  <c r="D150" i="17"/>
  <c r="E203" i="18" s="1"/>
  <c r="E132" i="25" s="1"/>
  <c r="E146" i="17"/>
  <c r="F199" i="18" s="1"/>
  <c r="F128" i="25" s="1"/>
  <c r="H146" i="17"/>
  <c r="I199" i="18" s="1"/>
  <c r="I128" i="25" s="1"/>
  <c r="H24" i="19"/>
  <c r="H8" i="17" s="1"/>
  <c r="F33" i="17"/>
  <c r="C78" i="17"/>
  <c r="B95" i="17"/>
  <c r="B156" i="17"/>
  <c r="B163" i="17"/>
  <c r="C155" i="17"/>
  <c r="E162" i="17"/>
  <c r="B88" i="17"/>
  <c r="C162" i="17"/>
  <c r="D156" i="17"/>
  <c r="A58" i="18"/>
  <c r="BL23" i="12"/>
  <c r="BM23" i="12" s="1"/>
  <c r="J25" i="12"/>
  <c r="L25" i="12" s="1"/>
  <c r="M25" i="12" s="1"/>
  <c r="BF24" i="12"/>
  <c r="BH24" i="12" s="1"/>
  <c r="BI24" i="12" s="1"/>
  <c r="I18" i="17"/>
  <c r="J29" i="18" s="1"/>
  <c r="J20" i="25" s="1"/>
  <c r="F146" i="17"/>
  <c r="G199" i="18" s="1"/>
  <c r="G128" i="25" s="1"/>
  <c r="F84" i="17"/>
  <c r="G118" i="18" s="1"/>
  <c r="G78" i="25" s="1"/>
  <c r="F150" i="17"/>
  <c r="G203" i="18" s="1"/>
  <c r="G132" i="25" s="1"/>
  <c r="G22" i="17"/>
  <c r="H33" i="18" s="1"/>
  <c r="H24" i="25" s="1"/>
  <c r="AT24" i="12"/>
  <c r="H22" i="17"/>
  <c r="I33" i="18" s="1"/>
  <c r="I24" i="25" s="1"/>
  <c r="G84" i="17"/>
  <c r="H118" i="18" s="1"/>
  <c r="H78" i="25" s="1"/>
  <c r="I80" i="17"/>
  <c r="J114" i="18" s="1"/>
  <c r="J74" i="25" s="1"/>
  <c r="J24" i="12"/>
  <c r="BL26" i="12"/>
  <c r="BN26" i="12" s="1"/>
  <c r="BO26" i="12" s="1"/>
  <c r="AZ24" i="12"/>
  <c r="BR26" i="12"/>
  <c r="BS26" i="12" s="1"/>
  <c r="J22" i="17"/>
  <c r="K33" i="18" s="1"/>
  <c r="K24" i="25" s="1"/>
  <c r="BL25" i="12"/>
  <c r="BN25" i="12" s="1"/>
  <c r="BO25" i="12" s="1"/>
  <c r="H150" i="17"/>
  <c r="I203" i="18" s="1"/>
  <c r="I132" i="25" s="1"/>
  <c r="G150" i="17"/>
  <c r="H203" i="18" s="1"/>
  <c r="H132" i="25" s="1"/>
  <c r="C80" i="17"/>
  <c r="D114" i="18" s="1"/>
  <c r="D74" i="25" s="1"/>
  <c r="BL22" i="12"/>
  <c r="BN22" i="12" s="1"/>
  <c r="AV24" i="12"/>
  <c r="AW24" i="12" s="1"/>
  <c r="BL27" i="12"/>
  <c r="AT25" i="12"/>
  <c r="AU25" i="12" s="1"/>
  <c r="BF25" i="12"/>
  <c r="AH26" i="12"/>
  <c r="BL28" i="12"/>
  <c r="BN28" i="12" s="1"/>
  <c r="BO28" i="12" s="1"/>
  <c r="I84" i="17"/>
  <c r="J118" i="18" s="1"/>
  <c r="J78" i="25" s="1"/>
  <c r="I150" i="17"/>
  <c r="J203" i="18" s="1"/>
  <c r="J132" i="25" s="1"/>
  <c r="L21" i="17"/>
  <c r="M32" i="18" s="1"/>
  <c r="M23" i="25" s="1"/>
  <c r="F22" i="17"/>
  <c r="G33" i="18" s="1"/>
  <c r="G24" i="25" s="1"/>
  <c r="E22" i="17"/>
  <c r="F33" i="18" s="1"/>
  <c r="F24" i="25" s="1"/>
  <c r="H84" i="17"/>
  <c r="I118" i="18" s="1"/>
  <c r="I78" i="25" s="1"/>
  <c r="AJ26" i="12"/>
  <c r="AK26" i="12" s="1"/>
  <c r="M21" i="17"/>
  <c r="N32" i="18" s="1"/>
  <c r="N23" i="25" s="1"/>
  <c r="A49" i="18"/>
  <c r="J84" i="17"/>
  <c r="K118" i="18" s="1"/>
  <c r="K78" i="25" s="1"/>
  <c r="V24" i="12"/>
  <c r="C28" i="17"/>
  <c r="C26" i="17"/>
  <c r="E32" i="19"/>
  <c r="B30" i="17"/>
  <c r="B22" i="17"/>
  <c r="B27" i="17"/>
  <c r="B113" i="7"/>
  <c r="V26" i="12"/>
  <c r="AN22" i="12"/>
  <c r="V22" i="12"/>
  <c r="AU24" i="12"/>
  <c r="BA24" i="12"/>
  <c r="BG24" i="12"/>
  <c r="X24" i="12"/>
  <c r="BL24" i="12"/>
  <c r="K25" i="12"/>
  <c r="F107" i="7"/>
  <c r="F146" i="7" s="1"/>
  <c r="BF23" i="12"/>
  <c r="BH23" i="12" s="1"/>
  <c r="BI23" i="12" s="1"/>
  <c r="AZ26" i="12"/>
  <c r="D23" i="12"/>
  <c r="E23" i="12" s="1"/>
  <c r="D24" i="12"/>
  <c r="J110" i="7"/>
  <c r="J149" i="7" s="1"/>
  <c r="F116" i="7"/>
  <c r="V23" i="12"/>
  <c r="X23" i="12" s="1"/>
  <c r="Y23" i="12" s="1"/>
  <c r="AN24" i="12"/>
  <c r="AO24" i="12" s="1"/>
  <c r="D25" i="12"/>
  <c r="J111" i="7"/>
  <c r="J150" i="7" s="1"/>
  <c r="G220" i="18"/>
  <c r="G149" i="25" s="1"/>
  <c r="F102" i="7"/>
  <c r="AH22" i="12"/>
  <c r="AI22" i="12" s="1"/>
  <c r="F109" i="7"/>
  <c r="F148" i="7" s="1"/>
  <c r="B123" i="17"/>
  <c r="C33" i="17"/>
  <c r="C30" i="17"/>
  <c r="C16" i="17"/>
  <c r="B32" i="17"/>
  <c r="V27" i="12"/>
  <c r="X27" i="12" s="1"/>
  <c r="Y27" i="12" s="1"/>
  <c r="AT22" i="12"/>
  <c r="AU22" i="12" s="1"/>
  <c r="F104" i="7"/>
  <c r="F143" i="7" s="1"/>
  <c r="AO22" i="12"/>
  <c r="K24" i="12"/>
  <c r="AH25" i="12"/>
  <c r="I135" i="18"/>
  <c r="I95" i="25" s="1"/>
  <c r="J108" i="7"/>
  <c r="J147" i="7" s="1"/>
  <c r="AJ25" i="12"/>
  <c r="AI26" i="12"/>
  <c r="BB26" i="12"/>
  <c r="C27" i="17"/>
  <c r="B29" i="17"/>
  <c r="AB24" i="12"/>
  <c r="AD24" i="12" s="1"/>
  <c r="AE24" i="12" s="1"/>
  <c r="B108" i="7"/>
  <c r="AK25" i="12"/>
  <c r="H220" i="18"/>
  <c r="H149" i="25" s="1"/>
  <c r="B107" i="7"/>
  <c r="J22" i="12"/>
  <c r="L22" i="12" s="1"/>
  <c r="M22" i="12" s="1"/>
  <c r="F108" i="7"/>
  <c r="F147" i="7" s="1"/>
  <c r="BA26" i="12"/>
  <c r="J104" i="7"/>
  <c r="J143" i="7" s="1"/>
  <c r="X26" i="12"/>
  <c r="Y26" i="12" s="1"/>
  <c r="F111" i="7"/>
  <c r="F150" i="7" s="1"/>
  <c r="D135" i="18"/>
  <c r="D95" i="25" s="1"/>
  <c r="F24" i="12"/>
  <c r="K50" i="18"/>
  <c r="K41" i="25" s="1"/>
  <c r="M220" i="18"/>
  <c r="M149" i="25" s="1"/>
  <c r="F110" i="7"/>
  <c r="F149" i="7" s="1"/>
  <c r="F50" i="18"/>
  <c r="F41" i="25" s="1"/>
  <c r="K135" i="18"/>
  <c r="K95" i="25" s="1"/>
  <c r="J106" i="7"/>
  <c r="BM25" i="12"/>
  <c r="C29" i="17"/>
  <c r="B59" i="17"/>
  <c r="B26" i="17"/>
  <c r="B34" i="17"/>
  <c r="C25" i="18"/>
  <c r="AB22" i="12"/>
  <c r="AD22" i="12" s="1"/>
  <c r="AE22" i="12" s="1"/>
  <c r="L220" i="18"/>
  <c r="L149" i="25" s="1"/>
  <c r="BN27" i="12"/>
  <c r="BO27" i="12" s="1"/>
  <c r="W24" i="12"/>
  <c r="BN24" i="12"/>
  <c r="BO24" i="12" s="1"/>
  <c r="P22" i="12"/>
  <c r="R22" i="12" s="1"/>
  <c r="S22" i="12" s="1"/>
  <c r="BR27" i="12"/>
  <c r="BT27" i="12" s="1"/>
  <c r="BU27" i="12" s="1"/>
  <c r="BR24" i="12"/>
  <c r="BS24" i="12" s="1"/>
  <c r="F106" i="7"/>
  <c r="AZ27" i="12"/>
  <c r="BA27" i="12" s="1"/>
  <c r="BH25" i="12"/>
  <c r="BI25" i="12" s="1"/>
  <c r="BF22" i="12"/>
  <c r="BG22" i="12" s="1"/>
  <c r="AH24" i="12"/>
  <c r="AI24" i="12" s="1"/>
  <c r="J109" i="7"/>
  <c r="J148" i="7" s="1"/>
  <c r="AC22" i="12"/>
  <c r="J113" i="7"/>
  <c r="J152" i="7" s="1"/>
  <c r="E135" i="18"/>
  <c r="E95" i="25" s="1"/>
  <c r="F135" i="18"/>
  <c r="F95" i="25" s="1"/>
  <c r="E220" i="18"/>
  <c r="E149" i="25" s="1"/>
  <c r="B111" i="7"/>
  <c r="AJ24" i="12"/>
  <c r="AK24" i="12" s="1"/>
  <c r="AN23" i="12"/>
  <c r="AP23" i="12" s="1"/>
  <c r="AQ23" i="12" s="1"/>
  <c r="F220" i="18"/>
  <c r="F149" i="25" s="1"/>
  <c r="BB27" i="12"/>
  <c r="BC27" i="12" s="1"/>
  <c r="I220" i="18"/>
  <c r="I149" i="25" s="1"/>
  <c r="B106" i="7"/>
  <c r="B189" i="17"/>
  <c r="B190" i="17" s="1"/>
  <c r="C219" i="18" s="1"/>
  <c r="N220" i="18"/>
  <c r="N149" i="25" s="1"/>
  <c r="C32" i="17"/>
  <c r="B21" i="17"/>
  <c r="AV23" i="12"/>
  <c r="AW23" i="12" s="1"/>
  <c r="BM27" i="12"/>
  <c r="L24" i="12"/>
  <c r="M24" i="12" s="1"/>
  <c r="BM28" i="12"/>
  <c r="V25" i="12"/>
  <c r="X25" i="12" s="1"/>
  <c r="Y25" i="12" s="1"/>
  <c r="C220" i="18"/>
  <c r="F113" i="7"/>
  <c r="F152" i="7" s="1"/>
  <c r="I22" i="17"/>
  <c r="J33" i="18" s="1"/>
  <c r="J24" i="25" s="1"/>
  <c r="AV25" i="12"/>
  <c r="AW25" i="12" s="1"/>
  <c r="B18" i="17"/>
  <c r="AI25" i="12"/>
  <c r="BM24" i="12"/>
  <c r="D22" i="12"/>
  <c r="BC26" i="12"/>
  <c r="BG25" i="12"/>
  <c r="W26" i="12"/>
  <c r="J112" i="7"/>
  <c r="J151" i="7" s="1"/>
  <c r="B112" i="7"/>
  <c r="J220" i="18"/>
  <c r="J149" i="25" s="1"/>
  <c r="D220" i="18"/>
  <c r="D149" i="25" s="1"/>
  <c r="D50" i="18"/>
  <c r="D41" i="25" s="1"/>
  <c r="K22" i="12"/>
  <c r="BR22" i="12"/>
  <c r="N50" i="18"/>
  <c r="N41" i="25" s="1"/>
  <c r="M50" i="18"/>
  <c r="M41" i="25" s="1"/>
  <c r="E24" i="12"/>
  <c r="F25" i="12"/>
  <c r="B110" i="7"/>
  <c r="J150" i="17"/>
  <c r="K203" i="18" s="1"/>
  <c r="K132" i="25" s="1"/>
  <c r="C22" i="17"/>
  <c r="D33" i="18" s="1"/>
  <c r="D24" i="25" s="1"/>
  <c r="AZ22" i="12"/>
  <c r="BA22" i="12" s="1"/>
  <c r="Y24" i="12"/>
  <c r="BR25" i="12"/>
  <c r="BT25" i="12" s="1"/>
  <c r="BU25" i="12" s="1"/>
  <c r="D26" i="12"/>
  <c r="F26" i="12" s="1"/>
  <c r="J23" i="12"/>
  <c r="K23" i="12" s="1"/>
  <c r="AZ25" i="12"/>
  <c r="BB25" i="12" s="1"/>
  <c r="BC25" i="12" s="1"/>
  <c r="L50" i="18"/>
  <c r="L41" i="25" s="1"/>
  <c r="BR23" i="12"/>
  <c r="BT23" i="12" s="1"/>
  <c r="BU23" i="12" s="1"/>
  <c r="AH23" i="12"/>
  <c r="AJ23" i="12" s="1"/>
  <c r="AK23" i="12" s="1"/>
  <c r="BS25" i="12"/>
  <c r="B103" i="7"/>
  <c r="P23" i="12"/>
  <c r="Q23" i="12" s="1"/>
  <c r="L135" i="18"/>
  <c r="L95" i="25" s="1"/>
  <c r="N135" i="18"/>
  <c r="N95" i="25" s="1"/>
  <c r="C50" i="18"/>
  <c r="AO23" i="12"/>
  <c r="C34" i="17"/>
  <c r="B35" i="17"/>
  <c r="BB24" i="12"/>
  <c r="BC24" i="12" s="1"/>
  <c r="F112" i="7"/>
  <c r="F151" i="7" s="1"/>
  <c r="AB23" i="12"/>
  <c r="AD23" i="12" s="1"/>
  <c r="AE23" i="12" s="1"/>
  <c r="J107" i="7"/>
  <c r="J146" i="7" s="1"/>
  <c r="J103" i="7"/>
  <c r="J142" i="7" s="1"/>
  <c r="F23" i="12"/>
  <c r="G23" i="12" s="1"/>
  <c r="B115" i="7"/>
  <c r="BS23" i="12"/>
  <c r="J102" i="7"/>
  <c r="B102" i="7"/>
  <c r="J115" i="7"/>
  <c r="B48" i="17"/>
  <c r="E214" i="15"/>
  <c r="H198" i="15"/>
  <c r="E212" i="15"/>
  <c r="BV23" i="12"/>
  <c r="M177" i="18"/>
  <c r="B177" i="13" s="1"/>
  <c r="M178" i="18"/>
  <c r="B192" i="13" s="1"/>
  <c r="E113" i="15"/>
  <c r="H111" i="15"/>
  <c r="AS103" i="9"/>
  <c r="D103" i="9"/>
  <c r="I188" i="9"/>
  <c r="L188" i="9"/>
  <c r="AX188" i="9"/>
  <c r="A29" i="30"/>
  <c r="A44" i="30" s="1"/>
  <c r="A10" i="30"/>
  <c r="A59" i="30"/>
  <c r="A74" i="30"/>
  <c r="AL24" i="10"/>
  <c r="A132" i="28"/>
  <c r="B132" i="28"/>
  <c r="D132" i="28" s="1"/>
  <c r="E132" i="28" s="1"/>
  <c r="D233" i="5"/>
  <c r="B103" i="6"/>
  <c r="A122" i="7"/>
  <c r="A140" i="7"/>
  <c r="B123" i="5"/>
  <c r="A5" i="20"/>
  <c r="B79" i="6"/>
  <c r="B95" i="5"/>
  <c r="H169" i="6"/>
  <c r="H201" i="6"/>
  <c r="H185" i="6"/>
  <c r="V16" i="9"/>
  <c r="P16" i="9"/>
  <c r="AW16" i="9"/>
  <c r="E103" i="9"/>
  <c r="BB102" i="9"/>
  <c r="AC24" i="10"/>
  <c r="AA26" i="10"/>
  <c r="AS24" i="10"/>
  <c r="AS26" i="10" s="1"/>
  <c r="AQ26" i="10"/>
  <c r="AY108" i="10"/>
  <c r="F18" i="16"/>
  <c r="BA104" i="9"/>
  <c r="AM190" i="9"/>
  <c r="BA190" i="9" s="1"/>
  <c r="AC191" i="9"/>
  <c r="BT54" i="10"/>
  <c r="P34" i="10"/>
  <c r="BR24" i="10"/>
  <c r="A192" i="9"/>
  <c r="K191" i="9"/>
  <c r="CJ54" i="10"/>
  <c r="D45" i="10"/>
  <c r="D189" i="9"/>
  <c r="AT189" i="9" s="1"/>
  <c r="AF54" i="10"/>
  <c r="AN137" i="10"/>
  <c r="A243" i="15"/>
  <c r="A249" i="15" s="1"/>
  <c r="A255" i="15" s="1"/>
  <c r="A237" i="15"/>
  <c r="J291" i="6"/>
  <c r="J5" i="14" s="1"/>
  <c r="F354" i="6"/>
  <c r="F103" i="15" s="1"/>
  <c r="F317" i="6"/>
  <c r="F207" i="14" s="1"/>
  <c r="C353" i="6"/>
  <c r="C102" i="15" s="1"/>
  <c r="H303" i="6"/>
  <c r="H105" i="14" s="1"/>
  <c r="D290" i="6"/>
  <c r="D4" i="14" s="1"/>
  <c r="D353" i="6"/>
  <c r="D102" i="15" s="1"/>
  <c r="C303" i="6"/>
  <c r="C105" i="14" s="1"/>
  <c r="G290" i="6"/>
  <c r="G4" i="14" s="1"/>
  <c r="G336" i="6"/>
  <c r="G6" i="15" s="1"/>
  <c r="E290" i="6"/>
  <c r="E4" i="14" s="1"/>
  <c r="E303" i="6"/>
  <c r="E105" i="14" s="1"/>
  <c r="L316" i="6"/>
  <c r="L206" i="14" s="1"/>
  <c r="J316" i="6"/>
  <c r="J206" i="14" s="1"/>
  <c r="G317" i="6"/>
  <c r="G207" i="14" s="1"/>
  <c r="I303" i="6"/>
  <c r="I105" i="14" s="1"/>
  <c r="C317" i="6"/>
  <c r="C207" i="14" s="1"/>
  <c r="G303" i="6"/>
  <c r="G105" i="14" s="1"/>
  <c r="C290" i="6"/>
  <c r="C4" i="14" s="1"/>
  <c r="K291" i="6"/>
  <c r="K5" i="14" s="1"/>
  <c r="D371" i="6"/>
  <c r="D199" i="15" s="1"/>
  <c r="G316" i="6"/>
  <c r="G206" i="14" s="1"/>
  <c r="L291" i="6"/>
  <c r="L5" i="14" s="1"/>
  <c r="G304" i="6"/>
  <c r="G106" i="14" s="1"/>
  <c r="J317" i="6"/>
  <c r="J207" i="14" s="1"/>
  <c r="C316" i="6"/>
  <c r="C206" i="14" s="1"/>
  <c r="F371" i="6"/>
  <c r="F199" i="15" s="1"/>
  <c r="L317" i="6"/>
  <c r="L207" i="14" s="1"/>
  <c r="D372" i="6"/>
  <c r="D200" i="15" s="1"/>
  <c r="D304" i="6"/>
  <c r="D106" i="14" s="1"/>
  <c r="F304" i="6"/>
  <c r="F106" i="14" s="1"/>
  <c r="J303" i="6"/>
  <c r="J105" i="14" s="1"/>
  <c r="D354" i="6"/>
  <c r="D103" i="15" s="1"/>
  <c r="I290" i="6"/>
  <c r="I4" i="14" s="1"/>
  <c r="G335" i="6"/>
  <c r="G5" i="15" s="1"/>
  <c r="F372" i="6"/>
  <c r="F200" i="15" s="1"/>
  <c r="J290" i="6"/>
  <c r="J4" i="14" s="1"/>
  <c r="E371" i="6"/>
  <c r="E199" i="15" s="1"/>
  <c r="C335" i="6"/>
  <c r="C5" i="15" s="1"/>
  <c r="E291" i="6"/>
  <c r="E5" i="14" s="1"/>
  <c r="E316" i="6"/>
  <c r="E206" i="14" s="1"/>
  <c r="K316" i="6"/>
  <c r="K206" i="14" s="1"/>
  <c r="C354" i="6"/>
  <c r="C103" i="15" s="1"/>
  <c r="F303" i="6"/>
  <c r="F105" i="14" s="1"/>
  <c r="H291" i="6"/>
  <c r="H5" i="14" s="1"/>
  <c r="C336" i="6"/>
  <c r="C6" i="15" s="1"/>
  <c r="K304" i="6"/>
  <c r="K106" i="14" s="1"/>
  <c r="I316" i="6"/>
  <c r="I206" i="14" s="1"/>
  <c r="K317" i="6"/>
  <c r="K207" i="14" s="1"/>
  <c r="C372" i="6"/>
  <c r="C200" i="15" s="1"/>
  <c r="D316" i="6"/>
  <c r="D206" i="14" s="1"/>
  <c r="L304" i="6"/>
  <c r="L106" i="14" s="1"/>
  <c r="H304" i="6"/>
  <c r="H106" i="14" s="1"/>
  <c r="D291" i="6"/>
  <c r="D5" i="14" s="1"/>
  <c r="C371" i="6"/>
  <c r="C199" i="15" s="1"/>
  <c r="C291" i="6"/>
  <c r="C5" i="14" s="1"/>
  <c r="E372" i="6"/>
  <c r="E200" i="15" s="1"/>
  <c r="D317" i="6"/>
  <c r="D207" i="14" s="1"/>
  <c r="G354" i="6"/>
  <c r="G103" i="15" s="1"/>
  <c r="E317" i="6"/>
  <c r="E207" i="14" s="1"/>
  <c r="E353" i="6"/>
  <c r="E102" i="15" s="1"/>
  <c r="C304" i="6"/>
  <c r="C106" i="14" s="1"/>
  <c r="I304" i="6"/>
  <c r="I106" i="14" s="1"/>
  <c r="E354" i="6"/>
  <c r="E103" i="15" s="1"/>
  <c r="L290" i="6"/>
  <c r="L4" i="14" s="1"/>
  <c r="K290" i="6"/>
  <c r="K4" i="14" s="1"/>
  <c r="K303" i="6"/>
  <c r="K105" i="14" s="1"/>
  <c r="D335" i="6"/>
  <c r="D5" i="15" s="1"/>
  <c r="G353" i="6"/>
  <c r="G102" i="15" s="1"/>
  <c r="E304" i="6"/>
  <c r="E106" i="14" s="1"/>
  <c r="H317" i="6"/>
  <c r="H207" i="14" s="1"/>
  <c r="G372" i="6"/>
  <c r="G200" i="15" s="1"/>
  <c r="E335" i="6"/>
  <c r="E5" i="15" s="1"/>
  <c r="J304" i="6"/>
  <c r="J106" i="14" s="1"/>
  <c r="F353" i="6"/>
  <c r="F102" i="15" s="1"/>
  <c r="D303" i="6"/>
  <c r="D105" i="14" s="1"/>
  <c r="G371" i="6"/>
  <c r="G199" i="15" s="1"/>
  <c r="H316" i="6"/>
  <c r="H206" i="14" s="1"/>
  <c r="H290" i="6"/>
  <c r="H4" i="14" s="1"/>
  <c r="D336" i="6"/>
  <c r="D6" i="15" s="1"/>
  <c r="I291" i="6"/>
  <c r="I5" i="14" s="1"/>
  <c r="F335" i="6"/>
  <c r="F5" i="15" s="1"/>
  <c r="L303" i="6"/>
  <c r="L105" i="14" s="1"/>
  <c r="F291" i="6"/>
  <c r="F5" i="14" s="1"/>
  <c r="F316" i="6"/>
  <c r="F206" i="14" s="1"/>
  <c r="F290" i="6"/>
  <c r="F4" i="14" s="1"/>
  <c r="G291" i="6"/>
  <c r="G5" i="14" s="1"/>
  <c r="F336" i="6"/>
  <c r="F6" i="15" s="1"/>
  <c r="I317" i="6"/>
  <c r="I207" i="14" s="1"/>
  <c r="E336" i="6"/>
  <c r="E6" i="15" s="1"/>
  <c r="C120" i="17"/>
  <c r="C123" i="17" s="1"/>
  <c r="C38" i="17"/>
  <c r="C43" i="17" s="1"/>
  <c r="C48" i="17" s="1"/>
  <c r="D25" i="16"/>
  <c r="D232" i="6"/>
  <c r="AD2" i="11"/>
  <c r="D4" i="22"/>
  <c r="D32" i="15"/>
  <c r="D10" i="18"/>
  <c r="C186" i="17"/>
  <c r="C189" i="17" s="1"/>
  <c r="C74" i="17"/>
  <c r="C56" i="17"/>
  <c r="D20" i="14"/>
  <c r="D121" i="14" s="1"/>
  <c r="D222" i="14" s="1"/>
  <c r="C177" i="17"/>
  <c r="AO2" i="11"/>
  <c r="BS11" i="9"/>
  <c r="C18" i="11"/>
  <c r="B18" i="11"/>
  <c r="D17" i="11"/>
  <c r="F17" i="11" s="1"/>
  <c r="C21" i="22"/>
  <c r="C42" i="25"/>
  <c r="Q14" i="11"/>
  <c r="P14" i="11" s="1"/>
  <c r="AO9" i="11"/>
  <c r="G1" i="13"/>
  <c r="G67" i="13" s="1"/>
  <c r="K5" i="16"/>
  <c r="DG20" i="10"/>
  <c r="AC4" i="11"/>
  <c r="C52" i="18" s="1"/>
  <c r="H14" i="11"/>
  <c r="G14" i="11" s="1"/>
  <c r="F25" i="7"/>
  <c r="D12" i="17"/>
  <c r="M1" i="16"/>
  <c r="CR181" i="10"/>
  <c r="CO40" i="10"/>
  <c r="AA60" i="10"/>
  <c r="D214" i="15"/>
  <c r="D212" i="15"/>
  <c r="Q35" i="7"/>
  <c r="Q31" i="7" s="1"/>
  <c r="P31" i="7"/>
  <c r="P45" i="7" s="1"/>
  <c r="B88" i="13"/>
  <c r="B97" i="13" s="1"/>
  <c r="C91" i="18"/>
  <c r="F245" i="6"/>
  <c r="E32" i="17" s="1"/>
  <c r="E263" i="6"/>
  <c r="E281" i="6" s="1"/>
  <c r="D160" i="17" s="1"/>
  <c r="AA37" i="7"/>
  <c r="AA35" i="7" s="1"/>
  <c r="B170" i="13"/>
  <c r="B153" i="13"/>
  <c r="C26" i="10"/>
  <c r="E24" i="10"/>
  <c r="E26" i="10" s="1"/>
  <c r="C115" i="14"/>
  <c r="M113" i="14"/>
  <c r="D178" i="18"/>
  <c r="D400" i="6"/>
  <c r="J21" i="10"/>
  <c r="E22" i="10"/>
  <c r="A203" i="28"/>
  <c r="B203" i="28"/>
  <c r="E118" i="14"/>
  <c r="D203" i="5"/>
  <c r="D218" i="5"/>
  <c r="D234" i="5" s="1"/>
  <c r="AR26" i="12"/>
  <c r="AS26" i="12" s="1"/>
  <c r="AT26" i="12" s="1"/>
  <c r="J175" i="6"/>
  <c r="B67" i="6"/>
  <c r="B79" i="5"/>
  <c r="A89" i="7"/>
  <c r="M178" i="6"/>
  <c r="BJ29" i="12"/>
  <c r="BK29" i="12" s="1"/>
  <c r="BL29" i="12" s="1"/>
  <c r="O175" i="18"/>
  <c r="B147" i="13" s="1"/>
  <c r="O176" i="18"/>
  <c r="B162" i="13" s="1"/>
  <c r="AY27" i="10"/>
  <c r="AY28" i="10" s="1"/>
  <c r="AY29" i="10" s="1"/>
  <c r="AZ26" i="10"/>
  <c r="AZ27" i="10" s="1"/>
  <c r="AZ28" i="10" s="1"/>
  <c r="BA24" i="10"/>
  <c r="BA26" i="10" s="1"/>
  <c r="BA18" i="9"/>
  <c r="BN15" i="9" s="1"/>
  <c r="BO128" i="10"/>
  <c r="E207" i="5"/>
  <c r="AD107" i="9"/>
  <c r="C176" i="6"/>
  <c r="B27" i="12"/>
  <c r="C27" i="12" s="1"/>
  <c r="A146" i="15"/>
  <c r="A152" i="15" s="1"/>
  <c r="A158" i="15" s="1"/>
  <c r="A140" i="15"/>
  <c r="Q104" i="9"/>
  <c r="R104" i="9" s="1"/>
  <c r="P190" i="9"/>
  <c r="V190" i="9"/>
  <c r="I177" i="17"/>
  <c r="B140" i="17"/>
  <c r="B100" i="17"/>
  <c r="C250" i="6"/>
  <c r="C303" i="5"/>
  <c r="CB112" i="10"/>
  <c r="AP8" i="11"/>
  <c r="N15" i="11"/>
  <c r="BH13" i="9"/>
  <c r="J50" i="7"/>
  <c r="G33" i="6"/>
  <c r="F6" i="27" s="1"/>
  <c r="F11" i="27" s="1"/>
  <c r="T28" i="12"/>
  <c r="U28" i="12" s="1"/>
  <c r="F177" i="6"/>
  <c r="C32" i="20"/>
  <c r="C33" i="20" s="1"/>
  <c r="C14" i="8"/>
  <c r="CO45" i="10"/>
  <c r="CM50" i="10"/>
  <c r="BW60" i="10"/>
  <c r="BV22" i="12"/>
  <c r="M60" i="7"/>
  <c r="M56" i="7" s="1"/>
  <c r="M70" i="7" s="1"/>
  <c r="H135" i="18" s="1"/>
  <c r="H95" i="25" s="1"/>
  <c r="L56" i="7"/>
  <c r="L70" i="7" s="1"/>
  <c r="Q45" i="7"/>
  <c r="J50" i="18" s="1"/>
  <c r="J41" i="25" s="1"/>
  <c r="G176" i="18"/>
  <c r="B154" i="13" s="1"/>
  <c r="D399" i="6"/>
  <c r="G175" i="18"/>
  <c r="B139" i="13" s="1"/>
  <c r="F248" i="6"/>
  <c r="E35" i="17" s="1"/>
  <c r="E266" i="6"/>
  <c r="E284" i="6" s="1"/>
  <c r="D163" i="17" s="1"/>
  <c r="N31" i="7"/>
  <c r="N45" i="7" s="1"/>
  <c r="O35" i="7"/>
  <c r="O31" i="7" s="1"/>
  <c r="O45" i="7" s="1"/>
  <c r="I50" i="18" s="1"/>
  <c r="I41" i="25" s="1"/>
  <c r="K67" i="7"/>
  <c r="K70" i="7" s="1"/>
  <c r="G135" i="18" s="1"/>
  <c r="G95" i="25" s="1"/>
  <c r="AA68" i="7"/>
  <c r="AA67" i="7" s="1"/>
  <c r="F259" i="6"/>
  <c r="F277" i="6" s="1"/>
  <c r="E156" i="17" s="1"/>
  <c r="G241" i="6"/>
  <c r="G239" i="6"/>
  <c r="F26" i="17" s="1"/>
  <c r="F257" i="6"/>
  <c r="F275" i="6" s="1"/>
  <c r="E154" i="17" s="1"/>
  <c r="B164" i="31"/>
  <c r="F67" i="26"/>
  <c r="J31" i="7"/>
  <c r="J45" i="7" s="1"/>
  <c r="K35" i="7"/>
  <c r="K31" i="7" s="1"/>
  <c r="K45" i="7" s="1"/>
  <c r="G50" i="18" s="1"/>
  <c r="G41" i="25" s="1"/>
  <c r="D115" i="15"/>
  <c r="D117" i="15"/>
  <c r="E258" i="6"/>
  <c r="E276" i="6" s="1"/>
  <c r="D155" i="17" s="1"/>
  <c r="F240" i="6"/>
  <c r="H246" i="6"/>
  <c r="G33" i="17" s="1"/>
  <c r="G264" i="6"/>
  <c r="G282" i="6" s="1"/>
  <c r="F161" i="17" s="1"/>
  <c r="M219" i="14"/>
  <c r="B138" i="13"/>
  <c r="AD16" i="9"/>
  <c r="AJ16" i="9"/>
  <c r="C216" i="14"/>
  <c r="M214" i="14"/>
  <c r="AJ23" i="10"/>
  <c r="AJ24" i="10" s="1"/>
  <c r="AI24" i="10"/>
  <c r="G242" i="6"/>
  <c r="F29" i="17" s="1"/>
  <c r="F260" i="6"/>
  <c r="F278" i="6" s="1"/>
  <c r="E157" i="17" s="1"/>
  <c r="B117" i="13"/>
  <c r="B129" i="13" s="1"/>
  <c r="C93" i="18"/>
  <c r="H177" i="18"/>
  <c r="B172" i="13" s="1"/>
  <c r="H178" i="18"/>
  <c r="B187" i="13" s="1"/>
  <c r="O191" i="9"/>
  <c r="Y190" i="9"/>
  <c r="D175" i="6"/>
  <c r="H26" i="12"/>
  <c r="I26" i="12" s="1"/>
  <c r="J26" i="12" s="1"/>
  <c r="K26" i="12" s="1"/>
  <c r="G42" i="7"/>
  <c r="G45" i="7" s="1"/>
  <c r="E50" i="18" s="1"/>
  <c r="E41" i="25" s="1"/>
  <c r="AA44" i="7"/>
  <c r="AA42" i="7" s="1"/>
  <c r="M175" i="18"/>
  <c r="B145" i="13" s="1"/>
  <c r="M176" i="18"/>
  <c r="B160" i="13" s="1"/>
  <c r="BI21" i="10"/>
  <c r="BH25" i="10"/>
  <c r="B105" i="6"/>
  <c r="A142" i="7"/>
  <c r="A124" i="7"/>
  <c r="B125" i="5"/>
  <c r="E52" i="28"/>
  <c r="E59" i="28" s="1"/>
  <c r="D59" i="28"/>
  <c r="I174" i="6"/>
  <c r="AL25" i="12"/>
  <c r="AM25" i="12" s="1"/>
  <c r="AN25" i="12" s="1"/>
  <c r="AN44" i="10"/>
  <c r="AQ113" i="10"/>
  <c r="BG40" i="10"/>
  <c r="O20" i="9"/>
  <c r="Y19" i="9"/>
  <c r="AM105" i="9"/>
  <c r="AL105" i="9" s="1"/>
  <c r="AC106" i="9"/>
  <c r="V34" i="10"/>
  <c r="AI55" i="10"/>
  <c r="H54" i="10"/>
  <c r="X34" i="10"/>
  <c r="AT29" i="10"/>
  <c r="BB24" i="10"/>
  <c r="BG28" i="10"/>
  <c r="BI27" i="10"/>
  <c r="BM24" i="10" s="1"/>
  <c r="BN24" i="10" s="1"/>
  <c r="BQ30" i="10"/>
  <c r="BO35" i="10"/>
  <c r="A20" i="9"/>
  <c r="K19" i="9"/>
  <c r="Y105" i="9"/>
  <c r="O106" i="9"/>
  <c r="AD106" i="9"/>
  <c r="AE106" i="9" s="1"/>
  <c r="AF106" i="9" s="1"/>
  <c r="AE105" i="9"/>
  <c r="Z25" i="12"/>
  <c r="AA25" i="12" s="1"/>
  <c r="G174" i="6"/>
  <c r="H176" i="6"/>
  <c r="AF27" i="12"/>
  <c r="AG27" i="12" s="1"/>
  <c r="AH27" i="12" s="1"/>
  <c r="AJ27" i="12" s="1"/>
  <c r="AK27" i="12" s="1"/>
  <c r="A138" i="15"/>
  <c r="A144" i="15"/>
  <c r="A150" i="15" s="1"/>
  <c r="A156" i="15" s="1"/>
  <c r="AF132" i="10"/>
  <c r="U105" i="9"/>
  <c r="Z104" i="9"/>
  <c r="S105" i="9" s="1"/>
  <c r="W104" i="9"/>
  <c r="X104" i="9" s="1"/>
  <c r="K143" i="10"/>
  <c r="K148" i="10" s="1"/>
  <c r="L148" i="10" s="1"/>
  <c r="BW138" i="10"/>
  <c r="T190" i="9"/>
  <c r="BT142" i="10"/>
  <c r="L177" i="17"/>
  <c r="F56" i="17"/>
  <c r="F38" i="17"/>
  <c r="F43" i="17" s="1"/>
  <c r="F48" i="17" s="1"/>
  <c r="F120" i="17"/>
  <c r="F123" i="17" s="1"/>
  <c r="AG2" i="11"/>
  <c r="G232" i="6"/>
  <c r="F74" i="17"/>
  <c r="G25" i="16"/>
  <c r="G4" i="22"/>
  <c r="P3" i="17"/>
  <c r="G32" i="15"/>
  <c r="G20" i="14"/>
  <c r="G121" i="14" s="1"/>
  <c r="G222" i="14" s="1"/>
  <c r="F186" i="17"/>
  <c r="F189" i="17" s="1"/>
  <c r="G10" i="18"/>
  <c r="CM118" i="10"/>
  <c r="L16" i="11"/>
  <c r="K16" i="11"/>
  <c r="M15" i="11"/>
  <c r="O15" i="11" s="1"/>
  <c r="B13" i="24"/>
  <c r="B38" i="20" s="1"/>
  <c r="N1" i="16"/>
  <c r="H25" i="7"/>
  <c r="E12" i="17"/>
  <c r="CE55" i="10"/>
  <c r="Z60" i="7"/>
  <c r="AF3" i="11"/>
  <c r="E17" i="11"/>
  <c r="B17" i="3"/>
  <c r="A5" i="3"/>
  <c r="M14" i="14"/>
  <c r="D26" i="15"/>
  <c r="H26" i="15" s="1"/>
  <c r="D25" i="15"/>
  <c r="H25" i="15" s="1"/>
  <c r="G233" i="6"/>
  <c r="F16" i="17" s="1"/>
  <c r="F251" i="6"/>
  <c r="F269" i="6" s="1"/>
  <c r="E144" i="17" s="1"/>
  <c r="E117" i="15"/>
  <c r="E115" i="15"/>
  <c r="H101" i="15"/>
  <c r="C118" i="14"/>
  <c r="M118" i="14" s="1"/>
  <c r="AA94" i="7"/>
  <c r="J116" i="7" s="1"/>
  <c r="S92" i="7"/>
  <c r="S95" i="7" s="1"/>
  <c r="J177" i="17" s="1"/>
  <c r="Q52" i="7"/>
  <c r="Q70" i="7" s="1"/>
  <c r="AA54" i="7"/>
  <c r="F103" i="7" s="1"/>
  <c r="F142" i="7" s="1"/>
  <c r="K175" i="18"/>
  <c r="B143" i="13" s="1"/>
  <c r="K176" i="18"/>
  <c r="B158" i="13" s="1"/>
  <c r="G265" i="6"/>
  <c r="G283" i="6" s="1"/>
  <c r="F162" i="17" s="1"/>
  <c r="H247" i="6"/>
  <c r="CE26" i="10"/>
  <c r="CG24" i="10"/>
  <c r="CG26" i="10" s="1"/>
  <c r="M35" i="7"/>
  <c r="M31" i="7" s="1"/>
  <c r="M45" i="7" s="1"/>
  <c r="H50" i="18" s="1"/>
  <c r="H41" i="25" s="1"/>
  <c r="L31" i="7"/>
  <c r="L45" i="7" s="1"/>
  <c r="G47" i="17" s="1"/>
  <c r="N24" i="12"/>
  <c r="O24" i="12" s="1"/>
  <c r="BV24" i="12" s="1"/>
  <c r="E173" i="6"/>
  <c r="I175" i="18"/>
  <c r="B141" i="13" s="1"/>
  <c r="I176" i="18"/>
  <c r="B156" i="13" s="1"/>
  <c r="BO24" i="10"/>
  <c r="BP23" i="10"/>
  <c r="BP24" i="10" s="1"/>
  <c r="H208" i="15"/>
  <c r="E210" i="15"/>
  <c r="H210" i="15" s="1"/>
  <c r="L25" i="10"/>
  <c r="M21" i="10"/>
  <c r="AK30" i="10"/>
  <c r="AJ35" i="10"/>
  <c r="BA189" i="9"/>
  <c r="D47" i="17"/>
  <c r="AS22" i="10"/>
  <c r="AX21" i="10"/>
  <c r="BY21" i="10"/>
  <c r="BX25" i="10"/>
  <c r="B57" i="6"/>
  <c r="B65" i="5"/>
  <c r="A79" i="7"/>
  <c r="R103" i="9"/>
  <c r="AH189" i="9"/>
  <c r="AI189" i="9"/>
  <c r="B60" i="6"/>
  <c r="B72" i="5"/>
  <c r="A82" i="7"/>
  <c r="A106" i="9"/>
  <c r="K105" i="9"/>
  <c r="S45" i="10"/>
  <c r="U40" i="10"/>
  <c r="C143" i="10"/>
  <c r="AQ40" i="10"/>
  <c r="AS35" i="10"/>
  <c r="AY35" i="10"/>
  <c r="BA30" i="10"/>
  <c r="BL34" i="10"/>
  <c r="F5" i="30"/>
  <c r="E55" i="30"/>
  <c r="E70" i="30"/>
  <c r="E25" i="30"/>
  <c r="E40" i="30" s="1"/>
  <c r="AC22" i="9"/>
  <c r="AM21" i="9"/>
  <c r="B107" i="5"/>
  <c r="B87" i="6"/>
  <c r="A11" i="20"/>
  <c r="K55" i="10"/>
  <c r="BG123" i="10"/>
  <c r="A235" i="15"/>
  <c r="A241" i="15"/>
  <c r="A247" i="15" s="1"/>
  <c r="A253" i="15" s="1"/>
  <c r="AI133" i="10"/>
  <c r="AA56" i="7"/>
  <c r="D14" i="8"/>
  <c r="D32" i="20"/>
  <c r="D33" i="20" s="1"/>
  <c r="D20" i="20" s="1"/>
  <c r="D50" i="7"/>
  <c r="D33" i="6"/>
  <c r="C6" i="27" s="1"/>
  <c r="C11" i="27" s="1"/>
  <c r="D32" i="16"/>
  <c r="C36" i="16"/>
  <c r="C54" i="15"/>
  <c r="C36" i="15"/>
  <c r="C38" i="15"/>
  <c r="C55" i="15"/>
  <c r="C129" i="15"/>
  <c r="C57" i="15"/>
  <c r="C37" i="15"/>
  <c r="C53" i="15"/>
  <c r="C56" i="15"/>
  <c r="CT21" i="10"/>
  <c r="CO22" i="10"/>
  <c r="P122" i="10"/>
  <c r="AE4" i="11"/>
  <c r="E52" i="18" s="1"/>
  <c r="E43" i="25" s="1"/>
  <c r="H16" i="11"/>
  <c r="G16" i="11" s="1"/>
  <c r="B10" i="20"/>
  <c r="B6" i="20" s="1"/>
  <c r="B20" i="20" s="1"/>
  <c r="Z31" i="7"/>
  <c r="Z45" i="7" s="1"/>
  <c r="DD88" i="10"/>
  <c r="DD157" i="10" s="1"/>
  <c r="CC21" i="12"/>
  <c r="CC41" i="12" s="1"/>
  <c r="CC61" i="12" s="1"/>
  <c r="J8" i="1"/>
  <c r="I7" i="1"/>
  <c r="W70" i="7"/>
  <c r="M135" i="18" s="1"/>
  <c r="M95" i="25" s="1"/>
  <c r="F111" i="17" l="1"/>
  <c r="BA25" i="12"/>
  <c r="BH22" i="12"/>
  <c r="BI22" i="12" s="1"/>
  <c r="AP24" i="12"/>
  <c r="AQ24" i="12" s="1"/>
  <c r="BB23" i="12"/>
  <c r="BC23" i="12" s="1"/>
  <c r="B111" i="17"/>
  <c r="AA27" i="7"/>
  <c r="AA45" i="7" s="1"/>
  <c r="B20" i="29" s="1"/>
  <c r="H243" i="6"/>
  <c r="G261" i="6"/>
  <c r="BN23" i="12"/>
  <c r="BO23" i="12" s="1"/>
  <c r="K177" i="6"/>
  <c r="AX28" i="12"/>
  <c r="AY28" i="12" s="1"/>
  <c r="AZ28" i="12" s="1"/>
  <c r="C123" i="15"/>
  <c r="C122" i="15"/>
  <c r="S26" i="10"/>
  <c r="U24" i="10"/>
  <c r="U26" i="10" s="1"/>
  <c r="N177" i="6"/>
  <c r="BP28" i="12"/>
  <c r="BQ28" i="12" s="1"/>
  <c r="BR28" i="12" s="1"/>
  <c r="BS28" i="12" s="1"/>
  <c r="L111" i="17"/>
  <c r="BG23" i="12"/>
  <c r="M237" i="6"/>
  <c r="L255" i="6"/>
  <c r="R23" i="12"/>
  <c r="S23" i="12" s="1"/>
  <c r="BZ23" i="12" s="1"/>
  <c r="CC26" i="12" s="1"/>
  <c r="K22" i="17"/>
  <c r="L33" i="18" s="1"/>
  <c r="L24" i="25" s="1"/>
  <c r="E272" i="6"/>
  <c r="D149" i="17" s="1"/>
  <c r="E202" i="18" s="1"/>
  <c r="E131" i="25" s="1"/>
  <c r="F254" i="6"/>
  <c r="G381" i="6"/>
  <c r="G217" i="15" s="1"/>
  <c r="G220" i="15" s="1"/>
  <c r="G120" i="15"/>
  <c r="G123" i="15" s="1"/>
  <c r="AU26" i="12"/>
  <c r="AV26" i="12"/>
  <c r="AW26" i="12" s="1"/>
  <c r="N177" i="17"/>
  <c r="G111" i="17"/>
  <c r="AT103" i="9"/>
  <c r="BB22" i="12"/>
  <c r="C54" i="6"/>
  <c r="B75" i="7"/>
  <c r="C58" i="5"/>
  <c r="G19" i="15"/>
  <c r="G18" i="15"/>
  <c r="H18" i="15" s="1"/>
  <c r="C203" i="5"/>
  <c r="C218" i="5"/>
  <c r="C234" i="5" s="1"/>
  <c r="C51" i="22"/>
  <c r="C7" i="22"/>
  <c r="M24" i="10"/>
  <c r="K26" i="10"/>
  <c r="CB21" i="12"/>
  <c r="CB41" i="12" s="1"/>
  <c r="CB61" i="12" s="1"/>
  <c r="DC88" i="10"/>
  <c r="DC157" i="10" s="1"/>
  <c r="E241" i="5"/>
  <c r="E226" i="5"/>
  <c r="E242" i="5" s="1"/>
  <c r="H16" i="9"/>
  <c r="AX16" i="9" s="1"/>
  <c r="B17" i="17"/>
  <c r="C28" i="18"/>
  <c r="C19" i="25" s="1"/>
  <c r="BB13" i="11"/>
  <c r="W15" i="11"/>
  <c r="I47" i="17"/>
  <c r="K220" i="18"/>
  <c r="K149" i="25" s="1"/>
  <c r="I1" i="26"/>
  <c r="I42" i="26" s="1"/>
  <c r="G42" i="26"/>
  <c r="H15" i="11"/>
  <c r="G15" i="11" s="1"/>
  <c r="AD4" i="11"/>
  <c r="AG21" i="10"/>
  <c r="AD21" i="10"/>
  <c r="BA22" i="10"/>
  <c r="BA23" i="10" s="1"/>
  <c r="BF21" i="10"/>
  <c r="C2" i="25"/>
  <c r="B2" i="24" s="1"/>
  <c r="C17" i="18"/>
  <c r="C9" i="25" s="1"/>
  <c r="C69" i="18"/>
  <c r="C81" i="18" s="1"/>
  <c r="C96" i="18" s="1"/>
  <c r="F122" i="15"/>
  <c r="F123" i="15"/>
  <c r="S187" i="5"/>
  <c r="CF35" i="10"/>
  <c r="CG30" i="10"/>
  <c r="CH29" i="10" s="1"/>
  <c r="AS16" i="9"/>
  <c r="D16" i="9"/>
  <c r="AT16" i="9" s="1"/>
  <c r="C17" i="9"/>
  <c r="BX26" i="10"/>
  <c r="BX27" i="10" s="1"/>
  <c r="BX28" i="10" s="1"/>
  <c r="BX29" i="10" s="1"/>
  <c r="BW27" i="10"/>
  <c r="AA52" i="7"/>
  <c r="E31" i="17"/>
  <c r="C40" i="10"/>
  <c r="E35" i="10"/>
  <c r="F34" i="10" s="1"/>
  <c r="AC25" i="10"/>
  <c r="AD24" i="10" s="1"/>
  <c r="AB30" i="10"/>
  <c r="CM27" i="10"/>
  <c r="CN26" i="10"/>
  <c r="CN27" i="10" s="1"/>
  <c r="CN28" i="10" s="1"/>
  <c r="L234" i="6"/>
  <c r="K252" i="6"/>
  <c r="F5" i="3"/>
  <c r="F6" i="3" s="1"/>
  <c r="A4" i="3"/>
  <c r="B16" i="3"/>
  <c r="BD26" i="12"/>
  <c r="BE26" i="12" s="1"/>
  <c r="BF26" i="12" s="1"/>
  <c r="L175" i="6"/>
  <c r="M201" i="6"/>
  <c r="M185" i="6"/>
  <c r="M169" i="6"/>
  <c r="H15" i="15"/>
  <c r="E10" i="4"/>
  <c r="BY24" i="10"/>
  <c r="G235" i="6"/>
  <c r="F253" i="6"/>
  <c r="L23" i="12"/>
  <c r="M23" i="12" s="1"/>
  <c r="G378" i="6"/>
  <c r="G211" i="15" s="1"/>
  <c r="G114" i="15"/>
  <c r="B83" i="6"/>
  <c r="A9" i="20"/>
  <c r="B103" i="5"/>
  <c r="C219" i="15"/>
  <c r="C220" i="15"/>
  <c r="Q84" i="13"/>
  <c r="C133" i="13"/>
  <c r="Q150" i="13" s="1"/>
  <c r="F219" i="15"/>
  <c r="F220" i="15"/>
  <c r="U16" i="11"/>
  <c r="V15" i="11"/>
  <c r="X15" i="11" s="1"/>
  <c r="T16" i="11"/>
  <c r="H19" i="15"/>
  <c r="C191" i="17"/>
  <c r="C190" i="17"/>
  <c r="D219" i="18" s="1"/>
  <c r="D148" i="25" s="1"/>
  <c r="C56" i="18"/>
  <c r="B1" i="8"/>
  <c r="B21" i="20"/>
  <c r="F197" i="18"/>
  <c r="E167" i="17"/>
  <c r="BM29" i="12"/>
  <c r="BN29" i="12"/>
  <c r="BO29" i="12" s="1"/>
  <c r="D159" i="17"/>
  <c r="C124" i="17"/>
  <c r="D134" i="18" s="1"/>
  <c r="D94" i="25" s="1"/>
  <c r="C125" i="17"/>
  <c r="F125" i="17" s="1"/>
  <c r="F124" i="17"/>
  <c r="G134" i="18" s="1"/>
  <c r="G94" i="25" s="1"/>
  <c r="AP25" i="12"/>
  <c r="AQ25" i="12" s="1"/>
  <c r="AO25" i="12"/>
  <c r="B109" i="7"/>
  <c r="B105" i="7" s="1"/>
  <c r="AA31" i="7"/>
  <c r="C148" i="25"/>
  <c r="BO22" i="12"/>
  <c r="I111" i="17"/>
  <c r="N111" i="17" s="1"/>
  <c r="J135" i="18"/>
  <c r="F37" i="18"/>
  <c r="F28" i="25" s="1"/>
  <c r="C49" i="17"/>
  <c r="E58" i="18" s="1"/>
  <c r="E49" i="25" s="1"/>
  <c r="C50" i="17"/>
  <c r="F50" i="17" s="1"/>
  <c r="CO23" i="10"/>
  <c r="C80" i="15"/>
  <c r="C43" i="15"/>
  <c r="C67" i="15"/>
  <c r="D37" i="15"/>
  <c r="C133" i="15"/>
  <c r="C226" i="15"/>
  <c r="C153" i="15"/>
  <c r="C150" i="15"/>
  <c r="C135" i="15"/>
  <c r="C154" i="15"/>
  <c r="C152" i="15"/>
  <c r="C134" i="15"/>
  <c r="C132" i="15"/>
  <c r="C151" i="15"/>
  <c r="C47" i="16"/>
  <c r="D54" i="16" s="1"/>
  <c r="D218" i="18" s="1"/>
  <c r="D147" i="25" s="1"/>
  <c r="D43" i="16"/>
  <c r="D133" i="18" s="1"/>
  <c r="D93" i="25" s="1"/>
  <c r="BQ24" i="10"/>
  <c r="BQ26" i="10" s="1"/>
  <c r="BO26" i="10"/>
  <c r="N25" i="12"/>
  <c r="O25" i="12" s="1"/>
  <c r="E174" i="6"/>
  <c r="B29" i="3"/>
  <c r="A17" i="3"/>
  <c r="N16" i="11"/>
  <c r="AQ8" i="11"/>
  <c r="G57" i="15"/>
  <c r="G55" i="15"/>
  <c r="G129" i="15"/>
  <c r="G56" i="15"/>
  <c r="G54" i="15"/>
  <c r="G53" i="15"/>
  <c r="V105" i="9"/>
  <c r="H177" i="6"/>
  <c r="AF28" i="12"/>
  <c r="AG28" i="12" s="1"/>
  <c r="AH28" i="12" s="1"/>
  <c r="A21" i="9"/>
  <c r="K20" i="9"/>
  <c r="AC107" i="9"/>
  <c r="AM106" i="9"/>
  <c r="AL106" i="9" s="1"/>
  <c r="AA70" i="7"/>
  <c r="CP44" i="10"/>
  <c r="G58" i="5"/>
  <c r="J75" i="7"/>
  <c r="G54" i="6"/>
  <c r="AP9" i="11"/>
  <c r="AP10" i="11" s="1"/>
  <c r="Q15" i="11"/>
  <c r="P15" i="11" s="1"/>
  <c r="B28" i="12"/>
  <c r="C28" i="12" s="1"/>
  <c r="C177" i="6"/>
  <c r="E208" i="5"/>
  <c r="E209" i="5" s="1"/>
  <c r="E210" i="5" s="1"/>
  <c r="Q187" i="5"/>
  <c r="M179" i="6"/>
  <c r="BJ30" i="12"/>
  <c r="BK30" i="12" s="1"/>
  <c r="D219" i="15"/>
  <c r="D220" i="15"/>
  <c r="H220" i="15" s="1"/>
  <c r="DE20" i="10"/>
  <c r="E1" i="13"/>
  <c r="E67" i="13" s="1"/>
  <c r="K3" i="16"/>
  <c r="E32" i="16"/>
  <c r="D36" i="16"/>
  <c r="C250" i="14"/>
  <c r="C249" i="14"/>
  <c r="C27" i="14"/>
  <c r="C49" i="14"/>
  <c r="C151" i="14"/>
  <c r="C129" i="14"/>
  <c r="K192" i="9"/>
  <c r="A193" i="9"/>
  <c r="P39" i="10"/>
  <c r="AR26" i="10"/>
  <c r="AR27" i="10" s="1"/>
  <c r="AR28" i="10" s="1"/>
  <c r="AQ27" i="10"/>
  <c r="AR16" i="9"/>
  <c r="J169" i="6"/>
  <c r="J185" i="6"/>
  <c r="J201" i="6"/>
  <c r="E219" i="15"/>
  <c r="E220" i="15"/>
  <c r="P127" i="10"/>
  <c r="D21" i="20"/>
  <c r="D1" i="8"/>
  <c r="BG128" i="10"/>
  <c r="F70" i="30"/>
  <c r="G5" i="30"/>
  <c r="F55" i="30"/>
  <c r="F25" i="30"/>
  <c r="F40" i="30" s="1"/>
  <c r="BB29" i="10"/>
  <c r="AQ45" i="10"/>
  <c r="AS40" i="10"/>
  <c r="A7" i="20"/>
  <c r="B101" i="5"/>
  <c r="B81" i="6"/>
  <c r="AD189" i="9"/>
  <c r="AJ189" i="9"/>
  <c r="BX30" i="10"/>
  <c r="BY25" i="10"/>
  <c r="AS23" i="10"/>
  <c r="Q21" i="10"/>
  <c r="CU21" i="10"/>
  <c r="N21" i="10"/>
  <c r="CF26" i="10"/>
  <c r="CF27" i="10" s="1"/>
  <c r="CF28" i="10" s="1"/>
  <c r="CE27" i="10"/>
  <c r="AF4" i="11"/>
  <c r="F52" i="18" s="1"/>
  <c r="F43" i="25" s="1"/>
  <c r="H17" i="11"/>
  <c r="G17" i="11" s="1"/>
  <c r="H50" i="7"/>
  <c r="F33" i="6"/>
  <c r="E6" i="27" s="1"/>
  <c r="E11" i="27" s="1"/>
  <c r="G7" i="22"/>
  <c r="G51" i="22"/>
  <c r="BW11" i="9"/>
  <c r="AS2" i="11"/>
  <c r="BW143" i="10"/>
  <c r="AF137" i="10"/>
  <c r="BR29" i="10"/>
  <c r="AQ118" i="10"/>
  <c r="BI25" i="10"/>
  <c r="BH30" i="10"/>
  <c r="B153" i="7"/>
  <c r="D176" i="6"/>
  <c r="H27" i="12"/>
  <c r="I27" i="12" s="1"/>
  <c r="Y191" i="9"/>
  <c r="O192" i="9"/>
  <c r="AI26" i="10"/>
  <c r="AK24" i="10"/>
  <c r="AK26" i="10" s="1"/>
  <c r="B148" i="13"/>
  <c r="G240" i="6"/>
  <c r="F258" i="6"/>
  <c r="H67" i="26"/>
  <c r="D164" i="31" s="1"/>
  <c r="C164" i="31"/>
  <c r="H241" i="6"/>
  <c r="G259" i="6"/>
  <c r="CO50" i="10"/>
  <c r="CM55" i="10"/>
  <c r="B107" i="17"/>
  <c r="B112" i="17" s="1"/>
  <c r="C105" i="17"/>
  <c r="W190" i="9"/>
  <c r="Z190" i="9"/>
  <c r="S191" i="9" s="1"/>
  <c r="U191" i="9"/>
  <c r="AJ107" i="9"/>
  <c r="AE107" i="9"/>
  <c r="AF107" i="9" s="1"/>
  <c r="D219" i="5"/>
  <c r="D204" i="5"/>
  <c r="E23" i="10"/>
  <c r="C176" i="18"/>
  <c r="B180" i="13"/>
  <c r="AA65" i="10"/>
  <c r="E33" i="6"/>
  <c r="D6" i="27" s="1"/>
  <c r="D11" i="27" s="1"/>
  <c r="F50" i="7"/>
  <c r="U84" i="13"/>
  <c r="G133" i="13"/>
  <c r="U150" i="13" s="1"/>
  <c r="D18" i="11"/>
  <c r="F18" i="11" s="1"/>
  <c r="C19" i="11"/>
  <c r="B19" i="11"/>
  <c r="BT11" i="9"/>
  <c r="AP2" i="11"/>
  <c r="C133" i="14"/>
  <c r="C155" i="14"/>
  <c r="C28" i="14"/>
  <c r="C50" i="14"/>
  <c r="C132" i="14"/>
  <c r="C154" i="14"/>
  <c r="C248" i="14"/>
  <c r="C45" i="14"/>
  <c r="C23" i="14"/>
  <c r="C47" i="14"/>
  <c r="C25" i="14"/>
  <c r="CJ59" i="10"/>
  <c r="AM191" i="9"/>
  <c r="AC192" i="9"/>
  <c r="AY113" i="10"/>
  <c r="BI13" i="9"/>
  <c r="BS13" i="9"/>
  <c r="J114" i="7"/>
  <c r="AB25" i="12"/>
  <c r="B151" i="7"/>
  <c r="D112" i="7"/>
  <c r="BW22" i="12"/>
  <c r="AV22" i="12"/>
  <c r="C31" i="17"/>
  <c r="D106" i="7"/>
  <c r="B145" i="7"/>
  <c r="AI23" i="12"/>
  <c r="B150" i="7"/>
  <c r="D111" i="7"/>
  <c r="F105" i="7"/>
  <c r="F145" i="7"/>
  <c r="F144" i="7" s="1"/>
  <c r="O25" i="18"/>
  <c r="B11" i="2"/>
  <c r="J145" i="7"/>
  <c r="J144" i="7" s="1"/>
  <c r="J105" i="7"/>
  <c r="G26" i="12"/>
  <c r="L26" i="12"/>
  <c r="M26" i="12" s="1"/>
  <c r="BM22" i="12"/>
  <c r="C39" i="17"/>
  <c r="D26" i="16" s="1"/>
  <c r="AC23" i="12"/>
  <c r="W25" i="12"/>
  <c r="E22" i="12"/>
  <c r="V28" i="12"/>
  <c r="A134" i="18"/>
  <c r="A40" i="25"/>
  <c r="A35" i="23"/>
  <c r="A219" i="18"/>
  <c r="C114" i="18"/>
  <c r="C167" i="17"/>
  <c r="D197" i="18"/>
  <c r="C118" i="18"/>
  <c r="B101" i="17"/>
  <c r="D168" i="17"/>
  <c r="E49" i="16" s="1"/>
  <c r="C202" i="18"/>
  <c r="F95" i="17"/>
  <c r="D102" i="17"/>
  <c r="E38" i="16" s="1"/>
  <c r="E115" i="18"/>
  <c r="E75" i="25" s="1"/>
  <c r="F39" i="17"/>
  <c r="D25" i="17"/>
  <c r="E36" i="18" s="1"/>
  <c r="E27" i="25" s="1"/>
  <c r="C52" i="15"/>
  <c r="C35" i="15"/>
  <c r="D58" i="5"/>
  <c r="D75" i="7"/>
  <c r="D54" i="6"/>
  <c r="K60" i="10"/>
  <c r="BL39" i="10"/>
  <c r="AY40" i="10"/>
  <c r="BA35" i="10"/>
  <c r="V39" i="10"/>
  <c r="BA105" i="9"/>
  <c r="B94" i="5"/>
  <c r="A4" i="20"/>
  <c r="B78" i="6"/>
  <c r="CC21" i="10"/>
  <c r="BZ21" i="10"/>
  <c r="AJ40" i="10"/>
  <c r="AK35" i="10"/>
  <c r="L30" i="10"/>
  <c r="M25" i="10"/>
  <c r="H265" i="6"/>
  <c r="I247" i="6"/>
  <c r="E122" i="15"/>
  <c r="E123" i="15"/>
  <c r="D10" i="4"/>
  <c r="F10" i="4" s="1"/>
  <c r="M13" i="14"/>
  <c r="DF20" i="10"/>
  <c r="F1" i="13"/>
  <c r="F67" i="13" s="1"/>
  <c r="K4" i="16"/>
  <c r="M16" i="11"/>
  <c r="O16" i="11" s="1"/>
  <c r="L17" i="11"/>
  <c r="K17" i="11"/>
  <c r="CM123" i="10"/>
  <c r="G36" i="16"/>
  <c r="H32" i="16"/>
  <c r="H48" i="18" s="1"/>
  <c r="H39" i="25" s="1"/>
  <c r="T105" i="9"/>
  <c r="AF105" i="9"/>
  <c r="BA19" i="9"/>
  <c r="BN16" i="9" s="1"/>
  <c r="BG29" i="10"/>
  <c r="BI28" i="10"/>
  <c r="X39" i="10"/>
  <c r="AI60" i="10"/>
  <c r="Y20" i="9"/>
  <c r="O21" i="9"/>
  <c r="BG45" i="10"/>
  <c r="BJ21" i="10"/>
  <c r="BM21" i="10"/>
  <c r="AK16" i="9"/>
  <c r="AL16" i="9" s="1"/>
  <c r="AN16" i="9"/>
  <c r="AG17" i="9" s="1"/>
  <c r="H47" i="17"/>
  <c r="CB117" i="10"/>
  <c r="C268" i="6"/>
  <c r="C321" i="5"/>
  <c r="B166" i="17"/>
  <c r="Q190" i="9"/>
  <c r="BO133" i="10"/>
  <c r="B88" i="6"/>
  <c r="B108" i="5"/>
  <c r="A12" i="20"/>
  <c r="AR27" i="12"/>
  <c r="AS27" i="12" s="1"/>
  <c r="J176" i="6"/>
  <c r="B183" i="13"/>
  <c r="B195" i="13" s="1"/>
  <c r="C178" i="18"/>
  <c r="C27" i="10"/>
  <c r="D26" i="10"/>
  <c r="D27" i="10" s="1"/>
  <c r="D28" i="10" s="1"/>
  <c r="H209" i="15"/>
  <c r="E12" i="4"/>
  <c r="B163" i="13"/>
  <c r="CR186" i="10"/>
  <c r="C43" i="25"/>
  <c r="AG3" i="11"/>
  <c r="E18" i="11"/>
  <c r="D2" i="25"/>
  <c r="C2" i="24" s="1"/>
  <c r="D69" i="18"/>
  <c r="D17" i="18"/>
  <c r="D47" i="18"/>
  <c r="C26" i="14"/>
  <c r="C48" i="14"/>
  <c r="C252" i="14"/>
  <c r="C53" i="14"/>
  <c r="C31" i="14"/>
  <c r="C255" i="14"/>
  <c r="C51" i="14"/>
  <c r="C29" i="14"/>
  <c r="C247" i="14"/>
  <c r="C251" i="14"/>
  <c r="C128" i="14"/>
  <c r="C150" i="14"/>
  <c r="C254" i="14"/>
  <c r="C24" i="14"/>
  <c r="C46" i="14"/>
  <c r="AN142" i="10"/>
  <c r="D50" i="10"/>
  <c r="AB26" i="10"/>
  <c r="AB27" i="10" s="1"/>
  <c r="AB28" i="10" s="1"/>
  <c r="AA27" i="10"/>
  <c r="F115" i="7"/>
  <c r="F114" i="7" s="1"/>
  <c r="B141" i="7"/>
  <c r="D102" i="7"/>
  <c r="B101" i="7"/>
  <c r="J141" i="7"/>
  <c r="J140" i="7" s="1"/>
  <c r="J101" i="7"/>
  <c r="AC24" i="12"/>
  <c r="B191" i="17"/>
  <c r="BT22" i="12"/>
  <c r="O50" i="18"/>
  <c r="C41" i="25"/>
  <c r="C29" i="18"/>
  <c r="BT24" i="12"/>
  <c r="BU24" i="12" s="1"/>
  <c r="O220" i="18"/>
  <c r="C149" i="25"/>
  <c r="AI27" i="12"/>
  <c r="W27" i="12"/>
  <c r="E25" i="12"/>
  <c r="W23" i="12"/>
  <c r="B146" i="7"/>
  <c r="D107" i="7"/>
  <c r="BM26" i="12"/>
  <c r="BT26" i="12"/>
  <c r="BU26" i="12" s="1"/>
  <c r="B143" i="7"/>
  <c r="D104" i="7"/>
  <c r="BS27" i="12"/>
  <c r="E26" i="12"/>
  <c r="C25" i="17"/>
  <c r="D36" i="18" s="1"/>
  <c r="D27" i="25" s="1"/>
  <c r="E78" i="17"/>
  <c r="F96" i="17"/>
  <c r="D94" i="17"/>
  <c r="C102" i="17"/>
  <c r="B153" i="17"/>
  <c r="E90" i="17"/>
  <c r="C159" i="17"/>
  <c r="C199" i="18"/>
  <c r="D101" i="17"/>
  <c r="E112" i="18" s="1"/>
  <c r="G34" i="17"/>
  <c r="B102" i="17"/>
  <c r="D167" i="17"/>
  <c r="E197" i="18"/>
  <c r="E27" i="17"/>
  <c r="E25" i="17" s="1"/>
  <c r="F36" i="18" s="1"/>
  <c r="F27" i="25" s="1"/>
  <c r="D39" i="17"/>
  <c r="G12" i="17"/>
  <c r="P1" i="16"/>
  <c r="L25" i="7"/>
  <c r="C81" i="15"/>
  <c r="D38" i="15"/>
  <c r="C68" i="15"/>
  <c r="C44" i="15"/>
  <c r="C148" i="10"/>
  <c r="K106" i="9"/>
  <c r="A107" i="9"/>
  <c r="AL29" i="10"/>
  <c r="C10" i="20"/>
  <c r="C6" i="20" s="1"/>
  <c r="C20" i="20" s="1"/>
  <c r="Z56" i="7"/>
  <c r="Z70" i="7" s="1"/>
  <c r="G303" i="5"/>
  <c r="G250" i="6"/>
  <c r="F100" i="17"/>
  <c r="F140" i="17"/>
  <c r="AN49" i="10"/>
  <c r="D122" i="15"/>
  <c r="D123" i="15"/>
  <c r="P105" i="9"/>
  <c r="AZ29" i="10"/>
  <c r="BA29" i="10" s="1"/>
  <c r="BA31" i="10" s="1"/>
  <c r="BA28" i="10"/>
  <c r="CF21" i="12"/>
  <c r="CF41" i="12" s="1"/>
  <c r="CF61" i="12" s="1"/>
  <c r="DG88" i="10"/>
  <c r="DG157" i="10" s="1"/>
  <c r="D56" i="15"/>
  <c r="D57" i="15"/>
  <c r="D55" i="15"/>
  <c r="D129" i="15"/>
  <c r="D54" i="15"/>
  <c r="D53" i="15"/>
  <c r="C32" i="14"/>
  <c r="C54" i="14"/>
  <c r="C52" i="14"/>
  <c r="C30" i="14"/>
  <c r="C256" i="14"/>
  <c r="E189" i="9"/>
  <c r="BB188" i="9"/>
  <c r="D115" i="7"/>
  <c r="C95" i="25"/>
  <c r="B142" i="7"/>
  <c r="D103" i="7"/>
  <c r="G25" i="12"/>
  <c r="BS22" i="12"/>
  <c r="B25" i="17"/>
  <c r="B124" i="17"/>
  <c r="B125" i="17"/>
  <c r="F101" i="7"/>
  <c r="F141" i="7"/>
  <c r="F140" i="7" s="1"/>
  <c r="C33" i="18"/>
  <c r="A228" i="18"/>
  <c r="A143" i="18"/>
  <c r="A49" i="25"/>
  <c r="B87" i="17"/>
  <c r="C101" i="17"/>
  <c r="D112" i="18" s="1"/>
  <c r="D89" i="17"/>
  <c r="B167" i="17"/>
  <c r="C197" i="18" s="1"/>
  <c r="D40" i="17"/>
  <c r="E27" i="16" s="1"/>
  <c r="C60" i="17"/>
  <c r="D49" i="18" s="1"/>
  <c r="D40" i="25" s="1"/>
  <c r="C61" i="17"/>
  <c r="F60" i="17" s="1"/>
  <c r="G49" i="18" s="1"/>
  <c r="G40" i="25" s="1"/>
  <c r="C87" i="17"/>
  <c r="D121" i="18" s="1"/>
  <c r="D81" i="25" s="1"/>
  <c r="C117" i="18"/>
  <c r="E39" i="17"/>
  <c r="F26" i="16" s="1"/>
  <c r="C93" i="17"/>
  <c r="B93" i="17"/>
  <c r="C168" i="17"/>
  <c r="D49" i="16" s="1"/>
  <c r="E40" i="17"/>
  <c r="F27" i="16" s="1"/>
  <c r="C40" i="17"/>
  <c r="D27" i="16" s="1"/>
  <c r="H113" i="15"/>
  <c r="J7" i="1"/>
  <c r="K8" i="1"/>
  <c r="C39" i="15"/>
  <c r="D36" i="15"/>
  <c r="C79" i="15"/>
  <c r="C42" i="15"/>
  <c r="C66" i="15"/>
  <c r="D48" i="18"/>
  <c r="AI138" i="10"/>
  <c r="AM22" i="9"/>
  <c r="AC23" i="9"/>
  <c r="AY31" i="10"/>
  <c r="AT34" i="10"/>
  <c r="U45" i="10"/>
  <c r="S50" i="10"/>
  <c r="G251" i="6"/>
  <c r="H233" i="6"/>
  <c r="F47" i="17"/>
  <c r="CE60" i="10"/>
  <c r="E74" i="17"/>
  <c r="F20" i="14"/>
  <c r="F4" i="22"/>
  <c r="E38" i="17"/>
  <c r="E43" i="17" s="1"/>
  <c r="E48" i="17" s="1"/>
  <c r="E56" i="17"/>
  <c r="F25" i="16"/>
  <c r="E186" i="17"/>
  <c r="F10" i="18"/>
  <c r="E120" i="17"/>
  <c r="P2" i="17"/>
  <c r="AF2" i="11"/>
  <c r="F232" i="6"/>
  <c r="F32" i="15"/>
  <c r="G2" i="25"/>
  <c r="F2" i="24" s="1"/>
  <c r="G47" i="18"/>
  <c r="G69" i="18"/>
  <c r="G17" i="18"/>
  <c r="G9" i="25" s="1"/>
  <c r="G175" i="6"/>
  <c r="Z26" i="12"/>
  <c r="AA26" i="12" s="1"/>
  <c r="AB26" i="12" s="1"/>
  <c r="O107" i="9"/>
  <c r="Y106" i="9"/>
  <c r="BO40" i="10"/>
  <c r="BQ35" i="10"/>
  <c r="H59" i="10"/>
  <c r="AL26" i="12"/>
  <c r="AM26" i="12" s="1"/>
  <c r="AN26" i="12" s="1"/>
  <c r="I175" i="6"/>
  <c r="X190" i="9"/>
  <c r="H242" i="6"/>
  <c r="G260" i="6"/>
  <c r="M216" i="14"/>
  <c r="C175" i="18"/>
  <c r="I246" i="6"/>
  <c r="H264" i="6"/>
  <c r="H239" i="6"/>
  <c r="G257" i="6"/>
  <c r="G248" i="6"/>
  <c r="F266" i="6"/>
  <c r="BW65" i="10"/>
  <c r="T29" i="12"/>
  <c r="U29" i="12" s="1"/>
  <c r="V29" i="12" s="1"/>
  <c r="F178" i="6"/>
  <c r="AA92" i="7"/>
  <c r="AA95" i="7" s="1"/>
  <c r="BA27" i="10"/>
  <c r="D203" i="28"/>
  <c r="E203" i="28" s="1"/>
  <c r="M115" i="14"/>
  <c r="C177" i="18"/>
  <c r="G245" i="6"/>
  <c r="F263" i="6"/>
  <c r="CP39" i="10"/>
  <c r="AE2" i="11"/>
  <c r="E32" i="15"/>
  <c r="E20" i="14"/>
  <c r="P1" i="17"/>
  <c r="D74" i="17"/>
  <c r="D120" i="17"/>
  <c r="D123" i="17" s="1"/>
  <c r="E25" i="16"/>
  <c r="D38" i="17"/>
  <c r="D43" i="17" s="1"/>
  <c r="D56" i="17"/>
  <c r="E232" i="6"/>
  <c r="E4" i="22"/>
  <c r="D186" i="17"/>
  <c r="D189" i="17" s="1"/>
  <c r="E10" i="18"/>
  <c r="B174" i="6"/>
  <c r="B190" i="6" s="1"/>
  <c r="B206" i="6" s="1"/>
  <c r="B8" i="3"/>
  <c r="B203" i="5"/>
  <c r="B219" i="5" s="1"/>
  <c r="B235" i="5" s="1"/>
  <c r="BF17" i="9"/>
  <c r="BF29" i="9" s="1"/>
  <c r="BF41" i="9" s="1"/>
  <c r="BF53" i="9" s="1"/>
  <c r="BF65" i="9" s="1"/>
  <c r="BF77" i="9" s="1"/>
  <c r="A39" i="10"/>
  <c r="A107" i="10" s="1"/>
  <c r="A176" i="10" s="1"/>
  <c r="A26" i="12"/>
  <c r="A46" i="12" s="1"/>
  <c r="A66" i="12" s="1"/>
  <c r="BA2" i="11"/>
  <c r="CQ11" i="9" s="1"/>
  <c r="DC11" i="9" s="1"/>
  <c r="DO11" i="9" s="1"/>
  <c r="EA11" i="9" s="1"/>
  <c r="CE11" i="9"/>
  <c r="D250" i="6"/>
  <c r="D303" i="5"/>
  <c r="C140" i="17"/>
  <c r="C100" i="17"/>
  <c r="D51" i="22"/>
  <c r="D7" i="22"/>
  <c r="C147" i="14"/>
  <c r="C125" i="14"/>
  <c r="C253" i="14"/>
  <c r="C127" i="14"/>
  <c r="C149" i="14"/>
  <c r="C153" i="14"/>
  <c r="C131" i="14"/>
  <c r="C152" i="14"/>
  <c r="C130" i="14"/>
  <c r="C126" i="14"/>
  <c r="C148" i="14"/>
  <c r="C124" i="14"/>
  <c r="C146" i="14"/>
  <c r="AF59" i="10"/>
  <c r="BT59" i="10"/>
  <c r="F103" i="9"/>
  <c r="AV103" i="9" s="1"/>
  <c r="G103" i="9"/>
  <c r="AU103" i="9"/>
  <c r="Z16" i="9"/>
  <c r="W16" i="9"/>
  <c r="X16" i="9" s="1"/>
  <c r="A60" i="30"/>
  <c r="A30" i="30"/>
  <c r="A45" i="30" s="1"/>
  <c r="A11" i="30"/>
  <c r="A75" i="30"/>
  <c r="AY188" i="9"/>
  <c r="J188" i="9"/>
  <c r="AZ188" i="9" s="1"/>
  <c r="B50" i="17"/>
  <c r="B49" i="17"/>
  <c r="AJ22" i="12"/>
  <c r="BT28" i="12"/>
  <c r="BU28" i="12" s="1"/>
  <c r="AP22" i="12"/>
  <c r="Q22" i="12"/>
  <c r="B149" i="7"/>
  <c r="D110" i="7"/>
  <c r="F22" i="12"/>
  <c r="D27" i="12"/>
  <c r="X22" i="12"/>
  <c r="N21" i="17"/>
  <c r="B15" i="28" s="1"/>
  <c r="C32" i="18"/>
  <c r="B116" i="7"/>
  <c r="D116" i="7" s="1"/>
  <c r="B61" i="17"/>
  <c r="E61" i="17" s="1"/>
  <c r="B60" i="17"/>
  <c r="G24" i="12"/>
  <c r="P24" i="12"/>
  <c r="BW24" i="12" s="1"/>
  <c r="B147" i="7"/>
  <c r="D108" i="7"/>
  <c r="W22" i="12"/>
  <c r="BC22" i="12"/>
  <c r="B31" i="17"/>
  <c r="BW23" i="12"/>
  <c r="B152" i="7"/>
  <c r="D113" i="7"/>
  <c r="D153" i="17"/>
  <c r="E206" i="18" s="1"/>
  <c r="E135" i="25" s="1"/>
  <c r="E88" i="17"/>
  <c r="B168" i="17"/>
  <c r="B40" i="17"/>
  <c r="B159" i="17"/>
  <c r="C153" i="17"/>
  <c r="D206" i="18" s="1"/>
  <c r="D135" i="25" s="1"/>
  <c r="C203" i="18"/>
  <c r="D97" i="17"/>
  <c r="D31" i="17"/>
  <c r="E91" i="17"/>
  <c r="F28" i="17"/>
  <c r="D60" i="17"/>
  <c r="E49" i="18" s="1"/>
  <c r="E40" i="25" s="1"/>
  <c r="D61" i="17"/>
  <c r="G61" i="17" s="1"/>
  <c r="J60" i="17" s="1"/>
  <c r="K49" i="18" s="1"/>
  <c r="K40" i="25" s="1"/>
  <c r="B39" i="17"/>
  <c r="C27" i="18" s="1"/>
  <c r="I243" i="6" l="1"/>
  <c r="H261" i="6"/>
  <c r="G30" i="17"/>
  <c r="BY23" i="12"/>
  <c r="CC23" i="12" s="1"/>
  <c r="D49" i="13" s="1"/>
  <c r="D27" i="18"/>
  <c r="L273" i="6"/>
  <c r="K150" i="17" s="1"/>
  <c r="K84" i="17"/>
  <c r="L118" i="18" s="1"/>
  <c r="L78" i="25" s="1"/>
  <c r="T26" i="10"/>
  <c r="T27" i="10" s="1"/>
  <c r="T28" i="10" s="1"/>
  <c r="S27" i="10"/>
  <c r="P191" i="9"/>
  <c r="N237" i="6"/>
  <c r="M255" i="6"/>
  <c r="L22" i="17"/>
  <c r="M33" i="18" s="1"/>
  <c r="M24" i="25" s="1"/>
  <c r="AC26" i="10"/>
  <c r="BA28" i="12"/>
  <c r="BB28" i="12"/>
  <c r="BC28" i="12" s="1"/>
  <c r="N47" i="17"/>
  <c r="K178" i="6"/>
  <c r="AX29" i="12"/>
  <c r="AY29" i="12" s="1"/>
  <c r="AZ29" i="12" s="1"/>
  <c r="E83" i="17"/>
  <c r="F117" i="18" s="1"/>
  <c r="F77" i="25" s="1"/>
  <c r="F272" i="6"/>
  <c r="E149" i="17" s="1"/>
  <c r="F202" i="18" s="1"/>
  <c r="F131" i="25" s="1"/>
  <c r="G254" i="6"/>
  <c r="BP29" i="12"/>
  <c r="BQ29" i="12" s="1"/>
  <c r="BR29" i="12" s="1"/>
  <c r="N178" i="6"/>
  <c r="G279" i="6"/>
  <c r="F158" i="17" s="1"/>
  <c r="F92" i="17"/>
  <c r="G213" i="15"/>
  <c r="H213" i="15" s="1"/>
  <c r="G212" i="15"/>
  <c r="H212" i="15" s="1"/>
  <c r="AC22" i="10"/>
  <c r="AC23" i="10" s="1"/>
  <c r="AH21" i="10"/>
  <c r="E200" i="18"/>
  <c r="E129" i="25" s="1"/>
  <c r="H219" i="15"/>
  <c r="BC13" i="11"/>
  <c r="W16" i="11"/>
  <c r="B28" i="3"/>
  <c r="A28" i="3" s="1"/>
  <c r="A16" i="3"/>
  <c r="L252" i="6"/>
  <c r="M234" i="6"/>
  <c r="K18" i="17"/>
  <c r="AS17" i="9"/>
  <c r="D17" i="9"/>
  <c r="AT17" i="9" s="1"/>
  <c r="CF40" i="10"/>
  <c r="CG35" i="10"/>
  <c r="CH34" i="10" s="1"/>
  <c r="C154" i="18"/>
  <c r="C166" i="18" s="1"/>
  <c r="C181" i="18" s="1"/>
  <c r="C103" i="18"/>
  <c r="C63" i="25" s="1"/>
  <c r="C56" i="25"/>
  <c r="C132" i="18"/>
  <c r="C92" i="25" s="1"/>
  <c r="D52" i="18"/>
  <c r="D43" i="25" s="1"/>
  <c r="AD5" i="11"/>
  <c r="AE5" i="11" s="1"/>
  <c r="R187" i="5"/>
  <c r="C54" i="22"/>
  <c r="C98" i="22"/>
  <c r="C101" i="22" s="1"/>
  <c r="BG26" i="12"/>
  <c r="BH26" i="12"/>
  <c r="BI26" i="12" s="1"/>
  <c r="Z15" i="11"/>
  <c r="Y15" i="11" s="1"/>
  <c r="BB14" i="11"/>
  <c r="BB15" i="11" s="1"/>
  <c r="I16" i="9"/>
  <c r="J16" i="9" s="1"/>
  <c r="L16" i="9"/>
  <c r="E17" i="9" s="1"/>
  <c r="E60" i="17"/>
  <c r="F49" i="18" s="1"/>
  <c r="F40" i="25" s="1"/>
  <c r="F30" i="18"/>
  <c r="F21" i="25" s="1"/>
  <c r="E30" i="18"/>
  <c r="E21" i="25" s="1"/>
  <c r="B114" i="7"/>
  <c r="B117" i="7" s="1"/>
  <c r="D52" i="15"/>
  <c r="F49" i="17"/>
  <c r="H58" i="18" s="1"/>
  <c r="H49" i="25" s="1"/>
  <c r="F271" i="6"/>
  <c r="E147" i="17" s="1"/>
  <c r="E81" i="17"/>
  <c r="CN29" i="10"/>
  <c r="L26" i="10"/>
  <c r="L27" i="10" s="1"/>
  <c r="L28" i="10" s="1"/>
  <c r="K27" i="10"/>
  <c r="K270" i="6"/>
  <c r="J146" i="17" s="1"/>
  <c r="J80" i="17"/>
  <c r="AC30" i="10"/>
  <c r="AD29" i="10" s="1"/>
  <c r="AB35" i="10"/>
  <c r="H122" i="15"/>
  <c r="BX23" i="12"/>
  <c r="CC24" i="12" s="1"/>
  <c r="C149" i="15"/>
  <c r="T17" i="11"/>
  <c r="U17" i="11"/>
  <c r="V16" i="11"/>
  <c r="X16" i="11" s="1"/>
  <c r="G115" i="15"/>
  <c r="G116" i="15"/>
  <c r="H116" i="15" s="1"/>
  <c r="F19" i="17"/>
  <c r="F40" i="17" s="1"/>
  <c r="G27" i="16" s="1"/>
  <c r="G253" i="6"/>
  <c r="H235" i="6"/>
  <c r="L176" i="6"/>
  <c r="BD27" i="12"/>
  <c r="BE27" i="12" s="1"/>
  <c r="BF27" i="12" s="1"/>
  <c r="CO27" i="10"/>
  <c r="CS24" i="10" s="1"/>
  <c r="CT24" i="10" s="1"/>
  <c r="CM28" i="10"/>
  <c r="CM29" i="10" s="1"/>
  <c r="C45" i="10"/>
  <c r="E40" i="10"/>
  <c r="F39" i="10" s="1"/>
  <c r="BW28" i="10"/>
  <c r="BW29" i="10" s="1"/>
  <c r="BY27" i="10"/>
  <c r="CC24" i="10" s="1"/>
  <c r="CD24" i="10" s="1"/>
  <c r="BS14" i="9"/>
  <c r="BK13" i="9"/>
  <c r="C219" i="5"/>
  <c r="C235" i="5" s="1"/>
  <c r="C204" i="5"/>
  <c r="C87" i="5"/>
  <c r="C75" i="6"/>
  <c r="AQ22" i="12"/>
  <c r="D87" i="17"/>
  <c r="E121" i="18" s="1"/>
  <c r="E81" i="25" s="1"/>
  <c r="E26" i="16"/>
  <c r="E27" i="18"/>
  <c r="AC27" i="10"/>
  <c r="AA28" i="10"/>
  <c r="AA29" i="10" s="1"/>
  <c r="A34" i="10"/>
  <c r="A102" i="10" s="1"/>
  <c r="A171" i="10" s="1"/>
  <c r="A25" i="12"/>
  <c r="A45" i="12" s="1"/>
  <c r="A65" i="12" s="1"/>
  <c r="B173" i="6"/>
  <c r="B189" i="6" s="1"/>
  <c r="B205" i="6" s="1"/>
  <c r="BF16" i="9"/>
  <c r="BF28" i="9" s="1"/>
  <c r="BF40" i="9" s="1"/>
  <c r="BF52" i="9" s="1"/>
  <c r="BF64" i="9" s="1"/>
  <c r="BF76" i="9" s="1"/>
  <c r="B202" i="5"/>
  <c r="B218" i="5" s="1"/>
  <c r="B234" i="5" s="1"/>
  <c r="B7" i="3"/>
  <c r="C18" i="25"/>
  <c r="C49" i="16"/>
  <c r="C200" i="18"/>
  <c r="D12" i="26"/>
  <c r="B110" i="31" s="1"/>
  <c r="E108" i="7"/>
  <c r="H108" i="7" s="1"/>
  <c r="B129" i="7"/>
  <c r="C49" i="18"/>
  <c r="B131" i="7"/>
  <c r="E110" i="7"/>
  <c r="H110" i="7" s="1"/>
  <c r="D14" i="26"/>
  <c r="B112" i="31" s="1"/>
  <c r="F53" i="13"/>
  <c r="N61" i="13"/>
  <c r="K58" i="13"/>
  <c r="E52" i="13"/>
  <c r="D51" i="13"/>
  <c r="C128" i="13"/>
  <c r="I56" i="13"/>
  <c r="G54" i="13"/>
  <c r="H55" i="13"/>
  <c r="M60" i="13"/>
  <c r="L59" i="13"/>
  <c r="J57" i="13"/>
  <c r="D131" i="14"/>
  <c r="C165" i="14"/>
  <c r="D191" i="17"/>
  <c r="D190" i="17"/>
  <c r="G32" i="16"/>
  <c r="G48" i="18" s="1"/>
  <c r="G39" i="25" s="1"/>
  <c r="F36" i="16"/>
  <c r="F121" i="14"/>
  <c r="AI143" i="10"/>
  <c r="C77" i="25"/>
  <c r="G60" i="17"/>
  <c r="H49" i="18" s="1"/>
  <c r="H40" i="25" s="1"/>
  <c r="A157" i="25"/>
  <c r="A103" i="25"/>
  <c r="C134" i="18"/>
  <c r="F189" i="9"/>
  <c r="AV189" i="9" s="1"/>
  <c r="AU189" i="9"/>
  <c r="G189" i="9"/>
  <c r="D101" i="7"/>
  <c r="D5" i="26"/>
  <c r="E102" i="7"/>
  <c r="B123" i="7"/>
  <c r="AT27" i="12"/>
  <c r="O22" i="9"/>
  <c r="Y21" i="9"/>
  <c r="BB2" i="11"/>
  <c r="CR11" i="9" s="1"/>
  <c r="DD11" i="9" s="1"/>
  <c r="DP11" i="9" s="1"/>
  <c r="EB11" i="9" s="1"/>
  <c r="CF11" i="9"/>
  <c r="D220" i="5"/>
  <c r="D236" i="5" s="1"/>
  <c r="D205" i="5"/>
  <c r="BY30" i="10"/>
  <c r="BX35" i="10"/>
  <c r="E48" i="18"/>
  <c r="E39" i="25" s="1"/>
  <c r="CD21" i="12"/>
  <c r="CD41" i="12" s="1"/>
  <c r="CD61" i="12" s="1"/>
  <c r="DE88" i="10"/>
  <c r="DE157" i="10" s="1"/>
  <c r="E175" i="6"/>
  <c r="N26" i="12"/>
  <c r="O26" i="12" s="1"/>
  <c r="F190" i="17"/>
  <c r="G219" i="18" s="1"/>
  <c r="G148" i="25" s="1"/>
  <c r="F191" i="17"/>
  <c r="E113" i="7"/>
  <c r="H113" i="7" s="1"/>
  <c r="D17" i="26"/>
  <c r="B115" i="31" s="1"/>
  <c r="B134" i="7"/>
  <c r="C37" i="18"/>
  <c r="Y22" i="12"/>
  <c r="D148" i="14"/>
  <c r="E11" i="4"/>
  <c r="H112" i="15"/>
  <c r="D122" i="18"/>
  <c r="D82" i="25" s="1"/>
  <c r="C126" i="25"/>
  <c r="D72" i="25"/>
  <c r="BA106" i="9"/>
  <c r="E126" i="25"/>
  <c r="J61" i="17"/>
  <c r="O41" i="25"/>
  <c r="B8" i="2"/>
  <c r="B36" i="23"/>
  <c r="G26" i="16"/>
  <c r="G27" i="18"/>
  <c r="BA191" i="9"/>
  <c r="B22" i="29"/>
  <c r="BA20" i="9"/>
  <c r="BN17" i="9" s="1"/>
  <c r="C138" i="15"/>
  <c r="C162" i="15"/>
  <c r="C175" i="15"/>
  <c r="D132" i="15"/>
  <c r="C73" i="15"/>
  <c r="C27" i="16"/>
  <c r="C30" i="18"/>
  <c r="D58" i="18"/>
  <c r="D105" i="17"/>
  <c r="C107" i="17"/>
  <c r="C112" i="17" s="1"/>
  <c r="M215" i="14"/>
  <c r="D12" i="4"/>
  <c r="F12" i="4" s="1"/>
  <c r="BR34" i="10"/>
  <c r="Y107" i="9"/>
  <c r="O108" i="9"/>
  <c r="G38" i="25"/>
  <c r="G46" i="18"/>
  <c r="G37" i="25" s="1"/>
  <c r="AR2" i="11"/>
  <c r="BV11" i="9"/>
  <c r="F51" i="22"/>
  <c r="F7" i="22"/>
  <c r="C121" i="18"/>
  <c r="D226" i="15"/>
  <c r="D153" i="15"/>
  <c r="D154" i="15"/>
  <c r="D150" i="15"/>
  <c r="D152" i="15"/>
  <c r="D151" i="15"/>
  <c r="C38" i="16"/>
  <c r="C115" i="18"/>
  <c r="D247" i="14"/>
  <c r="C246" i="14"/>
  <c r="CM128" i="10"/>
  <c r="H283" i="6"/>
  <c r="G162" i="17" s="1"/>
  <c r="G96" i="17"/>
  <c r="D2" i="8"/>
  <c r="D13" i="29"/>
  <c r="D15" i="29" s="1"/>
  <c r="C189" i="18"/>
  <c r="D249" i="14"/>
  <c r="J95" i="25"/>
  <c r="O135" i="18"/>
  <c r="C18" i="18"/>
  <c r="B13" i="29"/>
  <c r="B15" i="29" s="1"/>
  <c r="B2" i="8"/>
  <c r="F61" i="17"/>
  <c r="H60" i="17"/>
  <c r="I49" i="18" s="1"/>
  <c r="I40" i="25" s="1"/>
  <c r="H61" i="17"/>
  <c r="C145" i="14"/>
  <c r="D146" i="14"/>
  <c r="D126" i="14"/>
  <c r="C160" i="14"/>
  <c r="D54" i="22"/>
  <c r="D98" i="22"/>
  <c r="D101" i="22" s="1"/>
  <c r="H245" i="6"/>
  <c r="G263" i="6"/>
  <c r="F32" i="17"/>
  <c r="H248" i="6"/>
  <c r="G266" i="6"/>
  <c r="F35" i="17"/>
  <c r="I264" i="6"/>
  <c r="J246" i="6"/>
  <c r="H33" i="17"/>
  <c r="H64" i="10"/>
  <c r="CE65" i="10"/>
  <c r="G269" i="6"/>
  <c r="F144" i="17" s="1"/>
  <c r="F78" i="17"/>
  <c r="V44" i="10"/>
  <c r="D39" i="25"/>
  <c r="B124" i="7"/>
  <c r="E103" i="7"/>
  <c r="H103" i="7" s="1"/>
  <c r="D6" i="26"/>
  <c r="B104" i="31" s="1"/>
  <c r="F107" i="17"/>
  <c r="F112" i="17" s="1"/>
  <c r="G105" i="17"/>
  <c r="C1" i="8"/>
  <c r="C21" i="20"/>
  <c r="D68" i="15"/>
  <c r="E38" i="15"/>
  <c r="D81" i="15"/>
  <c r="D44" i="15"/>
  <c r="H10" i="18"/>
  <c r="G120" i="17"/>
  <c r="G123" i="17" s="1"/>
  <c r="H20" i="14"/>
  <c r="G56" i="17"/>
  <c r="H4" i="22"/>
  <c r="G38" i="17"/>
  <c r="G43" i="17" s="1"/>
  <c r="H32" i="15"/>
  <c r="AH2" i="11"/>
  <c r="G74" i="17"/>
  <c r="H25" i="16"/>
  <c r="G186" i="17"/>
  <c r="G189" i="17" s="1"/>
  <c r="P4" i="17"/>
  <c r="H232" i="6"/>
  <c r="C65" i="14"/>
  <c r="C76" i="14" s="1"/>
  <c r="D31" i="14"/>
  <c r="D126" i="25"/>
  <c r="S17" i="9"/>
  <c r="BB16" i="9"/>
  <c r="D152" i="14"/>
  <c r="A8" i="3"/>
  <c r="B20" i="3"/>
  <c r="E7" i="22"/>
  <c r="E51" i="22"/>
  <c r="E36" i="16"/>
  <c r="E121" i="14"/>
  <c r="G275" i="6"/>
  <c r="F154" i="17" s="1"/>
  <c r="F88" i="17"/>
  <c r="I242" i="6"/>
  <c r="H260" i="6"/>
  <c r="G29" i="17"/>
  <c r="I233" i="6"/>
  <c r="H251" i="6"/>
  <c r="G16" i="17"/>
  <c r="D39" i="15"/>
  <c r="C69" i="15"/>
  <c r="C82" i="15"/>
  <c r="C45" i="15"/>
  <c r="H12" i="17"/>
  <c r="N25" i="7"/>
  <c r="Q1" i="16"/>
  <c r="D37" i="16"/>
  <c r="C103" i="17"/>
  <c r="C24" i="25"/>
  <c r="D20" i="26"/>
  <c r="E115" i="7"/>
  <c r="D114" i="7"/>
  <c r="Q105" i="9"/>
  <c r="D207" i="18"/>
  <c r="D136" i="25" s="1"/>
  <c r="D38" i="16"/>
  <c r="D115" i="18"/>
  <c r="D75" i="25" s="1"/>
  <c r="C162" i="14"/>
  <c r="D128" i="14"/>
  <c r="AL34" i="10"/>
  <c r="AY45" i="10"/>
  <c r="BA40" i="10"/>
  <c r="C37" i="16"/>
  <c r="B103" i="17"/>
  <c r="C112" i="18"/>
  <c r="C74" i="25"/>
  <c r="D18" i="25"/>
  <c r="E106" i="7"/>
  <c r="B127" i="7"/>
  <c r="D10" i="26"/>
  <c r="D28" i="14"/>
  <c r="C73" i="14"/>
  <c r="C62" i="14"/>
  <c r="E58" i="5"/>
  <c r="E54" i="6"/>
  <c r="F75" i="7"/>
  <c r="G277" i="6"/>
  <c r="F156" i="17" s="1"/>
  <c r="F90" i="17"/>
  <c r="G54" i="22"/>
  <c r="G98" i="22"/>
  <c r="G101" i="22" s="1"/>
  <c r="CV21" i="10"/>
  <c r="P132" i="10"/>
  <c r="D28" i="12"/>
  <c r="G75" i="6"/>
  <c r="G87" i="5"/>
  <c r="C248" i="15"/>
  <c r="C247" i="15"/>
  <c r="C230" i="15"/>
  <c r="C233" i="15"/>
  <c r="C250" i="15"/>
  <c r="C251" i="15"/>
  <c r="C232" i="15"/>
  <c r="C231" i="15"/>
  <c r="C229" i="15"/>
  <c r="C249" i="15"/>
  <c r="D30" i="14"/>
  <c r="C64" i="14"/>
  <c r="C75" i="14" s="1"/>
  <c r="D148" i="10"/>
  <c r="C197" i="28"/>
  <c r="D93" i="17"/>
  <c r="D36" i="23"/>
  <c r="B60" i="2"/>
  <c r="O149" i="25"/>
  <c r="D254" i="14"/>
  <c r="C74" i="14"/>
  <c r="C63" i="14"/>
  <c r="D29" i="14"/>
  <c r="AG4" i="11"/>
  <c r="G52" i="18" s="1"/>
  <c r="H18" i="11"/>
  <c r="G18" i="11" s="1"/>
  <c r="BG31" i="10"/>
  <c r="BI29" i="10"/>
  <c r="F133" i="13"/>
  <c r="T150" i="13" s="1"/>
  <c r="T84" i="13"/>
  <c r="BY22" i="10"/>
  <c r="CD21" i="10"/>
  <c r="CD22" i="12"/>
  <c r="E17" i="13" s="1"/>
  <c r="CO24" i="12"/>
  <c r="CO22" i="12"/>
  <c r="CB22" i="12"/>
  <c r="D23" i="14"/>
  <c r="C57" i="14"/>
  <c r="C68" i="14" s="1"/>
  <c r="C22" i="14"/>
  <c r="D155" i="14"/>
  <c r="AA70" i="10"/>
  <c r="D235" i="5"/>
  <c r="AK107" i="9"/>
  <c r="AI108" i="9"/>
  <c r="AN107" i="9"/>
  <c r="F276" i="6"/>
  <c r="E155" i="17" s="1"/>
  <c r="E89" i="17"/>
  <c r="AQ123" i="10"/>
  <c r="H5" i="30"/>
  <c r="G55" i="30"/>
  <c r="G70" i="30"/>
  <c r="G25" i="30"/>
  <c r="G40" i="30" s="1"/>
  <c r="D49" i="14"/>
  <c r="E49" i="14" s="1"/>
  <c r="F49" i="14" s="1"/>
  <c r="G49" i="14" s="1"/>
  <c r="H49" i="14" s="1"/>
  <c r="AF5" i="11"/>
  <c r="A22" i="9"/>
  <c r="K21" i="9"/>
  <c r="P25" i="12"/>
  <c r="BV25" i="12"/>
  <c r="C132" i="25"/>
  <c r="Q24" i="12"/>
  <c r="R24" i="12"/>
  <c r="E116" i="7"/>
  <c r="H116" i="7" s="1"/>
  <c r="D21" i="26"/>
  <c r="B119" i="31" s="1"/>
  <c r="E27" i="12"/>
  <c r="F27" i="12"/>
  <c r="AF64" i="10"/>
  <c r="C158" i="14"/>
  <c r="C123" i="14"/>
  <c r="D124" i="14"/>
  <c r="D153" i="14"/>
  <c r="D149" i="14"/>
  <c r="E149" i="14" s="1"/>
  <c r="D253" i="14"/>
  <c r="D125" i="14"/>
  <c r="C159" i="14"/>
  <c r="D268" i="6"/>
  <c r="C166" i="17"/>
  <c r="D321" i="5"/>
  <c r="D124" i="17"/>
  <c r="E134" i="18" s="1"/>
  <c r="E94" i="25" s="1"/>
  <c r="D125" i="17"/>
  <c r="E54" i="15"/>
  <c r="E53" i="15"/>
  <c r="E56" i="15"/>
  <c r="E55" i="15"/>
  <c r="E129" i="15"/>
  <c r="E57" i="15"/>
  <c r="BE24" i="10"/>
  <c r="T30" i="12"/>
  <c r="U30" i="12" s="1"/>
  <c r="V30" i="12" s="1"/>
  <c r="F179" i="6"/>
  <c r="BW70" i="10"/>
  <c r="H257" i="6"/>
  <c r="I239" i="6"/>
  <c r="G26" i="17"/>
  <c r="AL27" i="12"/>
  <c r="AM27" i="12" s="1"/>
  <c r="AN27" i="12" s="1"/>
  <c r="I176" i="6"/>
  <c r="BO45" i="10"/>
  <c r="BQ40" i="10"/>
  <c r="AD26" i="12"/>
  <c r="AE26" i="12" s="1"/>
  <c r="AC26" i="12"/>
  <c r="F129" i="15"/>
  <c r="F56" i="15"/>
  <c r="F55" i="15"/>
  <c r="F54" i="15"/>
  <c r="F53" i="15"/>
  <c r="F57" i="15"/>
  <c r="F303" i="5"/>
  <c r="E140" i="17"/>
  <c r="F250" i="6"/>
  <c r="E100" i="17"/>
  <c r="AY32" i="10"/>
  <c r="AZ31" i="10"/>
  <c r="AZ32" i="10" s="1"/>
  <c r="AZ33" i="10" s="1"/>
  <c r="C72" i="15"/>
  <c r="C36" i="18"/>
  <c r="D54" i="14"/>
  <c r="E54" i="14" s="1"/>
  <c r="F54" i="14" s="1"/>
  <c r="G54" i="14" s="1"/>
  <c r="H123" i="15"/>
  <c r="AN54" i="10"/>
  <c r="H33" i="6"/>
  <c r="G6" i="27" s="1"/>
  <c r="G11" i="27" s="1"/>
  <c r="L50" i="7"/>
  <c r="E72" i="25"/>
  <c r="C206" i="18"/>
  <c r="F117" i="7"/>
  <c r="F153" i="7"/>
  <c r="F154" i="7" s="1"/>
  <c r="D251" i="14"/>
  <c r="D51" i="14"/>
  <c r="E51" i="14" s="1"/>
  <c r="F51" i="14" s="1"/>
  <c r="G51" i="14" s="1"/>
  <c r="D255" i="14"/>
  <c r="D53" i="14"/>
  <c r="E53" i="14" s="1"/>
  <c r="F53" i="14" s="1"/>
  <c r="G53" i="14" s="1"/>
  <c r="H53" i="14" s="1"/>
  <c r="D9" i="25"/>
  <c r="CR191" i="10"/>
  <c r="D29" i="10"/>
  <c r="BO138" i="10"/>
  <c r="R190" i="9"/>
  <c r="BG50" i="10"/>
  <c r="X44" i="10"/>
  <c r="N17" i="11"/>
  <c r="AR8" i="11"/>
  <c r="CE21" i="12"/>
  <c r="CE41" i="12" s="1"/>
  <c r="CE61" i="12" s="1"/>
  <c r="DF88" i="10"/>
  <c r="DF157" i="10" s="1"/>
  <c r="M26" i="10"/>
  <c r="CU24" i="10"/>
  <c r="DD22" i="10" s="1"/>
  <c r="D34" i="13" s="1"/>
  <c r="N24" i="10"/>
  <c r="BB34" i="10"/>
  <c r="BL44" i="10"/>
  <c r="G30" i="18"/>
  <c r="G21" i="25" s="1"/>
  <c r="C78" i="25"/>
  <c r="AW22" i="12"/>
  <c r="AC25" i="12"/>
  <c r="AD25" i="12"/>
  <c r="BJ13" i="9"/>
  <c r="AC193" i="9"/>
  <c r="AM192" i="9"/>
  <c r="CJ64" i="10"/>
  <c r="D154" i="14"/>
  <c r="E154" i="14" s="1"/>
  <c r="D19" i="11"/>
  <c r="F19" i="11" s="1"/>
  <c r="C20" i="11"/>
  <c r="B20" i="11"/>
  <c r="V191" i="9"/>
  <c r="B113" i="17"/>
  <c r="B114" i="17"/>
  <c r="CO55" i="10"/>
  <c r="CM60" i="10"/>
  <c r="H240" i="6"/>
  <c r="G258" i="6"/>
  <c r="F27" i="17"/>
  <c r="AJ26" i="10"/>
  <c r="AJ27" i="10" s="1"/>
  <c r="AJ28" i="10" s="1"/>
  <c r="AI27" i="10"/>
  <c r="D177" i="6"/>
  <c r="H28" i="12"/>
  <c r="I28" i="12" s="1"/>
  <c r="J28" i="12" s="1"/>
  <c r="BI26" i="10"/>
  <c r="BJ24" i="10"/>
  <c r="BW148" i="10"/>
  <c r="BX148" i="10" s="1"/>
  <c r="CI11" i="9"/>
  <c r="BE2" i="11"/>
  <c r="CU11" i="9" s="1"/>
  <c r="DG11" i="9" s="1"/>
  <c r="DS11" i="9" s="1"/>
  <c r="EE11" i="9" s="1"/>
  <c r="CG27" i="10"/>
  <c r="CE28" i="10"/>
  <c r="CE29" i="10" s="1"/>
  <c r="DC22" i="10"/>
  <c r="AK189" i="9"/>
  <c r="AL189" i="9" s="1"/>
  <c r="AI190" i="9"/>
  <c r="AN189" i="9"/>
  <c r="AG190" i="9" s="1"/>
  <c r="AT39" i="10"/>
  <c r="BG133" i="10"/>
  <c r="AS27" i="10"/>
  <c r="AQ28" i="10"/>
  <c r="AQ29" i="10" s="1"/>
  <c r="D27" i="14"/>
  <c r="C61" i="14"/>
  <c r="D250" i="14"/>
  <c r="B6" i="3"/>
  <c r="BF15" i="9"/>
  <c r="BF27" i="9" s="1"/>
  <c r="BF39" i="9" s="1"/>
  <c r="BF51" i="9" s="1"/>
  <c r="BF63" i="9" s="1"/>
  <c r="BF75" i="9" s="1"/>
  <c r="B201" i="5"/>
  <c r="B217" i="5" s="1"/>
  <c r="B233" i="5" s="1"/>
  <c r="A29" i="10"/>
  <c r="A97" i="10" s="1"/>
  <c r="A166" i="10" s="1"/>
  <c r="B172" i="6"/>
  <c r="B188" i="6" s="1"/>
  <c r="B204" i="6" s="1"/>
  <c r="A24" i="12"/>
  <c r="A44" i="12" s="1"/>
  <c r="A64" i="12" s="1"/>
  <c r="BL30" i="12"/>
  <c r="AM107" i="9"/>
  <c r="AL107" i="9" s="1"/>
  <c r="AC108" i="9"/>
  <c r="AI28" i="12"/>
  <c r="AJ28" i="12"/>
  <c r="AK28" i="12" s="1"/>
  <c r="G153" i="15"/>
  <c r="G150" i="15"/>
  <c r="G151" i="15"/>
  <c r="G152" i="15"/>
  <c r="G226" i="15"/>
  <c r="G154" i="15"/>
  <c r="Q16" i="11"/>
  <c r="P16" i="11" s="1"/>
  <c r="AQ9" i="11"/>
  <c r="AQ10" i="11" s="1"/>
  <c r="BO27" i="10"/>
  <c r="BP26" i="10"/>
  <c r="BP27" i="10" s="1"/>
  <c r="BP28" i="10" s="1"/>
  <c r="E37" i="15"/>
  <c r="D43" i="15"/>
  <c r="D80" i="15"/>
  <c r="D67" i="15"/>
  <c r="D73" i="15" s="1"/>
  <c r="C49" i="15"/>
  <c r="AY16" i="9"/>
  <c r="B148" i="7"/>
  <c r="D109" i="7"/>
  <c r="D105" i="7" s="1"/>
  <c r="F48" i="16"/>
  <c r="O56" i="18"/>
  <c r="C47" i="25"/>
  <c r="E17" i="2"/>
  <c r="C50" i="15"/>
  <c r="E48" i="16"/>
  <c r="D169" i="17"/>
  <c r="BU22" i="12"/>
  <c r="B140" i="7"/>
  <c r="AB29" i="10"/>
  <c r="C58" i="14"/>
  <c r="D24" i="14"/>
  <c r="D48" i="14"/>
  <c r="D46" i="18"/>
  <c r="D37" i="25" s="1"/>
  <c r="D38" i="25"/>
  <c r="Q191" i="9"/>
  <c r="R191" i="9" s="1"/>
  <c r="H43" i="16"/>
  <c r="H133" i="18" s="1"/>
  <c r="H93" i="25" s="1"/>
  <c r="G47" i="16"/>
  <c r="H54" i="16" s="1"/>
  <c r="H218" i="18" s="1"/>
  <c r="H147" i="25" s="1"/>
  <c r="K18" i="11"/>
  <c r="M17" i="11"/>
  <c r="O17" i="11" s="1"/>
  <c r="L18" i="11"/>
  <c r="AJ45" i="10"/>
  <c r="AK40" i="10"/>
  <c r="C34" i="15"/>
  <c r="C78" i="15"/>
  <c r="C41" i="15"/>
  <c r="D35" i="15"/>
  <c r="C65" i="15"/>
  <c r="C131" i="25"/>
  <c r="D48" i="16"/>
  <c r="C169" i="17"/>
  <c r="A148" i="25"/>
  <c r="A94" i="25"/>
  <c r="D37" i="18"/>
  <c r="D28" i="25" s="1"/>
  <c r="D25" i="14"/>
  <c r="C59" i="14"/>
  <c r="C70" i="14" s="1"/>
  <c r="D248" i="14"/>
  <c r="H259" i="6"/>
  <c r="I241" i="6"/>
  <c r="G28" i="17"/>
  <c r="J27" i="12"/>
  <c r="BH35" i="10"/>
  <c r="BI30" i="10"/>
  <c r="P44" i="10"/>
  <c r="C163" i="14"/>
  <c r="D129" i="14"/>
  <c r="W105" i="9"/>
  <c r="X105" i="9" s="1"/>
  <c r="U106" i="9"/>
  <c r="Z105" i="9"/>
  <c r="S106" i="9" s="1"/>
  <c r="D134" i="15"/>
  <c r="C177" i="15"/>
  <c r="C164" i="15"/>
  <c r="C140" i="15"/>
  <c r="D133" i="15"/>
  <c r="C176" i="15"/>
  <c r="C139" i="15"/>
  <c r="C163" i="15"/>
  <c r="C26" i="16"/>
  <c r="E37" i="18"/>
  <c r="E28" i="25" s="1"/>
  <c r="C207" i="18"/>
  <c r="E87" i="17"/>
  <c r="F121" i="18" s="1"/>
  <c r="F81" i="25" s="1"/>
  <c r="CO23" i="12"/>
  <c r="CC22" i="12"/>
  <c r="D17" i="13" s="1"/>
  <c r="O32" i="18"/>
  <c r="C23" i="25"/>
  <c r="BY22" i="12"/>
  <c r="G22" i="12"/>
  <c r="AK22" i="12"/>
  <c r="A12" i="30"/>
  <c r="A61" i="30"/>
  <c r="A31" i="30"/>
  <c r="A46" i="30" s="1"/>
  <c r="A76" i="30"/>
  <c r="H103" i="9"/>
  <c r="B103" i="9"/>
  <c r="AW103" i="9"/>
  <c r="BT64" i="10"/>
  <c r="D130" i="14"/>
  <c r="C164" i="14"/>
  <c r="D127" i="14"/>
  <c r="C161" i="14"/>
  <c r="D147" i="14"/>
  <c r="E147" i="14" s="1"/>
  <c r="E69" i="18"/>
  <c r="E2" i="25"/>
  <c r="D2" i="24" s="1"/>
  <c r="E17" i="18"/>
  <c r="E9" i="25" s="1"/>
  <c r="E47" i="18"/>
  <c r="E303" i="5"/>
  <c r="E250" i="6"/>
  <c r="D140" i="17"/>
  <c r="D100" i="17"/>
  <c r="AQ2" i="11"/>
  <c r="BU11" i="9"/>
  <c r="F281" i="6"/>
  <c r="E160" i="17" s="1"/>
  <c r="E94" i="17"/>
  <c r="D11" i="4"/>
  <c r="F11" i="4" s="1"/>
  <c r="M114" i="14"/>
  <c r="W29" i="12"/>
  <c r="X29" i="12"/>
  <c r="Y29" i="12" s="1"/>
  <c r="F284" i="6"/>
  <c r="E163" i="17" s="1"/>
  <c r="E97" i="17"/>
  <c r="H282" i="6"/>
  <c r="G161" i="17" s="1"/>
  <c r="G95" i="17"/>
  <c r="G278" i="6"/>
  <c r="F157" i="17" s="1"/>
  <c r="F91" i="17"/>
  <c r="AP26" i="12"/>
  <c r="AQ26" i="12" s="1"/>
  <c r="AO26" i="12"/>
  <c r="Z27" i="12"/>
  <c r="AA27" i="12" s="1"/>
  <c r="AB27" i="12" s="1"/>
  <c r="G176" i="6"/>
  <c r="G72" i="18"/>
  <c r="G81" i="18"/>
  <c r="G96" i="18" s="1"/>
  <c r="F2" i="25"/>
  <c r="E2" i="24" s="1"/>
  <c r="F17" i="18"/>
  <c r="F9" i="25" s="1"/>
  <c r="F69" i="18"/>
  <c r="F47" i="18"/>
  <c r="E49" i="17"/>
  <c r="G58" i="18" s="1"/>
  <c r="G49" i="25" s="1"/>
  <c r="E50" i="17"/>
  <c r="S55" i="10"/>
  <c r="U50" i="10"/>
  <c r="AM23" i="9"/>
  <c r="AC24" i="9"/>
  <c r="C48" i="15"/>
  <c r="E36" i="15"/>
  <c r="D66" i="15"/>
  <c r="D72" i="15" s="1"/>
  <c r="D42" i="15"/>
  <c r="D79" i="15"/>
  <c r="K7" i="1"/>
  <c r="L8" i="1"/>
  <c r="D30" i="18"/>
  <c r="D21" i="25" s="1"/>
  <c r="D200" i="18"/>
  <c r="D129" i="25" s="1"/>
  <c r="C122" i="18"/>
  <c r="F27" i="18"/>
  <c r="C48" i="16"/>
  <c r="B169" i="17"/>
  <c r="D256" i="14"/>
  <c r="D52" i="14"/>
  <c r="E52" i="14" s="1"/>
  <c r="F52" i="14" s="1"/>
  <c r="G52" i="14" s="1"/>
  <c r="C66" i="14"/>
  <c r="C77" i="14" s="1"/>
  <c r="D32" i="14"/>
  <c r="F166" i="17"/>
  <c r="G321" i="5"/>
  <c r="G268" i="6"/>
  <c r="A108" i="9"/>
  <c r="K107" i="9"/>
  <c r="C74" i="15"/>
  <c r="H1" i="13"/>
  <c r="H67" i="13" s="1"/>
  <c r="K6" i="16"/>
  <c r="DH20" i="10"/>
  <c r="E37" i="16"/>
  <c r="D103" i="17"/>
  <c r="C128" i="25"/>
  <c r="E101" i="17"/>
  <c r="D7" i="26"/>
  <c r="B105" i="31" s="1"/>
  <c r="E104" i="7"/>
  <c r="H104" i="7" s="1"/>
  <c r="B125" i="7"/>
  <c r="E107" i="7"/>
  <c r="H107" i="7" s="1"/>
  <c r="D11" i="26"/>
  <c r="B109" i="31" s="1"/>
  <c r="B128" i="7"/>
  <c r="C20" i="25"/>
  <c r="D55" i="10"/>
  <c r="D46" i="14"/>
  <c r="E46" i="14" s="1"/>
  <c r="F46" i="14" s="1"/>
  <c r="G46" i="14" s="1"/>
  <c r="H46" i="14" s="1"/>
  <c r="D150" i="14"/>
  <c r="E150" i="14" s="1"/>
  <c r="D252" i="14"/>
  <c r="D26" i="14"/>
  <c r="C71" i="14"/>
  <c r="C60" i="14"/>
  <c r="D72" i="18"/>
  <c r="D81" i="18"/>
  <c r="D96" i="18" s="1"/>
  <c r="E27" i="10"/>
  <c r="C28" i="10"/>
  <c r="C29" i="10" s="1"/>
  <c r="J177" i="6"/>
  <c r="AR28" i="12"/>
  <c r="AS28" i="12" s="1"/>
  <c r="E243" i="5"/>
  <c r="B173" i="17"/>
  <c r="B178" i="17" s="1"/>
  <c r="C171" i="17"/>
  <c r="CB122" i="10"/>
  <c r="AI17" i="9"/>
  <c r="AH17" i="9"/>
  <c r="BN21" i="10"/>
  <c r="BI22" i="10"/>
  <c r="AI65" i="10"/>
  <c r="I265" i="6"/>
  <c r="J247" i="6"/>
  <c r="H34" i="17"/>
  <c r="M30" i="10"/>
  <c r="L35" i="10"/>
  <c r="K65" i="10"/>
  <c r="D75" i="6"/>
  <c r="D87" i="5"/>
  <c r="W28" i="12"/>
  <c r="X28" i="12"/>
  <c r="Y28" i="12" s="1"/>
  <c r="BX22" i="12"/>
  <c r="B132" i="7"/>
  <c r="D15" i="26"/>
  <c r="B113" i="31" s="1"/>
  <c r="E111" i="7"/>
  <c r="H111" i="7" s="1"/>
  <c r="B144" i="7"/>
  <c r="D16" i="26"/>
  <c r="B114" i="31" s="1"/>
  <c r="E112" i="7"/>
  <c r="H112" i="7" s="1"/>
  <c r="B133" i="7"/>
  <c r="J153" i="7"/>
  <c r="J154" i="7" s="1"/>
  <c r="J117" i="7"/>
  <c r="AY118" i="10"/>
  <c r="D47" i="14"/>
  <c r="E47" i="14" s="1"/>
  <c r="F47" i="14" s="1"/>
  <c r="G47" i="14" s="1"/>
  <c r="C44" i="14"/>
  <c r="D45" i="14"/>
  <c r="D132" i="14"/>
  <c r="C166" i="14"/>
  <c r="D50" i="14"/>
  <c r="E50" i="14" s="1"/>
  <c r="F50" i="14" s="1"/>
  <c r="G50" i="14" s="1"/>
  <c r="D133" i="14"/>
  <c r="C167" i="14"/>
  <c r="AH3" i="11"/>
  <c r="E19" i="11"/>
  <c r="T191" i="9"/>
  <c r="CP49" i="10"/>
  <c r="O193" i="9"/>
  <c r="Y192" i="9"/>
  <c r="D153" i="7"/>
  <c r="AF142" i="10"/>
  <c r="H75" i="7"/>
  <c r="F54" i="6"/>
  <c r="F58" i="5"/>
  <c r="CF29" i="10"/>
  <c r="M22" i="10"/>
  <c r="R21" i="10"/>
  <c r="CW21" i="10"/>
  <c r="BY26" i="10"/>
  <c r="BZ24" i="10"/>
  <c r="AS45" i="10"/>
  <c r="AQ50" i="10"/>
  <c r="L185" i="6"/>
  <c r="L201" i="6"/>
  <c r="L169" i="6"/>
  <c r="AR29" i="10"/>
  <c r="A194" i="9"/>
  <c r="K193" i="9"/>
  <c r="D151" i="14"/>
  <c r="E151" i="14" s="1"/>
  <c r="E43" i="16"/>
  <c r="E133" i="18" s="1"/>
  <c r="E93" i="25" s="1"/>
  <c r="D47" i="16"/>
  <c r="E54" i="16" s="1"/>
  <c r="E218" i="18" s="1"/>
  <c r="E147" i="25" s="1"/>
  <c r="E133" i="13"/>
  <c r="S150" i="13" s="1"/>
  <c r="S84" i="13"/>
  <c r="M180" i="6"/>
  <c r="BJ31" i="12"/>
  <c r="BK31" i="12" s="1"/>
  <c r="BL31" i="12" s="1"/>
  <c r="C178" i="6"/>
  <c r="B29" i="12"/>
  <c r="C29" i="12" s="1"/>
  <c r="AF29" i="12"/>
  <c r="AG29" i="12" s="1"/>
  <c r="H178" i="6"/>
  <c r="G52" i="15"/>
  <c r="A29" i="3"/>
  <c r="D135" i="15"/>
  <c r="C141" i="15"/>
  <c r="C165" i="15"/>
  <c r="C178" i="15"/>
  <c r="AZ16" i="9"/>
  <c r="E207" i="18"/>
  <c r="E136" i="25" s="1"/>
  <c r="F126" i="25"/>
  <c r="BP30" i="12" l="1"/>
  <c r="BQ30" i="12" s="1"/>
  <c r="BR30" i="12" s="1"/>
  <c r="N179" i="6"/>
  <c r="T29" i="10"/>
  <c r="BT29" i="12"/>
  <c r="BU29" i="12" s="1"/>
  <c r="BS29" i="12"/>
  <c r="CG28" i="10"/>
  <c r="F83" i="17"/>
  <c r="G117" i="18" s="1"/>
  <c r="G77" i="25" s="1"/>
  <c r="H254" i="6"/>
  <c r="G272" i="6"/>
  <c r="F149" i="17" s="1"/>
  <c r="G202" i="18" s="1"/>
  <c r="G131" i="25" s="1"/>
  <c r="L203" i="18"/>
  <c r="P106" i="9"/>
  <c r="Q106" i="9" s="1"/>
  <c r="R106" i="9" s="1"/>
  <c r="M273" i="6"/>
  <c r="L150" i="17" s="1"/>
  <c r="M203" i="18" s="1"/>
  <c r="M132" i="25" s="1"/>
  <c r="L84" i="17"/>
  <c r="AD190" i="9"/>
  <c r="BB29" i="12"/>
  <c r="BC29" i="12" s="1"/>
  <c r="BA29" i="12"/>
  <c r="N255" i="6"/>
  <c r="M22" i="17"/>
  <c r="E93" i="17"/>
  <c r="E155" i="14"/>
  <c r="F155" i="14" s="1"/>
  <c r="G155" i="14" s="1"/>
  <c r="AU17" i="9"/>
  <c r="K179" i="6"/>
  <c r="AX30" i="12"/>
  <c r="AY30" i="12" s="1"/>
  <c r="AZ30" i="12" s="1"/>
  <c r="H279" i="6"/>
  <c r="G158" i="17" s="1"/>
  <c r="G92" i="17"/>
  <c r="AS28" i="10"/>
  <c r="D49" i="15"/>
  <c r="S28" i="10"/>
  <c r="S29" i="10" s="1"/>
  <c r="U27" i="10"/>
  <c r="Y24" i="10" s="1"/>
  <c r="Z24" i="10" s="1"/>
  <c r="J243" i="6"/>
  <c r="H30" i="17"/>
  <c r="I261" i="6"/>
  <c r="C205" i="5"/>
  <c r="C220" i="5"/>
  <c r="C236" i="5" s="1"/>
  <c r="CM31" i="10"/>
  <c r="CO29" i="10"/>
  <c r="CO31" i="10" s="1"/>
  <c r="H115" i="15"/>
  <c r="C136" i="15"/>
  <c r="L29" i="10"/>
  <c r="CF45" i="10"/>
  <c r="CG40" i="10"/>
  <c r="CH39" i="10" s="1"/>
  <c r="H52" i="14"/>
  <c r="H54" i="14"/>
  <c r="E52" i="15"/>
  <c r="F17" i="9"/>
  <c r="BW31" i="10"/>
  <c r="BY29" i="10"/>
  <c r="G271" i="6"/>
  <c r="F147" i="17" s="1"/>
  <c r="F81" i="17"/>
  <c r="K114" i="18"/>
  <c r="CO28" i="10"/>
  <c r="L270" i="6"/>
  <c r="K146" i="17" s="1"/>
  <c r="L199" i="18" s="1"/>
  <c r="L128" i="25" s="1"/>
  <c r="K80" i="17"/>
  <c r="L114" i="18" s="1"/>
  <c r="L74" i="25" s="1"/>
  <c r="M252" i="6"/>
  <c r="N234" i="6"/>
  <c r="L18" i="17"/>
  <c r="M29" i="18" s="1"/>
  <c r="M20" i="25" s="1"/>
  <c r="CV24" i="10"/>
  <c r="DD27" i="10" s="1"/>
  <c r="C45" i="17" s="1"/>
  <c r="H50" i="14"/>
  <c r="AC28" i="10"/>
  <c r="F154" i="14"/>
  <c r="G154" i="14" s="1"/>
  <c r="H51" i="14"/>
  <c r="G17" i="9"/>
  <c r="BH27" i="12"/>
  <c r="BI27" i="12" s="1"/>
  <c r="BG27" i="12"/>
  <c r="W17" i="11"/>
  <c r="BD13" i="11"/>
  <c r="K199" i="18"/>
  <c r="BY28" i="10"/>
  <c r="C217" i="18"/>
  <c r="C146" i="25" s="1"/>
  <c r="C110" i="25"/>
  <c r="C188" i="18"/>
  <c r="C117" i="25" s="1"/>
  <c r="C239" i="18"/>
  <c r="C251" i="18" s="1"/>
  <c r="BK14" i="9"/>
  <c r="BT14" i="9"/>
  <c r="G19" i="17"/>
  <c r="I235" i="6"/>
  <c r="H253" i="6"/>
  <c r="E168" i="17"/>
  <c r="F200" i="18" s="1"/>
  <c r="F129" i="25" s="1"/>
  <c r="BC14" i="11"/>
  <c r="BC15" i="11" s="1"/>
  <c r="Z16" i="11"/>
  <c r="Y16" i="11" s="1"/>
  <c r="F151" i="14"/>
  <c r="G151" i="14" s="1"/>
  <c r="H47" i="14"/>
  <c r="F150" i="14"/>
  <c r="G150" i="14" s="1"/>
  <c r="F147" i="14"/>
  <c r="G147" i="14" s="1"/>
  <c r="B154" i="7"/>
  <c r="F149" i="14"/>
  <c r="G149" i="14" s="1"/>
  <c r="E152" i="14"/>
  <c r="F152" i="14" s="1"/>
  <c r="G152" i="14" s="1"/>
  <c r="C50" i="10"/>
  <c r="E45" i="10"/>
  <c r="F44" i="10" s="1"/>
  <c r="L177" i="6"/>
  <c r="BD28" i="12"/>
  <c r="BE28" i="12" s="1"/>
  <c r="BF28" i="12" s="1"/>
  <c r="U18" i="11"/>
  <c r="V17" i="11"/>
  <c r="X17" i="11" s="1"/>
  <c r="T18" i="11"/>
  <c r="AC35" i="10"/>
  <c r="AD34" i="10" s="1"/>
  <c r="AB40" i="10"/>
  <c r="M27" i="10"/>
  <c r="Q24" i="10" s="1"/>
  <c r="R24" i="10" s="1"/>
  <c r="K28" i="10"/>
  <c r="K29" i="10" s="1"/>
  <c r="E102" i="17"/>
  <c r="F38" i="16" s="1"/>
  <c r="L29" i="18"/>
  <c r="S60" i="10"/>
  <c r="U55" i="10"/>
  <c r="AC194" i="9"/>
  <c r="AM193" i="9"/>
  <c r="F151" i="15"/>
  <c r="F150" i="15"/>
  <c r="F154" i="15"/>
  <c r="F153" i="15"/>
  <c r="F152" i="15"/>
  <c r="F226" i="15"/>
  <c r="BX24" i="12"/>
  <c r="CD24" i="12" s="1"/>
  <c r="G43" i="25"/>
  <c r="C72" i="25"/>
  <c r="M23" i="10"/>
  <c r="V84" i="13"/>
  <c r="H133" i="13"/>
  <c r="V150" i="13" s="1"/>
  <c r="B170" i="17"/>
  <c r="BZ22" i="12"/>
  <c r="E27" i="14"/>
  <c r="D61" i="14"/>
  <c r="Q17" i="11"/>
  <c r="P17" i="11" s="1"/>
  <c r="AR9" i="11"/>
  <c r="BF24" i="10"/>
  <c r="D123" i="14"/>
  <c r="D158" i="14"/>
  <c r="E124" i="14"/>
  <c r="BT12" i="9"/>
  <c r="D51" i="18" s="1"/>
  <c r="BG14" i="9"/>
  <c r="BH31" i="10"/>
  <c r="BH32" i="10" s="1"/>
  <c r="BH33" i="10" s="1"/>
  <c r="BG32" i="10"/>
  <c r="C84" i="14"/>
  <c r="C95" i="14" s="1"/>
  <c r="U17" i="9"/>
  <c r="T17" i="9"/>
  <c r="BX11" i="9"/>
  <c r="AT2" i="11"/>
  <c r="E126" i="14"/>
  <c r="D160" i="14"/>
  <c r="D215" i="18"/>
  <c r="D144" i="25" s="1"/>
  <c r="M60" i="17"/>
  <c r="N49" i="18" s="1"/>
  <c r="N40" i="25" s="1"/>
  <c r="M61" i="17"/>
  <c r="AI148" i="10"/>
  <c r="AJ148" i="10" s="1"/>
  <c r="C143" i="7"/>
  <c r="D143" i="7" s="1"/>
  <c r="E143" i="7" s="1"/>
  <c r="C125" i="7"/>
  <c r="F81" i="18"/>
  <c r="F96" i="18" s="1"/>
  <c r="F72" i="18"/>
  <c r="A13" i="30"/>
  <c r="A32" i="30"/>
  <c r="A47" i="30" s="1"/>
  <c r="A77" i="30"/>
  <c r="A62" i="30"/>
  <c r="E153" i="17"/>
  <c r="DC27" i="10"/>
  <c r="C87" i="14"/>
  <c r="I282" i="6"/>
  <c r="H161" i="17" s="1"/>
  <c r="H95" i="17"/>
  <c r="C81" i="25"/>
  <c r="D45" i="18"/>
  <c r="D166" i="14"/>
  <c r="E132" i="14"/>
  <c r="AT28" i="12"/>
  <c r="F37" i="16"/>
  <c r="E103" i="17"/>
  <c r="F112" i="18"/>
  <c r="D48" i="15"/>
  <c r="C170" i="17"/>
  <c r="E48" i="14"/>
  <c r="F48" i="14" s="1"/>
  <c r="G48" i="14" s="1"/>
  <c r="H48" i="14" s="1"/>
  <c r="G247" i="15"/>
  <c r="G249" i="15"/>
  <c r="G251" i="15"/>
  <c r="G250" i="15"/>
  <c r="G248" i="15"/>
  <c r="BR39" i="10"/>
  <c r="C85" i="14"/>
  <c r="C96" i="14" s="1"/>
  <c r="C275" i="15"/>
  <c r="C262" i="15"/>
  <c r="C238" i="15"/>
  <c r="D232" i="15"/>
  <c r="H115" i="7"/>
  <c r="E114" i="7"/>
  <c r="I10" i="18"/>
  <c r="I20" i="14"/>
  <c r="AI2" i="11"/>
  <c r="H74" i="17"/>
  <c r="H120" i="17"/>
  <c r="I32" i="15"/>
  <c r="I232" i="6"/>
  <c r="C27" i="22"/>
  <c r="H38" i="17"/>
  <c r="H43" i="17" s="1"/>
  <c r="H48" i="17" s="1"/>
  <c r="P5" i="17"/>
  <c r="H186" i="17"/>
  <c r="H56" i="17"/>
  <c r="I25" i="16"/>
  <c r="D250" i="15"/>
  <c r="D251" i="15"/>
  <c r="D249" i="15"/>
  <c r="D248" i="15"/>
  <c r="D247" i="15"/>
  <c r="O109" i="9"/>
  <c r="Y108" i="9"/>
  <c r="C168" i="15"/>
  <c r="C152" i="7"/>
  <c r="D152" i="7" s="1"/>
  <c r="E152" i="7" s="1"/>
  <c r="C134" i="7"/>
  <c r="C94" i="25"/>
  <c r="F14" i="26"/>
  <c r="C112" i="31" s="1"/>
  <c r="D131" i="7"/>
  <c r="G149" i="7" s="1"/>
  <c r="I110" i="7"/>
  <c r="L110" i="7" s="1"/>
  <c r="A195" i="9"/>
  <c r="K194" i="9"/>
  <c r="I259" i="6"/>
  <c r="J241" i="6"/>
  <c r="H28" i="17"/>
  <c r="AR10" i="11"/>
  <c r="AW24" i="10"/>
  <c r="F31" i="17"/>
  <c r="Y22" i="9"/>
  <c r="O23" i="9"/>
  <c r="E101" i="7"/>
  <c r="H102" i="7"/>
  <c r="D29" i="12"/>
  <c r="A109" i="9"/>
  <c r="K108" i="9"/>
  <c r="E130" i="14"/>
  <c r="D164" i="14"/>
  <c r="B18" i="23"/>
  <c r="O23" i="25"/>
  <c r="C136" i="25"/>
  <c r="BH40" i="10"/>
  <c r="BI35" i="10"/>
  <c r="E25" i="14"/>
  <c r="D59" i="14"/>
  <c r="D70" i="14" s="1"/>
  <c r="C47" i="15"/>
  <c r="C40" i="15"/>
  <c r="AJ50" i="10"/>
  <c r="AK45" i="10"/>
  <c r="C69" i="14"/>
  <c r="BN30" i="12"/>
  <c r="BM30" i="12"/>
  <c r="AK27" i="10"/>
  <c r="AI28" i="10"/>
  <c r="AI29" i="10" s="1"/>
  <c r="H258" i="6"/>
  <c r="I240" i="6"/>
  <c r="G27" i="17"/>
  <c r="G25" i="17" s="1"/>
  <c r="H36" i="18" s="1"/>
  <c r="H27" i="25" s="1"/>
  <c r="C21" i="11"/>
  <c r="D20" i="11"/>
  <c r="F20" i="11" s="1"/>
  <c r="B21" i="11"/>
  <c r="BO143" i="10"/>
  <c r="AN59" i="10"/>
  <c r="BA32" i="10"/>
  <c r="AY33" i="10"/>
  <c r="AY34" i="10" s="1"/>
  <c r="I177" i="6"/>
  <c r="AL28" i="12"/>
  <c r="AM28" i="12" s="1"/>
  <c r="H275" i="6"/>
  <c r="G154" i="17" s="1"/>
  <c r="G88" i="17"/>
  <c r="E153" i="14"/>
  <c r="F153" i="14" s="1"/>
  <c r="G153" i="14" s="1"/>
  <c r="AF69" i="10"/>
  <c r="BA21" i="9"/>
  <c r="BN18" i="9" s="1"/>
  <c r="C235" i="15"/>
  <c r="C228" i="15"/>
  <c r="C259" i="15"/>
  <c r="C272" i="15"/>
  <c r="D229" i="15"/>
  <c r="H269" i="6"/>
  <c r="G144" i="17" s="1"/>
  <c r="G78" i="17"/>
  <c r="I260" i="6"/>
  <c r="J242" i="6"/>
  <c r="H29" i="17"/>
  <c r="D74" i="15"/>
  <c r="K61" i="17"/>
  <c r="K60" i="17"/>
  <c r="L49" i="18" s="1"/>
  <c r="L40" i="25" s="1"/>
  <c r="G18" i="25"/>
  <c r="N27" i="12"/>
  <c r="O27" i="12" s="1"/>
  <c r="E176" i="6"/>
  <c r="E18" i="25"/>
  <c r="DC21" i="10"/>
  <c r="C171" i="15"/>
  <c r="AH29" i="12"/>
  <c r="E133" i="14"/>
  <c r="D167" i="14"/>
  <c r="D44" i="14"/>
  <c r="E45" i="14"/>
  <c r="I112" i="7"/>
  <c r="L112" i="7" s="1"/>
  <c r="F16" i="26"/>
  <c r="C114" i="31" s="1"/>
  <c r="D133" i="7"/>
  <c r="G151" i="7" s="1"/>
  <c r="E26" i="14"/>
  <c r="D60" i="14"/>
  <c r="D71" i="14" s="1"/>
  <c r="DH88" i="10"/>
  <c r="DH157" i="10" s="1"/>
  <c r="CG21" i="12"/>
  <c r="CG41" i="12" s="1"/>
  <c r="CG61" i="12" s="1"/>
  <c r="D66" i="14"/>
  <c r="E32" i="14"/>
  <c r="D77" i="14"/>
  <c r="P25" i="7"/>
  <c r="I12" i="17"/>
  <c r="R1" i="16"/>
  <c r="AM24" i="9"/>
  <c r="AC25" i="9"/>
  <c r="V49" i="10"/>
  <c r="AC27" i="12"/>
  <c r="AD27" i="12"/>
  <c r="AE27" i="12" s="1"/>
  <c r="E159" i="17"/>
  <c r="D107" i="17"/>
  <c r="E38" i="25"/>
  <c r="E46" i="18"/>
  <c r="E37" i="25" s="1"/>
  <c r="BT69" i="10"/>
  <c r="I103" i="9"/>
  <c r="AX103" i="9"/>
  <c r="G104" i="9"/>
  <c r="L103" i="9"/>
  <c r="T106" i="9"/>
  <c r="P49" i="10"/>
  <c r="L27" i="12"/>
  <c r="K27" i="12"/>
  <c r="D50" i="15"/>
  <c r="B42" i="23"/>
  <c r="O47" i="25"/>
  <c r="E67" i="15"/>
  <c r="E73" i="15" s="1"/>
  <c r="E43" i="15"/>
  <c r="E80" i="15"/>
  <c r="F37" i="15"/>
  <c r="BP29" i="10"/>
  <c r="A6" i="3"/>
  <c r="B18" i="3"/>
  <c r="F7" i="3"/>
  <c r="AS29" i="10"/>
  <c r="AS31" i="10" s="1"/>
  <c r="AQ31" i="10"/>
  <c r="AH190" i="9"/>
  <c r="C34" i="13"/>
  <c r="K28" i="12"/>
  <c r="L28" i="12"/>
  <c r="M28" i="12" s="1"/>
  <c r="F25" i="17"/>
  <c r="CM65" i="10"/>
  <c r="CO60" i="10"/>
  <c r="CJ69" i="10"/>
  <c r="BL49" i="10"/>
  <c r="X49" i="10"/>
  <c r="CR196" i="10"/>
  <c r="F52" i="15"/>
  <c r="BO50" i="10"/>
  <c r="BQ45" i="10"/>
  <c r="X30" i="12"/>
  <c r="Y30" i="12" s="1"/>
  <c r="W30" i="12"/>
  <c r="E153" i="15"/>
  <c r="E154" i="15"/>
  <c r="E150" i="15"/>
  <c r="E226" i="15"/>
  <c r="E151" i="15"/>
  <c r="E152" i="15"/>
  <c r="C173" i="17"/>
  <c r="C178" i="17" s="1"/>
  <c r="D171" i="17"/>
  <c r="C157" i="14"/>
  <c r="G27" i="12"/>
  <c r="I116" i="7"/>
  <c r="L116" i="7" s="1"/>
  <c r="H21" i="26" s="1"/>
  <c r="D119" i="31" s="1"/>
  <c r="F21" i="26"/>
  <c r="C119" i="31" s="1"/>
  <c r="AG5" i="11"/>
  <c r="AV17" i="9"/>
  <c r="AQ128" i="10"/>
  <c r="C90" i="14"/>
  <c r="C169" i="14" s="1"/>
  <c r="C79" i="14"/>
  <c r="BY23" i="10"/>
  <c r="E30" i="14"/>
  <c r="D64" i="14"/>
  <c r="D75" i="14" s="1"/>
  <c r="D230" i="15"/>
  <c r="C273" i="15"/>
  <c r="C236" i="15"/>
  <c r="C260" i="15"/>
  <c r="F28" i="12"/>
  <c r="E28" i="12"/>
  <c r="E28" i="14"/>
  <c r="D62" i="14"/>
  <c r="D73" i="14" s="1"/>
  <c r="H106" i="7"/>
  <c r="BB39" i="10"/>
  <c r="DI20" i="10"/>
  <c r="I1" i="13"/>
  <c r="I67" i="13" s="1"/>
  <c r="K7" i="16"/>
  <c r="D69" i="15"/>
  <c r="D75" i="15" s="1"/>
  <c r="D45" i="15"/>
  <c r="E39" i="15"/>
  <c r="D82" i="15"/>
  <c r="E54" i="22"/>
  <c r="E98" i="22"/>
  <c r="E101" i="22" s="1"/>
  <c r="A20" i="3"/>
  <c r="B32" i="3"/>
  <c r="E31" i="14"/>
  <c r="D65" i="14"/>
  <c r="D76" i="14" s="1"/>
  <c r="H36" i="16"/>
  <c r="G125" i="17"/>
  <c r="G124" i="17"/>
  <c r="H134" i="18" s="1"/>
  <c r="H94" i="25" s="1"/>
  <c r="F6" i="26"/>
  <c r="C104" i="31" s="1"/>
  <c r="I103" i="7"/>
  <c r="L103" i="7" s="1"/>
  <c r="D124" i="7"/>
  <c r="G142" i="7" s="1"/>
  <c r="F101" i="17"/>
  <c r="G112" i="18" s="1"/>
  <c r="G284" i="6"/>
  <c r="F163" i="17" s="1"/>
  <c r="F97" i="17"/>
  <c r="I245" i="6"/>
  <c r="H263" i="6"/>
  <c r="G32" i="17"/>
  <c r="I61" i="17"/>
  <c r="I60" i="17"/>
  <c r="J49" i="18" s="1"/>
  <c r="J40" i="25" s="1"/>
  <c r="O95" i="25"/>
  <c r="B31" i="2"/>
  <c r="C36" i="23"/>
  <c r="C118" i="25"/>
  <c r="O189" i="18"/>
  <c r="D246" i="14"/>
  <c r="C113" i="17"/>
  <c r="C114" i="17"/>
  <c r="F113" i="17" s="1"/>
  <c r="H143" i="18" s="1"/>
  <c r="H103" i="25" s="1"/>
  <c r="C21" i="25"/>
  <c r="D138" i="15"/>
  <c r="D162" i="15"/>
  <c r="E132" i="15"/>
  <c r="D175" i="15"/>
  <c r="C144" i="15"/>
  <c r="B23" i="29"/>
  <c r="C28" i="25"/>
  <c r="I113" i="7"/>
  <c r="L113" i="7" s="1"/>
  <c r="D134" i="7"/>
  <c r="G152" i="7" s="1"/>
  <c r="F17" i="26"/>
  <c r="C115" i="31" s="1"/>
  <c r="BX40" i="10"/>
  <c r="BY35" i="10"/>
  <c r="D221" i="5"/>
  <c r="D206" i="5"/>
  <c r="F47" i="16"/>
  <c r="G54" i="16" s="1"/>
  <c r="G218" i="18" s="1"/>
  <c r="G147" i="25" s="1"/>
  <c r="G43" i="16"/>
  <c r="G133" i="18" s="1"/>
  <c r="G93" i="25" s="1"/>
  <c r="D165" i="14"/>
  <c r="E131" i="14"/>
  <c r="C40" i="25"/>
  <c r="C46" i="18"/>
  <c r="D165" i="15"/>
  <c r="D171" i="15" s="1"/>
  <c r="D141" i="15"/>
  <c r="D178" i="15"/>
  <c r="E135" i="15"/>
  <c r="F75" i="6"/>
  <c r="F87" i="5"/>
  <c r="BM31" i="12"/>
  <c r="BN31" i="12"/>
  <c r="BO31" i="12" s="1"/>
  <c r="AE190" i="9"/>
  <c r="I47" i="14"/>
  <c r="AY123" i="10"/>
  <c r="L40" i="10"/>
  <c r="M35" i="10"/>
  <c r="I283" i="6"/>
  <c r="H162" i="17" s="1"/>
  <c r="H96" i="17"/>
  <c r="BI23" i="10"/>
  <c r="AJ17" i="9"/>
  <c r="AD17" i="9"/>
  <c r="C31" i="10"/>
  <c r="E29" i="10"/>
  <c r="E31" i="10" s="1"/>
  <c r="BM13" i="9"/>
  <c r="BS17" i="9"/>
  <c r="C147" i="15"/>
  <c r="M181" i="6"/>
  <c r="X166" i="6" s="1"/>
  <c r="C71" i="28" s="1"/>
  <c r="BJ32" i="12"/>
  <c r="BK32" i="12" s="1"/>
  <c r="BL32" i="12" s="1"/>
  <c r="N185" i="6"/>
  <c r="N169" i="6"/>
  <c r="N201" i="6"/>
  <c r="AQ55" i="10"/>
  <c r="AS50" i="10"/>
  <c r="O194" i="9"/>
  <c r="Y193" i="9"/>
  <c r="BA193" i="9" s="1"/>
  <c r="I50" i="14"/>
  <c r="I111" i="7"/>
  <c r="L111" i="7" s="1"/>
  <c r="F15" i="26"/>
  <c r="C113" i="31" s="1"/>
  <c r="D132" i="7"/>
  <c r="G150" i="7" s="1"/>
  <c r="CB24" i="12"/>
  <c r="K70" i="10"/>
  <c r="CU29" i="10"/>
  <c r="N29" i="10"/>
  <c r="AI70" i="10"/>
  <c r="CB127" i="10"/>
  <c r="I24" i="10"/>
  <c r="D60" i="10"/>
  <c r="BS30" i="12"/>
  <c r="BT30" i="12"/>
  <c r="D128" i="7"/>
  <c r="G146" i="7" s="1"/>
  <c r="F11" i="26"/>
  <c r="C109" i="31" s="1"/>
  <c r="I107" i="7"/>
  <c r="L107" i="7" s="1"/>
  <c r="A27" i="12"/>
  <c r="A47" i="12" s="1"/>
  <c r="A67" i="12" s="1"/>
  <c r="BF18" i="9"/>
  <c r="BF30" i="9" s="1"/>
  <c r="BF42" i="9" s="1"/>
  <c r="BF54" i="9" s="1"/>
  <c r="BF66" i="9" s="1"/>
  <c r="BF78" i="9" s="1"/>
  <c r="B204" i="5"/>
  <c r="B220" i="5" s="1"/>
  <c r="B236" i="5" s="1"/>
  <c r="A44" i="10"/>
  <c r="A112" i="10" s="1"/>
  <c r="A181" i="10" s="1"/>
  <c r="B9" i="3"/>
  <c r="B175" i="6"/>
  <c r="B191" i="6" s="1"/>
  <c r="B207" i="6" s="1"/>
  <c r="BA107" i="9"/>
  <c r="F173" i="17"/>
  <c r="F178" i="17" s="1"/>
  <c r="G171" i="17"/>
  <c r="F18" i="25"/>
  <c r="F36" i="15"/>
  <c r="E42" i="15"/>
  <c r="E66" i="15"/>
  <c r="E72" i="15" s="1"/>
  <c r="E79" i="15"/>
  <c r="F38" i="25"/>
  <c r="G103" i="18"/>
  <c r="G63" i="25" s="1"/>
  <c r="G132" i="18"/>
  <c r="G56" i="25"/>
  <c r="G154" i="18"/>
  <c r="E268" i="6"/>
  <c r="E321" i="5"/>
  <c r="D166" i="17"/>
  <c r="E127" i="14"/>
  <c r="D161" i="14"/>
  <c r="F21" i="13"/>
  <c r="G22" i="13"/>
  <c r="K26" i="13"/>
  <c r="H23" i="13"/>
  <c r="L27" i="13"/>
  <c r="D19" i="13"/>
  <c r="M28" i="13"/>
  <c r="N29" i="13"/>
  <c r="J25" i="13"/>
  <c r="C96" i="13"/>
  <c r="E20" i="13"/>
  <c r="I24" i="13"/>
  <c r="C169" i="15"/>
  <c r="D176" i="15"/>
  <c r="D163" i="15"/>
  <c r="D169" i="15" s="1"/>
  <c r="D139" i="15"/>
  <c r="E133" i="15"/>
  <c r="C170" i="15"/>
  <c r="V106" i="9"/>
  <c r="BJ29" i="10"/>
  <c r="BI31" i="10"/>
  <c r="D41" i="15"/>
  <c r="D78" i="15"/>
  <c r="E35" i="15"/>
  <c r="D34" i="15"/>
  <c r="D65" i="15"/>
  <c r="AL39" i="10"/>
  <c r="K19" i="11"/>
  <c r="L19" i="11"/>
  <c r="M18" i="11"/>
  <c r="O18" i="11" s="1"/>
  <c r="BS16" i="9"/>
  <c r="BL13" i="9"/>
  <c r="BQ27" i="10"/>
  <c r="BO28" i="10"/>
  <c r="BO29" i="10" s="1"/>
  <c r="G149" i="15"/>
  <c r="AC109" i="9"/>
  <c r="AM108" i="9"/>
  <c r="BG138" i="10"/>
  <c r="AJ190" i="9"/>
  <c r="CG29" i="10"/>
  <c r="CG31" i="10" s="1"/>
  <c r="CE31" i="10"/>
  <c r="D178" i="6"/>
  <c r="H29" i="12"/>
  <c r="I29" i="12" s="1"/>
  <c r="G276" i="6"/>
  <c r="F155" i="17" s="1"/>
  <c r="F153" i="17" s="1"/>
  <c r="G206" i="18" s="1"/>
  <c r="G135" i="25" s="1"/>
  <c r="F89" i="17"/>
  <c r="CP54" i="10"/>
  <c r="W191" i="9"/>
  <c r="X191" i="9" s="1"/>
  <c r="Z191" i="9"/>
  <c r="S192" i="9" s="1"/>
  <c r="U192" i="9"/>
  <c r="AE25" i="12"/>
  <c r="E37" i="13"/>
  <c r="F38" i="13"/>
  <c r="N46" i="13"/>
  <c r="D36" i="13"/>
  <c r="L44" i="13"/>
  <c r="M45" i="13"/>
  <c r="H40" i="13"/>
  <c r="G39" i="13"/>
  <c r="C113" i="13"/>
  <c r="D64" i="13"/>
  <c r="J42" i="13"/>
  <c r="I41" i="13"/>
  <c r="K43" i="13"/>
  <c r="E28" i="10"/>
  <c r="I53" i="14"/>
  <c r="I51" i="14"/>
  <c r="BA33" i="10"/>
  <c r="AZ34" i="10"/>
  <c r="F268" i="6"/>
  <c r="E166" i="17"/>
  <c r="F321" i="5"/>
  <c r="I257" i="6"/>
  <c r="J239" i="6"/>
  <c r="H26" i="17"/>
  <c r="BW75" i="10"/>
  <c r="E125" i="14"/>
  <c r="D159" i="14"/>
  <c r="S24" i="12"/>
  <c r="BY24" i="12"/>
  <c r="CD23" i="12" s="1"/>
  <c r="E49" i="13" s="1"/>
  <c r="R25" i="12"/>
  <c r="Q25" i="12"/>
  <c r="BX25" i="12" s="1"/>
  <c r="CE24" i="12" s="1"/>
  <c r="BW25" i="12"/>
  <c r="I49" i="14"/>
  <c r="H17" i="9"/>
  <c r="C17" i="17"/>
  <c r="B17" i="9"/>
  <c r="AW17" i="9"/>
  <c r="D28" i="18"/>
  <c r="C56" i="14"/>
  <c r="C17" i="13"/>
  <c r="N28" i="13"/>
  <c r="G21" i="13"/>
  <c r="M27" i="13"/>
  <c r="H22" i="13"/>
  <c r="K25" i="13"/>
  <c r="I23" i="13"/>
  <c r="J24" i="13"/>
  <c r="C95" i="13"/>
  <c r="D96" i="13"/>
  <c r="L26" i="13"/>
  <c r="E19" i="13"/>
  <c r="F20" i="13"/>
  <c r="E122" i="18"/>
  <c r="E82" i="25" s="1"/>
  <c r="C261" i="15"/>
  <c r="D231" i="15"/>
  <c r="C237" i="15"/>
  <c r="C274" i="15"/>
  <c r="C246" i="15"/>
  <c r="P137" i="10"/>
  <c r="E75" i="6"/>
  <c r="E87" i="5"/>
  <c r="B108" i="31"/>
  <c r="AY50" i="10"/>
  <c r="BA45" i="10"/>
  <c r="D117" i="7"/>
  <c r="I33" i="6"/>
  <c r="H6" i="27" s="1"/>
  <c r="H11" i="27" s="1"/>
  <c r="N50" i="7"/>
  <c r="C51" i="15"/>
  <c r="G39" i="17"/>
  <c r="H27" i="18" s="1"/>
  <c r="H278" i="6"/>
  <c r="G157" i="17" s="1"/>
  <c r="G91" i="17"/>
  <c r="E222" i="14"/>
  <c r="E255" i="14" s="1"/>
  <c r="BA192" i="9"/>
  <c r="G100" i="17"/>
  <c r="G140" i="17"/>
  <c r="H303" i="5"/>
  <c r="H250" i="6"/>
  <c r="H7" i="22"/>
  <c r="I7" i="22" s="1"/>
  <c r="H51" i="22"/>
  <c r="H69" i="18"/>
  <c r="H17" i="18"/>
  <c r="H47" i="18"/>
  <c r="H2" i="25"/>
  <c r="G2" i="24" s="1"/>
  <c r="E81" i="15"/>
  <c r="E68" i="15"/>
  <c r="E74" i="15" s="1"/>
  <c r="F38" i="15"/>
  <c r="E44" i="15"/>
  <c r="C124" i="7"/>
  <c r="E124" i="7" s="1"/>
  <c r="C142" i="7"/>
  <c r="D142" i="7" s="1"/>
  <c r="E142" i="7" s="1"/>
  <c r="H142" i="7" s="1"/>
  <c r="I142" i="7" s="1"/>
  <c r="F167" i="17"/>
  <c r="G197" i="18" s="1"/>
  <c r="CE70" i="10"/>
  <c r="K246" i="6"/>
  <c r="J264" i="6"/>
  <c r="I33" i="17"/>
  <c r="H266" i="6"/>
  <c r="I248" i="6"/>
  <c r="G35" i="17"/>
  <c r="D130" i="18"/>
  <c r="D90" i="25" s="1"/>
  <c r="CM133" i="10"/>
  <c r="C75" i="25"/>
  <c r="D149" i="15"/>
  <c r="F98" i="22"/>
  <c r="F101" i="22" s="1"/>
  <c r="F54" i="22"/>
  <c r="E148" i="14"/>
  <c r="BV26" i="12"/>
  <c r="P26" i="12"/>
  <c r="BY31" i="10"/>
  <c r="BZ29" i="10"/>
  <c r="C141" i="7"/>
  <c r="C123" i="7"/>
  <c r="B122" i="7"/>
  <c r="C129" i="25"/>
  <c r="B19" i="3"/>
  <c r="F8" i="3"/>
  <c r="F9" i="3" s="1"/>
  <c r="A7" i="3"/>
  <c r="AG24" i="10"/>
  <c r="C129" i="7"/>
  <c r="C147" i="7"/>
  <c r="D147" i="7" s="1"/>
  <c r="E147" i="7" s="1"/>
  <c r="AF30" i="12"/>
  <c r="AG30" i="12" s="1"/>
  <c r="AH30" i="12" s="1"/>
  <c r="H179" i="6"/>
  <c r="B30" i="12"/>
  <c r="C30" i="12" s="1"/>
  <c r="C179" i="6"/>
  <c r="AT44" i="10"/>
  <c r="E153" i="7"/>
  <c r="H19" i="11"/>
  <c r="G19" i="11" s="1"/>
  <c r="AH4" i="11"/>
  <c r="H52" i="18" s="1"/>
  <c r="H43" i="25" s="1"/>
  <c r="C133" i="7"/>
  <c r="C151" i="7"/>
  <c r="D151" i="7" s="1"/>
  <c r="E151" i="7" s="1"/>
  <c r="C150" i="7"/>
  <c r="D150" i="7" s="1"/>
  <c r="E150" i="7" s="1"/>
  <c r="H150" i="7" s="1"/>
  <c r="I150" i="7" s="1"/>
  <c r="C132" i="7"/>
  <c r="E132" i="7" s="1"/>
  <c r="K247" i="6"/>
  <c r="J265" i="6"/>
  <c r="I34" i="17"/>
  <c r="B180" i="17"/>
  <c r="B179" i="17"/>
  <c r="J178" i="6"/>
  <c r="AR29" i="12"/>
  <c r="AS29" i="12" s="1"/>
  <c r="AT29" i="12" s="1"/>
  <c r="D143" i="18"/>
  <c r="D103" i="25" s="1"/>
  <c r="D56" i="25"/>
  <c r="D154" i="18"/>
  <c r="D132" i="18"/>
  <c r="D103" i="18"/>
  <c r="C82" i="14"/>
  <c r="C93" i="14" s="1"/>
  <c r="I46" i="14"/>
  <c r="C146" i="7"/>
  <c r="D146" i="7" s="1"/>
  <c r="E146" i="7" s="1"/>
  <c r="H146" i="7" s="1"/>
  <c r="I146" i="7" s="1"/>
  <c r="C128" i="7"/>
  <c r="E128" i="7" s="1"/>
  <c r="F7" i="26"/>
  <c r="C105" i="31" s="1"/>
  <c r="D125" i="7"/>
  <c r="G143" i="7" s="1"/>
  <c r="I104" i="7"/>
  <c r="L104" i="7" s="1"/>
  <c r="C88" i="14"/>
  <c r="C99" i="14" s="1"/>
  <c r="C178" i="14" s="1"/>
  <c r="I52" i="14"/>
  <c r="C82" i="25"/>
  <c r="M8" i="1"/>
  <c r="L7" i="1"/>
  <c r="Z28" i="12"/>
  <c r="AA28" i="12" s="1"/>
  <c r="AB28" i="12" s="1"/>
  <c r="G177" i="6"/>
  <c r="F122" i="18"/>
  <c r="F82" i="25" s="1"/>
  <c r="CG11" i="9"/>
  <c r="BC2" i="11"/>
  <c r="CS11" i="9" s="1"/>
  <c r="DE11" i="9" s="1"/>
  <c r="DQ11" i="9" s="1"/>
  <c r="EC11" i="9" s="1"/>
  <c r="E81" i="18"/>
  <c r="E96" i="18" s="1"/>
  <c r="AR103" i="9"/>
  <c r="CB23" i="12"/>
  <c r="C145" i="15"/>
  <c r="D145" i="15" s="1"/>
  <c r="C146" i="15"/>
  <c r="D164" i="15"/>
  <c r="D170" i="15" s="1"/>
  <c r="D140" i="15"/>
  <c r="D177" i="15"/>
  <c r="E134" i="15"/>
  <c r="E129" i="14"/>
  <c r="D163" i="14"/>
  <c r="H277" i="6"/>
  <c r="G156" i="17" s="1"/>
  <c r="G90" i="17"/>
  <c r="C81" i="14"/>
  <c r="C92" i="14" s="1"/>
  <c r="C71" i="15"/>
  <c r="C64" i="15"/>
  <c r="C77" i="15"/>
  <c r="C28" i="16" s="1"/>
  <c r="N18" i="11"/>
  <c r="AS8" i="11"/>
  <c r="D58" i="14"/>
  <c r="D69" i="14" s="1"/>
  <c r="E24" i="14"/>
  <c r="D13" i="26"/>
  <c r="B111" i="31" s="1"/>
  <c r="B130" i="7"/>
  <c r="B126" i="7" s="1"/>
  <c r="B135" i="7" s="1"/>
  <c r="E109" i="7"/>
  <c r="H109" i="7" s="1"/>
  <c r="E49" i="15"/>
  <c r="C72" i="14"/>
  <c r="CK24" i="10"/>
  <c r="AK28" i="10"/>
  <c r="AJ29" i="10"/>
  <c r="AI3" i="11"/>
  <c r="E20" i="11"/>
  <c r="BG55" i="10"/>
  <c r="E251" i="14"/>
  <c r="C135" i="25"/>
  <c r="L75" i="7"/>
  <c r="H54" i="6"/>
  <c r="H58" i="5"/>
  <c r="C27" i="25"/>
  <c r="E107" i="17"/>
  <c r="E112" i="17" s="1"/>
  <c r="F105" i="17"/>
  <c r="AO27" i="12"/>
  <c r="AP27" i="12"/>
  <c r="AQ27" i="12" s="1"/>
  <c r="T31" i="12"/>
  <c r="U31" i="12" s="1"/>
  <c r="V31" i="12" s="1"/>
  <c r="F180" i="6"/>
  <c r="A23" i="9"/>
  <c r="K22" i="9"/>
  <c r="I5" i="30"/>
  <c r="H55" i="30"/>
  <c r="H25" i="30"/>
  <c r="H40" i="30" s="1"/>
  <c r="H70" i="30"/>
  <c r="AH107" i="9"/>
  <c r="AG108" i="9"/>
  <c r="AA75" i="10"/>
  <c r="D22" i="14"/>
  <c r="D57" i="14"/>
  <c r="E23" i="14"/>
  <c r="CX21" i="10"/>
  <c r="E29" i="14"/>
  <c r="D63" i="14"/>
  <c r="D74" i="14" s="1"/>
  <c r="B197" i="28"/>
  <c r="F197" i="28" s="1"/>
  <c r="D197" i="28"/>
  <c r="E197" i="28" s="1"/>
  <c r="G197" i="28"/>
  <c r="A197" i="28"/>
  <c r="C86" i="14"/>
  <c r="C97" i="14" s="1"/>
  <c r="C263" i="15"/>
  <c r="C276" i="15"/>
  <c r="D233" i="15"/>
  <c r="C239" i="15"/>
  <c r="C145" i="7"/>
  <c r="C127" i="7"/>
  <c r="B104" i="17"/>
  <c r="C104" i="17" s="1"/>
  <c r="D104" i="17" s="1"/>
  <c r="E105" i="17" s="1"/>
  <c r="D162" i="14"/>
  <c r="E128" i="14"/>
  <c r="R105" i="9"/>
  <c r="B118" i="31"/>
  <c r="B117" i="31" s="1"/>
  <c r="D19" i="26"/>
  <c r="C75" i="15"/>
  <c r="J233" i="6"/>
  <c r="I251" i="6"/>
  <c r="H16" i="17"/>
  <c r="F87" i="17"/>
  <c r="G121" i="18" s="1"/>
  <c r="G81" i="25" s="1"/>
  <c r="E47" i="16"/>
  <c r="G191" i="17"/>
  <c r="G190" i="17"/>
  <c r="H219" i="18" s="1"/>
  <c r="H148" i="25" s="1"/>
  <c r="H55" i="15"/>
  <c r="H56" i="15"/>
  <c r="H54" i="15"/>
  <c r="H129" i="15"/>
  <c r="H53" i="15"/>
  <c r="H57" i="15"/>
  <c r="H121" i="14"/>
  <c r="H152" i="14" s="1"/>
  <c r="C13" i="29"/>
  <c r="C15" i="29" s="1"/>
  <c r="C104" i="18"/>
  <c r="C2" i="8"/>
  <c r="H69" i="10"/>
  <c r="G281" i="6"/>
  <c r="F160" i="17" s="1"/>
  <c r="F94" i="17"/>
  <c r="F93" i="17" s="1"/>
  <c r="D145" i="14"/>
  <c r="E146" i="14"/>
  <c r="C10" i="25"/>
  <c r="O18" i="18"/>
  <c r="BD2" i="11"/>
  <c r="CT11" i="9" s="1"/>
  <c r="DF11" i="9" s="1"/>
  <c r="DR11" i="9" s="1"/>
  <c r="ED11" i="9" s="1"/>
  <c r="CH11" i="9"/>
  <c r="D49" i="25"/>
  <c r="AU27" i="12"/>
  <c r="AV27" i="12"/>
  <c r="B103" i="31"/>
  <c r="B189" i="9"/>
  <c r="H189" i="9"/>
  <c r="AW189" i="9"/>
  <c r="F222" i="14"/>
  <c r="E219" i="18"/>
  <c r="C149" i="7"/>
  <c r="D149" i="7" s="1"/>
  <c r="E149" i="7" s="1"/>
  <c r="H149" i="7" s="1"/>
  <c r="I149" i="7" s="1"/>
  <c r="C131" i="7"/>
  <c r="E131" i="7" s="1"/>
  <c r="I108" i="7"/>
  <c r="L108" i="7" s="1"/>
  <c r="F12" i="26"/>
  <c r="C110" i="31" s="1"/>
  <c r="D129" i="7"/>
  <c r="G147" i="7" s="1"/>
  <c r="AC29" i="10"/>
  <c r="AC31" i="10" s="1"/>
  <c r="AA31" i="10"/>
  <c r="K180" i="6" l="1"/>
  <c r="AX31" i="12"/>
  <c r="AY31" i="12" s="1"/>
  <c r="I54" i="14"/>
  <c r="U29" i="10"/>
  <c r="U31" i="10" s="1"/>
  <c r="S31" i="10"/>
  <c r="M118" i="18"/>
  <c r="N33" i="18"/>
  <c r="N22" i="17"/>
  <c r="B16" i="28" s="1"/>
  <c r="U28" i="10"/>
  <c r="M28" i="10"/>
  <c r="I279" i="6"/>
  <c r="H158" i="17" s="1"/>
  <c r="H92" i="17"/>
  <c r="N273" i="6"/>
  <c r="M150" i="17" s="1"/>
  <c r="N203" i="18" s="1"/>
  <c r="N132" i="25" s="1"/>
  <c r="M84" i="17"/>
  <c r="N118" i="18" s="1"/>
  <c r="N78" i="25" s="1"/>
  <c r="L132" i="25"/>
  <c r="BP31" i="12"/>
  <c r="BQ31" i="12" s="1"/>
  <c r="BR31" i="12" s="1"/>
  <c r="N180" i="6"/>
  <c r="J261" i="6"/>
  <c r="K243" i="6"/>
  <c r="I30" i="17"/>
  <c r="BB30" i="12"/>
  <c r="BC30" i="12" s="1"/>
  <c r="BA30" i="12"/>
  <c r="I254" i="6"/>
  <c r="H272" i="6"/>
  <c r="G149" i="17" s="1"/>
  <c r="H202" i="18" s="1"/>
  <c r="G83" i="17"/>
  <c r="H117" i="18" s="1"/>
  <c r="D56" i="14"/>
  <c r="D29" i="16" s="1"/>
  <c r="E253" i="14"/>
  <c r="H52" i="15"/>
  <c r="H151" i="7"/>
  <c r="I151" i="7" s="1"/>
  <c r="E252" i="14"/>
  <c r="BG28" i="12"/>
  <c r="BH28" i="12"/>
  <c r="BI28" i="12" s="1"/>
  <c r="BD15" i="11"/>
  <c r="I253" i="6"/>
  <c r="H19" i="17"/>
  <c r="J235" i="6"/>
  <c r="BD14" i="11"/>
  <c r="Z17" i="11"/>
  <c r="Y17" i="11" s="1"/>
  <c r="K74" i="25"/>
  <c r="BX31" i="10"/>
  <c r="BX32" i="10" s="1"/>
  <c r="BX33" i="10" s="1"/>
  <c r="BW32" i="10"/>
  <c r="F159" i="17"/>
  <c r="D146" i="15"/>
  <c r="E133" i="7"/>
  <c r="E256" i="14"/>
  <c r="D170" i="17"/>
  <c r="E171" i="17" s="1"/>
  <c r="E248" i="14"/>
  <c r="M29" i="10"/>
  <c r="M31" i="10" s="1"/>
  <c r="K31" i="10"/>
  <c r="V18" i="11"/>
  <c r="X18" i="11" s="1"/>
  <c r="T19" i="11"/>
  <c r="U19" i="11"/>
  <c r="L178" i="6"/>
  <c r="BD29" i="12"/>
  <c r="BE29" i="12" s="1"/>
  <c r="BF29" i="12" s="1"/>
  <c r="H30" i="18"/>
  <c r="H21" i="25" s="1"/>
  <c r="G40" i="17"/>
  <c r="H27" i="16" s="1"/>
  <c r="F102" i="17"/>
  <c r="G38" i="16" s="1"/>
  <c r="CM32" i="10"/>
  <c r="CN31" i="10"/>
  <c r="CN32" i="10" s="1"/>
  <c r="CN33" i="10" s="1"/>
  <c r="H152" i="7"/>
  <c r="I152" i="7" s="1"/>
  <c r="L20" i="25"/>
  <c r="F49" i="16"/>
  <c r="E169" i="17"/>
  <c r="K128" i="25"/>
  <c r="N252" i="6"/>
  <c r="M18" i="17"/>
  <c r="F168" i="17"/>
  <c r="G49" i="16" s="1"/>
  <c r="C142" i="15"/>
  <c r="C131" i="15"/>
  <c r="D136" i="15"/>
  <c r="C166" i="15"/>
  <c r="C179" i="15"/>
  <c r="C174" i="15" s="1"/>
  <c r="C39" i="16" s="1"/>
  <c r="H154" i="14"/>
  <c r="G31" i="17"/>
  <c r="H37" i="18" s="1"/>
  <c r="H28" i="25" s="1"/>
  <c r="E249" i="14"/>
  <c r="F249" i="14" s="1"/>
  <c r="G249" i="14" s="1"/>
  <c r="D77" i="15"/>
  <c r="D28" i="16" s="1"/>
  <c r="H153" i="14"/>
  <c r="G246" i="15"/>
  <c r="F115" i="18"/>
  <c r="F75" i="25" s="1"/>
  <c r="AB45" i="10"/>
  <c r="AC40" i="10"/>
  <c r="AD39" i="10" s="1"/>
  <c r="BE13" i="11"/>
  <c r="W18" i="11"/>
  <c r="C55" i="10"/>
  <c r="E50" i="10"/>
  <c r="F49" i="10" s="1"/>
  <c r="G81" i="17"/>
  <c r="H271" i="6"/>
  <c r="G147" i="17" s="1"/>
  <c r="M270" i="6"/>
  <c r="L146" i="17" s="1"/>
  <c r="L80" i="17"/>
  <c r="M114" i="18" s="1"/>
  <c r="M74" i="25" s="1"/>
  <c r="CF50" i="10"/>
  <c r="CG45" i="10"/>
  <c r="CH44" i="10" s="1"/>
  <c r="C221" i="5"/>
  <c r="C237" i="5" s="1"/>
  <c r="C206" i="5"/>
  <c r="H18" i="25"/>
  <c r="C176" i="14"/>
  <c r="C171" i="14"/>
  <c r="AW27" i="12"/>
  <c r="E145" i="14"/>
  <c r="F146" i="14"/>
  <c r="AD108" i="9"/>
  <c r="A24" i="9"/>
  <c r="K23" i="9"/>
  <c r="Q18" i="11"/>
  <c r="P18" i="11" s="1"/>
  <c r="AS9" i="11"/>
  <c r="AI30" i="12"/>
  <c r="AJ30" i="12"/>
  <c r="AK30" i="12" s="1"/>
  <c r="A19" i="3"/>
  <c r="B31" i="3"/>
  <c r="C140" i="7"/>
  <c r="D141" i="7"/>
  <c r="L246" i="6"/>
  <c r="K264" i="6"/>
  <c r="J33" i="17"/>
  <c r="H81" i="18"/>
  <c r="H96" i="18" s="1"/>
  <c r="P142" i="10"/>
  <c r="C267" i="15"/>
  <c r="C180" i="14"/>
  <c r="C191" i="14" s="1"/>
  <c r="CE32" i="10"/>
  <c r="CF31" i="10"/>
  <c r="CF32" i="10" s="1"/>
  <c r="CF33" i="10" s="1"/>
  <c r="BU24" i="10"/>
  <c r="E78" i="15"/>
  <c r="E65" i="15"/>
  <c r="E34" i="15"/>
  <c r="E41" i="15"/>
  <c r="F35" i="15"/>
  <c r="CB132" i="10"/>
  <c r="O195" i="9"/>
  <c r="Y194" i="9"/>
  <c r="D31" i="10"/>
  <c r="D32" i="10" s="1"/>
  <c r="D33" i="10" s="1"/>
  <c r="C32" i="10"/>
  <c r="AI18" i="9"/>
  <c r="AK17" i="9"/>
  <c r="AL17" i="9" s="1"/>
  <c r="AN17" i="9"/>
  <c r="AG18" i="9" s="1"/>
  <c r="BX45" i="10"/>
  <c r="BY40" i="10"/>
  <c r="D7" i="23"/>
  <c r="E77" i="2"/>
  <c r="O118" i="25"/>
  <c r="F10" i="26"/>
  <c r="D127" i="7"/>
  <c r="I106" i="7"/>
  <c r="H105" i="7"/>
  <c r="E230" i="15"/>
  <c r="D273" i="15"/>
  <c r="D236" i="15"/>
  <c r="D260" i="15"/>
  <c r="D266" i="15" s="1"/>
  <c r="E247" i="15"/>
  <c r="E250" i="15"/>
  <c r="E248" i="15"/>
  <c r="E251" i="15"/>
  <c r="E249" i="15"/>
  <c r="BO55" i="10"/>
  <c r="BQ50" i="10"/>
  <c r="AR31" i="10"/>
  <c r="AR32" i="10" s="1"/>
  <c r="AR33" i="10" s="1"/>
  <c r="AQ32" i="10"/>
  <c r="M27" i="12"/>
  <c r="J20" i="14"/>
  <c r="J46" i="14" s="1"/>
  <c r="J232" i="6"/>
  <c r="I38" i="17"/>
  <c r="I43" i="17" s="1"/>
  <c r="I48" i="17" s="1"/>
  <c r="J25" i="16"/>
  <c r="D27" i="22"/>
  <c r="I186" i="17"/>
  <c r="I189" i="17" s="1"/>
  <c r="P6" i="17"/>
  <c r="J10" i="18"/>
  <c r="I74" i="17"/>
  <c r="AJ2" i="11"/>
  <c r="I56" i="17"/>
  <c r="J32" i="15"/>
  <c r="I120" i="17"/>
  <c r="I123" i="17" s="1"/>
  <c r="F133" i="7"/>
  <c r="K151" i="7" s="1"/>
  <c r="H16" i="26"/>
  <c r="D114" i="31" s="1"/>
  <c r="I278" i="6"/>
  <c r="H157" i="17" s="1"/>
  <c r="H91" i="17"/>
  <c r="D272" i="15"/>
  <c r="D228" i="15"/>
  <c r="E229" i="15"/>
  <c r="D259" i="15"/>
  <c r="D235" i="15"/>
  <c r="AN28" i="12"/>
  <c r="BE29" i="10"/>
  <c r="B22" i="11"/>
  <c r="C22" i="11"/>
  <c r="D21" i="11"/>
  <c r="F21" i="11" s="1"/>
  <c r="I258" i="6"/>
  <c r="J240" i="6"/>
  <c r="H27" i="17"/>
  <c r="AO24" i="10"/>
  <c r="BO30" i="12"/>
  <c r="AL44" i="10"/>
  <c r="C46" i="15"/>
  <c r="D47" i="15"/>
  <c r="E59" i="14"/>
  <c r="E70" i="14" s="1"/>
  <c r="F25" i="14"/>
  <c r="AX24" i="10"/>
  <c r="K241" i="6"/>
  <c r="J259" i="6"/>
  <c r="I28" i="17"/>
  <c r="C74" i="22"/>
  <c r="C30" i="22"/>
  <c r="I303" i="5"/>
  <c r="H100" i="17"/>
  <c r="I250" i="6"/>
  <c r="H140" i="17"/>
  <c r="E232" i="15"/>
  <c r="D262" i="15"/>
  <c r="D268" i="15" s="1"/>
  <c r="D238" i="15"/>
  <c r="D275" i="15"/>
  <c r="C268" i="15"/>
  <c r="F72" i="25"/>
  <c r="AV28" i="12"/>
  <c r="AW28" i="12" s="1"/>
  <c r="AU28" i="12"/>
  <c r="D87" i="14"/>
  <c r="E87" i="14" s="1"/>
  <c r="F87" i="14" s="1"/>
  <c r="G87" i="14" s="1"/>
  <c r="H87" i="14" s="1"/>
  <c r="I87" i="14" s="1"/>
  <c r="F56" i="25"/>
  <c r="F132" i="18"/>
  <c r="F103" i="18"/>
  <c r="F63" i="25" s="1"/>
  <c r="F154" i="18"/>
  <c r="BH14" i="9"/>
  <c r="E158" i="14"/>
  <c r="F124" i="14"/>
  <c r="E123" i="14"/>
  <c r="F248" i="14"/>
  <c r="G248" i="14" s="1"/>
  <c r="CB26" i="12"/>
  <c r="B45" i="17" s="1"/>
  <c r="C189" i="14"/>
  <c r="C200" i="14" s="1"/>
  <c r="AA32" i="10"/>
  <c r="AB31" i="10"/>
  <c r="AB32" i="10" s="1"/>
  <c r="AB33" i="10" s="1"/>
  <c r="E130" i="18"/>
  <c r="E90" i="25" s="1"/>
  <c r="E48" i="2"/>
  <c r="O104" i="18"/>
  <c r="C64" i="25"/>
  <c r="DC24" i="10"/>
  <c r="D68" i="14"/>
  <c r="E113" i="17"/>
  <c r="G143" i="18" s="1"/>
  <c r="G103" i="25" s="1"/>
  <c r="E114" i="17"/>
  <c r="F251" i="14"/>
  <c r="G251" i="14" s="1"/>
  <c r="C83" i="14"/>
  <c r="C70" i="15"/>
  <c r="C49" i="13"/>
  <c r="N8" i="1"/>
  <c r="M7" i="1"/>
  <c r="D88" i="14"/>
  <c r="E88" i="14" s="1"/>
  <c r="F88" i="14" s="1"/>
  <c r="G88" i="14" s="1"/>
  <c r="H88" i="14" s="1"/>
  <c r="F125" i="7"/>
  <c r="K143" i="7" s="1"/>
  <c r="H7" i="26"/>
  <c r="D105" i="31" s="1"/>
  <c r="D63" i="25"/>
  <c r="J283" i="6"/>
  <c r="I162" i="17" s="1"/>
  <c r="I96" i="17"/>
  <c r="D30" i="12"/>
  <c r="CV29" i="10"/>
  <c r="CM138" i="10"/>
  <c r="H284" i="6"/>
  <c r="G163" i="17" s="1"/>
  <c r="G97" i="17"/>
  <c r="H98" i="22"/>
  <c r="H101" i="22" s="1"/>
  <c r="I101" i="22" s="1"/>
  <c r="H54" i="22"/>
  <c r="I54" i="22" s="1"/>
  <c r="H268" i="6"/>
  <c r="G166" i="17"/>
  <c r="H321" i="5"/>
  <c r="D51" i="15"/>
  <c r="BB44" i="10"/>
  <c r="C243" i="15"/>
  <c r="C29" i="16"/>
  <c r="C30" i="16" s="1"/>
  <c r="D19" i="25"/>
  <c r="I17" i="9"/>
  <c r="L17" i="9"/>
  <c r="G18" i="9"/>
  <c r="S25" i="12"/>
  <c r="BZ25" i="12" s="1"/>
  <c r="CE26" i="12" s="1"/>
  <c r="BY25" i="12"/>
  <c r="L58" i="13"/>
  <c r="J56" i="13"/>
  <c r="F52" i="13"/>
  <c r="G53" i="13"/>
  <c r="C127" i="13"/>
  <c r="K57" i="13"/>
  <c r="N60" i="13"/>
  <c r="E51" i="13"/>
  <c r="I55" i="13"/>
  <c r="H54" i="13"/>
  <c r="D128" i="13"/>
  <c r="M59" i="13"/>
  <c r="H149" i="14"/>
  <c r="K239" i="6"/>
  <c r="J257" i="6"/>
  <c r="I26" i="17"/>
  <c r="F171" i="17"/>
  <c r="E173" i="17"/>
  <c r="E178" i="17" s="1"/>
  <c r="V192" i="9"/>
  <c r="P192" i="9"/>
  <c r="Q192" i="9" s="1"/>
  <c r="J29" i="12"/>
  <c r="AC110" i="9"/>
  <c r="AM109" i="9"/>
  <c r="AT8" i="11"/>
  <c r="N19" i="11"/>
  <c r="D64" i="15"/>
  <c r="D71" i="15"/>
  <c r="D70" i="15" s="1"/>
  <c r="E44" i="18" s="1"/>
  <c r="E35" i="25" s="1"/>
  <c r="D30" i="16"/>
  <c r="Z106" i="9"/>
  <c r="S107" i="9" s="1"/>
  <c r="W106" i="9"/>
  <c r="X106" i="9" s="1"/>
  <c r="U107" i="9"/>
  <c r="E163" i="15"/>
  <c r="E169" i="15" s="1"/>
  <c r="E176" i="15"/>
  <c r="E139" i="15"/>
  <c r="E145" i="15" s="1"/>
  <c r="F133" i="15"/>
  <c r="E161" i="14"/>
  <c r="F127" i="14"/>
  <c r="G157" i="18"/>
  <c r="G166" i="18"/>
  <c r="G181" i="18" s="1"/>
  <c r="F79" i="15"/>
  <c r="G36" i="15"/>
  <c r="F42" i="15"/>
  <c r="F66" i="15"/>
  <c r="D65" i="10"/>
  <c r="DE22" i="10"/>
  <c r="AS55" i="10"/>
  <c r="AQ60" i="10"/>
  <c r="M186" i="6"/>
  <c r="BJ33" i="12"/>
  <c r="BK33" i="12" s="1"/>
  <c r="BL33" i="12" s="1"/>
  <c r="BL34" i="12" s="1"/>
  <c r="D147" i="15"/>
  <c r="BS18" i="9"/>
  <c r="N34" i="10"/>
  <c r="CU34" i="10"/>
  <c r="DF22" i="10" s="1"/>
  <c r="F34" i="13" s="1"/>
  <c r="AF190" i="9"/>
  <c r="D222" i="5"/>
  <c r="D238" i="5" s="1"/>
  <c r="D207" i="5"/>
  <c r="E247" i="14"/>
  <c r="H281" i="6"/>
  <c r="G160" i="17" s="1"/>
  <c r="G159" i="17" s="1"/>
  <c r="G94" i="17"/>
  <c r="C179" i="17"/>
  <c r="C180" i="17"/>
  <c r="F179" i="17" s="1"/>
  <c r="H228" i="18" s="1"/>
  <c r="H157" i="25" s="1"/>
  <c r="CP59" i="10"/>
  <c r="G36" i="18"/>
  <c r="L45" i="13"/>
  <c r="I42" i="13"/>
  <c r="C36" i="13"/>
  <c r="C48" i="13" s="1"/>
  <c r="C23" i="18" s="1"/>
  <c r="K44" i="13"/>
  <c r="E38" i="13"/>
  <c r="G40" i="13"/>
  <c r="D37" i="13"/>
  <c r="D48" i="13" s="1"/>
  <c r="D23" i="18" s="1"/>
  <c r="H41" i="13"/>
  <c r="N47" i="13"/>
  <c r="M46" i="13"/>
  <c r="F39" i="13"/>
  <c r="J43" i="13"/>
  <c r="C64" i="13"/>
  <c r="BQ28" i="10"/>
  <c r="P54" i="10"/>
  <c r="AY103" i="9"/>
  <c r="J103" i="9"/>
  <c r="AZ103" i="9" s="1"/>
  <c r="AM25" i="9"/>
  <c r="AC26" i="9"/>
  <c r="P50" i="7"/>
  <c r="J33" i="6"/>
  <c r="I6" i="27" s="1"/>
  <c r="I11" i="27" s="1"/>
  <c r="E66" i="14"/>
  <c r="E77" i="14" s="1"/>
  <c r="F32" i="14"/>
  <c r="F45" i="14"/>
  <c r="E44" i="14"/>
  <c r="N28" i="12"/>
  <c r="O28" i="12" s="1"/>
  <c r="E177" i="6"/>
  <c r="G101" i="17"/>
  <c r="H112" i="18" s="1"/>
  <c r="C271" i="15"/>
  <c r="C50" i="16" s="1"/>
  <c r="AF74" i="10"/>
  <c r="I178" i="6"/>
  <c r="AL29" i="12"/>
  <c r="AM29" i="12" s="1"/>
  <c r="AN29" i="12" s="1"/>
  <c r="H276" i="6"/>
  <c r="G155" i="17" s="1"/>
  <c r="G89" i="17"/>
  <c r="G87" i="17" s="1"/>
  <c r="AJ55" i="10"/>
  <c r="AK50" i="10"/>
  <c r="BJ34" i="10"/>
  <c r="BA108" i="9"/>
  <c r="H101" i="7"/>
  <c r="I102" i="7"/>
  <c r="D123" i="7"/>
  <c r="E123" i="7" s="1"/>
  <c r="F5" i="26"/>
  <c r="I277" i="6"/>
  <c r="H156" i="17" s="1"/>
  <c r="H90" i="17"/>
  <c r="A196" i="9"/>
  <c r="K195" i="9"/>
  <c r="O110" i="9"/>
  <c r="Y109" i="9"/>
  <c r="D246" i="15"/>
  <c r="AU2" i="11"/>
  <c r="BY11" i="9"/>
  <c r="H131" i="25"/>
  <c r="E104" i="17"/>
  <c r="F206" i="18"/>
  <c r="A78" i="30"/>
  <c r="A33" i="30"/>
  <c r="A48" i="30" s="1"/>
  <c r="A63" i="30"/>
  <c r="A14" i="30"/>
  <c r="E125" i="7"/>
  <c r="G125" i="7" s="1"/>
  <c r="F126" i="14"/>
  <c r="E160" i="14"/>
  <c r="BI32" i="10"/>
  <c r="BG33" i="10"/>
  <c r="BG34" i="10" s="1"/>
  <c r="D42" i="25"/>
  <c r="D21" i="22"/>
  <c r="D157" i="14"/>
  <c r="D40" i="16" s="1"/>
  <c r="D72" i="14"/>
  <c r="C174" i="14"/>
  <c r="F249" i="15"/>
  <c r="F250" i="15"/>
  <c r="F247" i="15"/>
  <c r="F248" i="15"/>
  <c r="F251" i="15"/>
  <c r="F149" i="15"/>
  <c r="AC195" i="9"/>
  <c r="AM194" i="9"/>
  <c r="S65" i="10"/>
  <c r="U60" i="10"/>
  <c r="J251" i="6"/>
  <c r="K233" i="6"/>
  <c r="I16" i="17"/>
  <c r="D239" i="15"/>
  <c r="E233" i="15"/>
  <c r="D263" i="15"/>
  <c r="D269" i="15" s="1"/>
  <c r="D276" i="15"/>
  <c r="F253" i="14"/>
  <c r="G253" i="14" s="1"/>
  <c r="E58" i="14"/>
  <c r="E69" i="14" s="1"/>
  <c r="F24" i="14"/>
  <c r="R25" i="7"/>
  <c r="S1" i="16"/>
  <c r="J12" i="17"/>
  <c r="C172" i="14"/>
  <c r="B31" i="12"/>
  <c r="C31" i="12" s="1"/>
  <c r="C180" i="6"/>
  <c r="E129" i="7"/>
  <c r="F256" i="14"/>
  <c r="G256" i="14" s="1"/>
  <c r="K75" i="10"/>
  <c r="K79" i="10" s="1"/>
  <c r="AT49" i="10"/>
  <c r="H47" i="16"/>
  <c r="E19" i="2"/>
  <c r="O10" i="25"/>
  <c r="B7" i="23"/>
  <c r="H153" i="15"/>
  <c r="H152" i="15"/>
  <c r="H226" i="15"/>
  <c r="H154" i="15"/>
  <c r="H151" i="15"/>
  <c r="H150" i="15"/>
  <c r="H39" i="17"/>
  <c r="I26" i="16" s="1"/>
  <c r="D145" i="7"/>
  <c r="E63" i="14"/>
  <c r="E74" i="14" s="1"/>
  <c r="F29" i="14"/>
  <c r="AA79" i="10"/>
  <c r="I25" i="30"/>
  <c r="I40" i="30" s="1"/>
  <c r="I70" i="30"/>
  <c r="I55" i="30"/>
  <c r="J5" i="30"/>
  <c r="F255" i="14"/>
  <c r="G255" i="14" s="1"/>
  <c r="AI4" i="11"/>
  <c r="I52" i="18" s="1"/>
  <c r="H20" i="11"/>
  <c r="G20" i="11" s="1"/>
  <c r="F129" i="14"/>
  <c r="E163" i="14"/>
  <c r="G178" i="6"/>
  <c r="Z29" i="12"/>
  <c r="AA29" i="12" s="1"/>
  <c r="AB29" i="12" s="1"/>
  <c r="D82" i="14"/>
  <c r="E82" i="14" s="1"/>
  <c r="F82" i="14" s="1"/>
  <c r="G82" i="14" s="1"/>
  <c r="H82" i="14" s="1"/>
  <c r="D131" i="18"/>
  <c r="D91" i="25" s="1"/>
  <c r="D92" i="25"/>
  <c r="AU29" i="12"/>
  <c r="AV29" i="12"/>
  <c r="AW29" i="12" s="1"/>
  <c r="K265" i="6"/>
  <c r="L247" i="6"/>
  <c r="J34" i="17"/>
  <c r="G133" i="7"/>
  <c r="G126" i="25"/>
  <c r="F44" i="15"/>
  <c r="G38" i="15"/>
  <c r="F68" i="15"/>
  <c r="F81" i="15"/>
  <c r="H38" i="25"/>
  <c r="H46" i="18"/>
  <c r="H37" i="25" s="1"/>
  <c r="G107" i="17"/>
  <c r="H26" i="16"/>
  <c r="I58" i="5"/>
  <c r="I54" i="6"/>
  <c r="N75" i="7"/>
  <c r="BA50" i="10"/>
  <c r="AY55" i="10"/>
  <c r="BI14" i="9"/>
  <c r="BT13" i="9"/>
  <c r="BZ24" i="12"/>
  <c r="CD26" i="12" s="1"/>
  <c r="I275" i="6"/>
  <c r="H154" i="17" s="1"/>
  <c r="H88" i="17"/>
  <c r="CZ24" i="10"/>
  <c r="T192" i="9"/>
  <c r="H30" i="12"/>
  <c r="I30" i="12" s="1"/>
  <c r="J30" i="12" s="1"/>
  <c r="D179" i="6"/>
  <c r="BG143" i="10"/>
  <c r="BG148" i="10" s="1"/>
  <c r="BH148" i="10" s="1"/>
  <c r="M19" i="11"/>
  <c r="O19" i="11" s="1"/>
  <c r="L20" i="11"/>
  <c r="K20" i="11"/>
  <c r="D40" i="15"/>
  <c r="H147" i="14"/>
  <c r="BU30" i="12"/>
  <c r="H150" i="14"/>
  <c r="J24" i="10"/>
  <c r="AI75" i="10"/>
  <c r="M40" i="10"/>
  <c r="L45" i="10"/>
  <c r="AY128" i="10"/>
  <c r="H151" i="14"/>
  <c r="C37" i="25"/>
  <c r="D237" i="5"/>
  <c r="E215" i="18"/>
  <c r="E144" i="25" s="1"/>
  <c r="L61" i="17"/>
  <c r="N61" i="17" s="1"/>
  <c r="L60" i="17"/>
  <c r="I263" i="6"/>
  <c r="J245" i="6"/>
  <c r="H32" i="17"/>
  <c r="H6" i="26"/>
  <c r="D104" i="31" s="1"/>
  <c r="F124" i="7"/>
  <c r="K142" i="7" s="1"/>
  <c r="L142" i="7" s="1"/>
  <c r="A49" i="10"/>
  <c r="A117" i="10" s="1"/>
  <c r="A186" i="10" s="1"/>
  <c r="B10" i="3"/>
  <c r="B176" i="6"/>
  <c r="B192" i="6" s="1"/>
  <c r="B208" i="6" s="1"/>
  <c r="BF19" i="9"/>
  <c r="BF31" i="9" s="1"/>
  <c r="BF43" i="9" s="1"/>
  <c r="BF55" i="9" s="1"/>
  <c r="BF67" i="9" s="1"/>
  <c r="BF79" i="9" s="1"/>
  <c r="A28" i="12"/>
  <c r="A48" i="12" s="1"/>
  <c r="A68" i="12" s="1"/>
  <c r="B205" i="5"/>
  <c r="B221" i="5" s="1"/>
  <c r="B237" i="5" s="1"/>
  <c r="G28" i="12"/>
  <c r="C242" i="15"/>
  <c r="E64" i="14"/>
  <c r="F30" i="14"/>
  <c r="D79" i="14"/>
  <c r="E79" i="14" s="1"/>
  <c r="F79" i="14" s="1"/>
  <c r="G79" i="14" s="1"/>
  <c r="H79" i="14" s="1"/>
  <c r="E149" i="15"/>
  <c r="CR201" i="10"/>
  <c r="BL54" i="10"/>
  <c r="BB103" i="9"/>
  <c r="E104" i="9"/>
  <c r="F207" i="18"/>
  <c r="E60" i="14"/>
  <c r="F26" i="14"/>
  <c r="E45" i="18"/>
  <c r="E36" i="25" s="1"/>
  <c r="F133" i="14"/>
  <c r="E167" i="14"/>
  <c r="AI29" i="12"/>
  <c r="AJ29" i="12"/>
  <c r="C2" i="13"/>
  <c r="P27" i="12"/>
  <c r="BV27" i="12"/>
  <c r="F114" i="17"/>
  <c r="G167" i="17"/>
  <c r="H197" i="18" s="1"/>
  <c r="C234" i="15"/>
  <c r="C241" i="15"/>
  <c r="G153" i="17"/>
  <c r="H206" i="18" s="1"/>
  <c r="H135" i="25" s="1"/>
  <c r="AN64" i="10"/>
  <c r="AJ3" i="11"/>
  <c r="E21" i="11"/>
  <c r="AI31" i="10"/>
  <c r="AK29" i="10"/>
  <c r="AK31" i="10" s="1"/>
  <c r="C80" i="14"/>
  <c r="C91" i="14" s="1"/>
  <c r="BH45" i="10"/>
  <c r="BI40" i="10"/>
  <c r="K109" i="9"/>
  <c r="A110" i="9"/>
  <c r="E29" i="12"/>
  <c r="F29" i="12"/>
  <c r="G37" i="18"/>
  <c r="AS10" i="11"/>
  <c r="F131" i="7"/>
  <c r="K149" i="7" s="1"/>
  <c r="L149" i="7" s="1"/>
  <c r="H14" i="26"/>
  <c r="D112" i="31" s="1"/>
  <c r="I55" i="15"/>
  <c r="I53" i="15"/>
  <c r="I54" i="15"/>
  <c r="I129" i="15"/>
  <c r="I57" i="15"/>
  <c r="I56" i="15"/>
  <c r="I121" i="14"/>
  <c r="I152" i="14" s="1"/>
  <c r="I82" i="14"/>
  <c r="I88" i="14"/>
  <c r="I79" i="14"/>
  <c r="H114" i="7"/>
  <c r="H117" i="7" s="1"/>
  <c r="F20" i="26"/>
  <c r="I115" i="7"/>
  <c r="C244" i="15"/>
  <c r="D244" i="15" s="1"/>
  <c r="D85" i="14"/>
  <c r="E85" i="14" s="1"/>
  <c r="F85" i="14" s="1"/>
  <c r="G85" i="14" s="1"/>
  <c r="H85" i="14" s="1"/>
  <c r="I85" i="14" s="1"/>
  <c r="E48" i="15"/>
  <c r="C98" i="14"/>
  <c r="E250" i="14"/>
  <c r="C175" i="14"/>
  <c r="H143" i="7"/>
  <c r="I143" i="7" s="1"/>
  <c r="D84" i="14"/>
  <c r="E84" i="14" s="1"/>
  <c r="F84" i="14" s="1"/>
  <c r="G84" i="14" s="1"/>
  <c r="H84" i="14" s="1"/>
  <c r="I84" i="14" s="1"/>
  <c r="BH34" i="10"/>
  <c r="E61" i="14"/>
  <c r="E72" i="14" s="1"/>
  <c r="F27" i="14"/>
  <c r="CZ21" i="10"/>
  <c r="G207" i="18"/>
  <c r="G136" i="25" s="1"/>
  <c r="E127" i="7"/>
  <c r="D86" i="14"/>
  <c r="E86" i="14" s="1"/>
  <c r="F86" i="14" s="1"/>
  <c r="G86" i="14" s="1"/>
  <c r="H86" i="14" s="1"/>
  <c r="I86" i="14" s="1"/>
  <c r="W31" i="12"/>
  <c r="X31" i="12"/>
  <c r="CL24" i="10"/>
  <c r="C148" i="7"/>
  <c r="D148" i="7" s="1"/>
  <c r="E148" i="7" s="1"/>
  <c r="C130" i="7"/>
  <c r="D43" i="18"/>
  <c r="J248" i="6"/>
  <c r="I266" i="6"/>
  <c r="H35" i="17"/>
  <c r="F128" i="7"/>
  <c r="K146" i="7" s="1"/>
  <c r="L146" i="7" s="1"/>
  <c r="H11" i="26"/>
  <c r="D109" i="31" s="1"/>
  <c r="BM32" i="12"/>
  <c r="BN32" i="12"/>
  <c r="BO32" i="12" s="1"/>
  <c r="D168" i="15"/>
  <c r="G72" i="25"/>
  <c r="A32" i="3"/>
  <c r="DI88" i="10"/>
  <c r="DI157" i="10" s="1"/>
  <c r="CH21" i="12"/>
  <c r="CH41" i="12" s="1"/>
  <c r="CH61" i="12" s="1"/>
  <c r="AQ133" i="10"/>
  <c r="F129" i="7"/>
  <c r="K147" i="7" s="1"/>
  <c r="H12" i="26"/>
  <c r="D110" i="31" s="1"/>
  <c r="L189" i="9"/>
  <c r="G190" i="9"/>
  <c r="I189" i="9"/>
  <c r="AX189" i="9"/>
  <c r="E148" i="25"/>
  <c r="AR189" i="9"/>
  <c r="G122" i="18"/>
  <c r="G82" i="25" s="1"/>
  <c r="H74" i="10"/>
  <c r="H222" i="14"/>
  <c r="I269" i="6"/>
  <c r="H144" i="17" s="1"/>
  <c r="H78" i="17"/>
  <c r="E162" i="14"/>
  <c r="F128" i="14"/>
  <c r="C245" i="15"/>
  <c r="D245" i="15" s="1"/>
  <c r="C269" i="15"/>
  <c r="E22" i="14"/>
  <c r="E57" i="14"/>
  <c r="E68" i="14" s="1"/>
  <c r="E90" i="14" s="1"/>
  <c r="F23" i="14"/>
  <c r="H155" i="14"/>
  <c r="BA22" i="9"/>
  <c r="BN19" i="9" s="1"/>
  <c r="F181" i="6"/>
  <c r="T32" i="12"/>
  <c r="U32" i="12" s="1"/>
  <c r="V32" i="12" s="1"/>
  <c r="H87" i="5"/>
  <c r="H75" i="6"/>
  <c r="BG60" i="10"/>
  <c r="D130" i="7"/>
  <c r="G148" i="7" s="1"/>
  <c r="F13" i="26"/>
  <c r="C111" i="31" s="1"/>
  <c r="I109" i="7"/>
  <c r="L109" i="7" s="1"/>
  <c r="D81" i="14"/>
  <c r="E81" i="14" s="1"/>
  <c r="F81" i="14" s="1"/>
  <c r="G81" i="14" s="1"/>
  <c r="H81" i="14" s="1"/>
  <c r="I81" i="14" s="1"/>
  <c r="E177" i="15"/>
  <c r="E140" i="15"/>
  <c r="E164" i="15"/>
  <c r="E170" i="15" s="1"/>
  <c r="F134" i="15"/>
  <c r="E132" i="18"/>
  <c r="E154" i="18"/>
  <c r="E143" i="18"/>
  <c r="E103" i="25" s="1"/>
  <c r="E103" i="18"/>
  <c r="E63" i="25" s="1"/>
  <c r="E56" i="25"/>
  <c r="AC28" i="12"/>
  <c r="AD28" i="12"/>
  <c r="D157" i="18"/>
  <c r="D166" i="18"/>
  <c r="D181" i="18" s="1"/>
  <c r="J179" i="6"/>
  <c r="AR30" i="12"/>
  <c r="AS30" i="12" s="1"/>
  <c r="AT30" i="12" s="1"/>
  <c r="H153" i="7"/>
  <c r="H180" i="6"/>
  <c r="AF31" i="12"/>
  <c r="AG31" i="12" s="1"/>
  <c r="AH31" i="12" s="1"/>
  <c r="H147" i="7"/>
  <c r="I147" i="7" s="1"/>
  <c r="L147" i="7" s="1"/>
  <c r="AH24" i="10"/>
  <c r="C122" i="7"/>
  <c r="R26" i="12"/>
  <c r="Q26" i="12"/>
  <c r="BX26" i="12" s="1"/>
  <c r="CF24" i="12" s="1"/>
  <c r="BW26" i="12"/>
  <c r="F148" i="14"/>
  <c r="G148" i="14" s="1"/>
  <c r="H148" i="14" s="1"/>
  <c r="J282" i="6"/>
  <c r="I161" i="17" s="1"/>
  <c r="I95" i="17"/>
  <c r="CE75" i="10"/>
  <c r="G48" i="16"/>
  <c r="F169" i="17"/>
  <c r="H9" i="25"/>
  <c r="E231" i="15"/>
  <c r="D261" i="15"/>
  <c r="D267" i="15" s="1"/>
  <c r="D237" i="15"/>
  <c r="D274" i="15"/>
  <c r="E21" i="13"/>
  <c r="E31" i="13" s="1"/>
  <c r="E14" i="18" s="1"/>
  <c r="E6" i="25" s="1"/>
  <c r="I25" i="13"/>
  <c r="H24" i="13"/>
  <c r="M29" i="13"/>
  <c r="N30" i="13"/>
  <c r="L28" i="13"/>
  <c r="F22" i="13"/>
  <c r="K27" i="13"/>
  <c r="D20" i="13"/>
  <c r="D31" i="13" s="1"/>
  <c r="D14" i="18" s="1"/>
  <c r="D6" i="25" s="1"/>
  <c r="J26" i="13"/>
  <c r="C19" i="13"/>
  <c r="C31" i="13" s="1"/>
  <c r="C14" i="18" s="1"/>
  <c r="G23" i="13"/>
  <c r="CE22" i="12"/>
  <c r="CO25" i="12"/>
  <c r="F125" i="14"/>
  <c r="E159" i="14"/>
  <c r="BW79" i="10"/>
  <c r="H77" i="25"/>
  <c r="C14" i="17"/>
  <c r="D12" i="22"/>
  <c r="AN190" i="9"/>
  <c r="AG191" i="9" s="1"/>
  <c r="AK190" i="9"/>
  <c r="AL190" i="9" s="1"/>
  <c r="AI191" i="9"/>
  <c r="BK34" i="12"/>
  <c r="BQ29" i="10"/>
  <c r="BQ31" i="10" s="1"/>
  <c r="BO31" i="10"/>
  <c r="D173" i="17"/>
  <c r="G92" i="25"/>
  <c r="G131" i="18"/>
  <c r="G91" i="25" s="1"/>
  <c r="B21" i="3"/>
  <c r="A9" i="3"/>
  <c r="F10" i="3"/>
  <c r="F252" i="14"/>
  <c r="G252" i="14" s="1"/>
  <c r="H252" i="14" s="1"/>
  <c r="F132" i="7"/>
  <c r="K150" i="7" s="1"/>
  <c r="L150" i="7" s="1"/>
  <c r="H15" i="26"/>
  <c r="D113" i="31" s="1"/>
  <c r="D71" i="28"/>
  <c r="E71" i="28" s="1"/>
  <c r="A71" i="28"/>
  <c r="G71" i="28"/>
  <c r="B71" i="28"/>
  <c r="F71" i="28" s="1"/>
  <c r="E141" i="15"/>
  <c r="E178" i="15"/>
  <c r="F135" i="15"/>
  <c r="E165" i="15"/>
  <c r="E171" i="15" s="1"/>
  <c r="F131" i="14"/>
  <c r="E165" i="14"/>
  <c r="BZ34" i="10"/>
  <c r="H17" i="26"/>
  <c r="D115" i="31" s="1"/>
  <c r="F134" i="7"/>
  <c r="K152" i="7" s="1"/>
  <c r="L152" i="7" s="1"/>
  <c r="D144" i="15"/>
  <c r="F132" i="15"/>
  <c r="E162" i="15"/>
  <c r="E138" i="15"/>
  <c r="E175" i="15"/>
  <c r="G37" i="16"/>
  <c r="F103" i="17"/>
  <c r="F31" i="14"/>
  <c r="E65" i="14"/>
  <c r="E76" i="14" s="1"/>
  <c r="E69" i="15"/>
  <c r="E45" i="15"/>
  <c r="E82" i="15"/>
  <c r="F39" i="15"/>
  <c r="W84" i="13"/>
  <c r="I133" i="13"/>
  <c r="W150" i="13" s="1"/>
  <c r="E105" i="7"/>
  <c r="E117" i="7" s="1"/>
  <c r="E62" i="14"/>
  <c r="E73" i="14" s="1"/>
  <c r="F28" i="14"/>
  <c r="C266" i="15"/>
  <c r="E254" i="14"/>
  <c r="AH5" i="11"/>
  <c r="C40" i="16"/>
  <c r="BR44" i="10"/>
  <c r="X54" i="10"/>
  <c r="CJ74" i="10"/>
  <c r="CO65" i="10"/>
  <c r="CM70" i="10"/>
  <c r="A18" i="3"/>
  <c r="B30" i="3"/>
  <c r="F67" i="15"/>
  <c r="F43" i="15"/>
  <c r="G37" i="15"/>
  <c r="F80" i="15"/>
  <c r="E50" i="15"/>
  <c r="F50" i="15" s="1"/>
  <c r="H104" i="9"/>
  <c r="AW104" i="9"/>
  <c r="BT74" i="10"/>
  <c r="K8" i="16"/>
  <c r="J1" i="13"/>
  <c r="J67" i="13" s="1"/>
  <c r="DJ20" i="10"/>
  <c r="D93" i="14"/>
  <c r="D172" i="14" s="1"/>
  <c r="J260" i="6"/>
  <c r="K242" i="6"/>
  <c r="I29" i="17"/>
  <c r="C258" i="15"/>
  <c r="C265" i="15"/>
  <c r="BA34" i="10"/>
  <c r="BA36" i="10" s="1"/>
  <c r="AY36" i="10"/>
  <c r="BO148" i="10"/>
  <c r="BP148" i="10" s="1"/>
  <c r="E164" i="14"/>
  <c r="F130" i="14"/>
  <c r="Y23" i="9"/>
  <c r="O24" i="9"/>
  <c r="E134" i="7"/>
  <c r="I36" i="16"/>
  <c r="J32" i="16"/>
  <c r="J48" i="18" s="1"/>
  <c r="J39" i="25" s="1"/>
  <c r="H50" i="17"/>
  <c r="H49" i="17"/>
  <c r="J58" i="18" s="1"/>
  <c r="J49" i="25" s="1"/>
  <c r="I2" i="25"/>
  <c r="H2" i="24" s="1"/>
  <c r="I17" i="18"/>
  <c r="I9" i="25" s="1"/>
  <c r="I47" i="18"/>
  <c r="I69" i="18"/>
  <c r="I48" i="14"/>
  <c r="F132" i="14"/>
  <c r="E166" i="14"/>
  <c r="D36" i="25"/>
  <c r="CJ11" i="9"/>
  <c r="BF2" i="11"/>
  <c r="CV11" i="9" s="1"/>
  <c r="DH11" i="9" s="1"/>
  <c r="DT11" i="9" s="1"/>
  <c r="EF11" i="9" s="1"/>
  <c r="V17" i="9"/>
  <c r="P17" i="9"/>
  <c r="BT31" i="12"/>
  <c r="BU31" i="12" s="1"/>
  <c r="BS31" i="12"/>
  <c r="V54" i="10"/>
  <c r="N24" i="25" l="1"/>
  <c r="O33" i="18"/>
  <c r="H248" i="14"/>
  <c r="G115" i="18"/>
  <c r="G75" i="25" s="1"/>
  <c r="E146" i="15"/>
  <c r="K261" i="6"/>
  <c r="L243" i="6"/>
  <c r="J30" i="17"/>
  <c r="N84" i="17"/>
  <c r="B92" i="28" s="1"/>
  <c r="L92" i="28" s="1"/>
  <c r="J279" i="6"/>
  <c r="I158" i="17" s="1"/>
  <c r="I92" i="17"/>
  <c r="M78" i="25"/>
  <c r="O118" i="18"/>
  <c r="G134" i="7"/>
  <c r="N181" i="6"/>
  <c r="X167" i="6"/>
  <c r="C72" i="28" s="1"/>
  <c r="BP32" i="12"/>
  <c r="BQ32" i="12" s="1"/>
  <c r="BR32" i="12" s="1"/>
  <c r="T31" i="10"/>
  <c r="T32" i="10" s="1"/>
  <c r="T33" i="10" s="1"/>
  <c r="T34" i="10" s="1"/>
  <c r="S32" i="10"/>
  <c r="E170" i="17"/>
  <c r="I272" i="6"/>
  <c r="H149" i="17" s="1"/>
  <c r="I202" i="18" s="1"/>
  <c r="I131" i="25" s="1"/>
  <c r="J254" i="6"/>
  <c r="H83" i="17"/>
  <c r="I117" i="18" s="1"/>
  <c r="I77" i="25" s="1"/>
  <c r="H249" i="14"/>
  <c r="G200" i="18"/>
  <c r="G129" i="25" s="1"/>
  <c r="O203" i="18"/>
  <c r="N150" i="17"/>
  <c r="B166" i="28" s="1"/>
  <c r="L166" i="28" s="1"/>
  <c r="AZ31" i="12"/>
  <c r="AX32" i="12"/>
  <c r="AY32" i="12" s="1"/>
  <c r="AZ32" i="12" s="1"/>
  <c r="K181" i="6"/>
  <c r="J47" i="14"/>
  <c r="F180" i="17"/>
  <c r="J50" i="14"/>
  <c r="C207" i="5"/>
  <c r="C222" i="5"/>
  <c r="C238" i="5" s="1"/>
  <c r="K235" i="6"/>
  <c r="I19" i="17"/>
  <c r="J253" i="6"/>
  <c r="I154" i="14"/>
  <c r="L143" i="7"/>
  <c r="F48" i="15"/>
  <c r="I153" i="14"/>
  <c r="E246" i="15"/>
  <c r="N29" i="18"/>
  <c r="N18" i="17"/>
  <c r="B13" i="28" s="1"/>
  <c r="BD30" i="12"/>
  <c r="BE30" i="12" s="1"/>
  <c r="BF30" i="12" s="1"/>
  <c r="L179" i="6"/>
  <c r="L31" i="10"/>
  <c r="L32" i="10" s="1"/>
  <c r="L33" i="10" s="1"/>
  <c r="K32" i="10"/>
  <c r="H40" i="17"/>
  <c r="I27" i="16" s="1"/>
  <c r="CG50" i="10"/>
  <c r="CH49" i="10" s="1"/>
  <c r="CF55" i="10"/>
  <c r="G168" i="17"/>
  <c r="H49" i="16" s="1"/>
  <c r="Z18" i="11"/>
  <c r="Y18" i="11" s="1"/>
  <c r="BE14" i="11"/>
  <c r="BE15" i="11" s="1"/>
  <c r="C172" i="15"/>
  <c r="C167" i="15" s="1"/>
  <c r="C161" i="15"/>
  <c r="D128" i="18" s="1"/>
  <c r="CO32" i="10"/>
  <c r="CS29" i="10" s="1"/>
  <c r="CM33" i="10"/>
  <c r="CM34" i="10" s="1"/>
  <c r="U20" i="11"/>
  <c r="T20" i="11"/>
  <c r="V19" i="11"/>
  <c r="X19" i="11" s="1"/>
  <c r="BX34" i="10"/>
  <c r="J48" i="14"/>
  <c r="I148" i="14"/>
  <c r="G132" i="7"/>
  <c r="E130" i="7"/>
  <c r="J53" i="14"/>
  <c r="G102" i="17"/>
  <c r="H38" i="16" s="1"/>
  <c r="D131" i="15"/>
  <c r="D166" i="15"/>
  <c r="E136" i="15"/>
  <c r="D142" i="15"/>
  <c r="D137" i="15" s="1"/>
  <c r="D179" i="15"/>
  <c r="D174" i="15" s="1"/>
  <c r="D39" i="16" s="1"/>
  <c r="D41" i="16" s="1"/>
  <c r="BH29" i="12"/>
  <c r="BI29" i="12" s="1"/>
  <c r="BG29" i="12"/>
  <c r="D97" i="14"/>
  <c r="G131" i="7"/>
  <c r="J51" i="14"/>
  <c r="BI33" i="10"/>
  <c r="J54" i="14"/>
  <c r="J49" i="14"/>
  <c r="G93" i="17"/>
  <c r="L151" i="7"/>
  <c r="M199" i="18"/>
  <c r="C60" i="10"/>
  <c r="E55" i="10"/>
  <c r="F54" i="10" s="1"/>
  <c r="AB50" i="10"/>
  <c r="AC45" i="10"/>
  <c r="C148" i="15"/>
  <c r="C137" i="15"/>
  <c r="N270" i="6"/>
  <c r="M146" i="17" s="1"/>
  <c r="N199" i="18" s="1"/>
  <c r="N128" i="25" s="1"/>
  <c r="M80" i="17"/>
  <c r="CN34" i="10"/>
  <c r="W19" i="11"/>
  <c r="BF13" i="11"/>
  <c r="BY32" i="10"/>
  <c r="CC29" i="10" s="1"/>
  <c r="CD29" i="10" s="1"/>
  <c r="BW33" i="10"/>
  <c r="BW34" i="10" s="1"/>
  <c r="I271" i="6"/>
  <c r="H147" i="17" s="1"/>
  <c r="H81" i="17"/>
  <c r="H102" i="17" s="1"/>
  <c r="I38" i="16" s="1"/>
  <c r="L79" i="10"/>
  <c r="H72" i="25"/>
  <c r="E95" i="14"/>
  <c r="E174" i="14" s="1"/>
  <c r="D15" i="25"/>
  <c r="H121" i="18"/>
  <c r="E99" i="14"/>
  <c r="E178" i="14" s="1"/>
  <c r="C31" i="16"/>
  <c r="F62" i="14"/>
  <c r="F73" i="14" s="1"/>
  <c r="F95" i="14" s="1"/>
  <c r="G28" i="14"/>
  <c r="E75" i="15"/>
  <c r="E168" i="15"/>
  <c r="F178" i="15"/>
  <c r="F141" i="15"/>
  <c r="F165" i="15"/>
  <c r="G135" i="15"/>
  <c r="BX79" i="10"/>
  <c r="D188" i="18"/>
  <c r="D217" i="18"/>
  <c r="D110" i="25"/>
  <c r="D228" i="18"/>
  <c r="D157" i="25" s="1"/>
  <c r="D239" i="18"/>
  <c r="E166" i="18"/>
  <c r="E181" i="18" s="1"/>
  <c r="F130" i="7"/>
  <c r="K148" i="7" s="1"/>
  <c r="H13" i="26"/>
  <c r="D111" i="31" s="1"/>
  <c r="BG65" i="10"/>
  <c r="I155" i="14"/>
  <c r="BL59" i="10"/>
  <c r="A10" i="3"/>
  <c r="F11" i="3"/>
  <c r="B22" i="3"/>
  <c r="F49" i="15"/>
  <c r="G29" i="14"/>
  <c r="F63" i="14"/>
  <c r="F74" i="14" s="1"/>
  <c r="AM195" i="9"/>
  <c r="AC196" i="9"/>
  <c r="H207" i="18"/>
  <c r="H136" i="25" s="1"/>
  <c r="R192" i="9"/>
  <c r="J275" i="6"/>
  <c r="I154" i="17" s="1"/>
  <c r="I88" i="17"/>
  <c r="J17" i="9"/>
  <c r="D243" i="15"/>
  <c r="D83" i="14"/>
  <c r="E83" i="14" s="1"/>
  <c r="F83" i="14" s="1"/>
  <c r="G83" i="14" s="1"/>
  <c r="H83" i="14" s="1"/>
  <c r="I83" i="14" s="1"/>
  <c r="CT29" i="10"/>
  <c r="B44" i="17"/>
  <c r="AB34" i="10"/>
  <c r="C77" i="22"/>
  <c r="C121" i="22"/>
  <c r="C124" i="22" s="1"/>
  <c r="G25" i="14"/>
  <c r="F59" i="14"/>
  <c r="F70" i="14" s="1"/>
  <c r="AK3" i="11"/>
  <c r="E22" i="11"/>
  <c r="D265" i="15"/>
  <c r="D264" i="15" s="1"/>
  <c r="E214" i="18" s="1"/>
  <c r="E143" i="25" s="1"/>
  <c r="D258" i="15"/>
  <c r="I50" i="17"/>
  <c r="I49" i="17"/>
  <c r="K58" i="18" s="1"/>
  <c r="K49" i="25" s="1"/>
  <c r="AR34" i="10"/>
  <c r="BO60" i="10"/>
  <c r="BQ55" i="10"/>
  <c r="L106" i="7"/>
  <c r="I105" i="7"/>
  <c r="AH18" i="9"/>
  <c r="D34" i="10"/>
  <c r="Y195" i="9"/>
  <c r="O196" i="9"/>
  <c r="BV24" i="10"/>
  <c r="E141" i="7"/>
  <c r="D140" i="7"/>
  <c r="AE108" i="9"/>
  <c r="AJ108" i="9"/>
  <c r="D176" i="14"/>
  <c r="D88" i="25"/>
  <c r="Y24" i="9"/>
  <c r="O25" i="9"/>
  <c r="G105" i="9"/>
  <c r="L104" i="9"/>
  <c r="AX104" i="9"/>
  <c r="I104" i="9"/>
  <c r="F73" i="15"/>
  <c r="A30" i="3"/>
  <c r="CP64" i="10"/>
  <c r="X59" i="10"/>
  <c r="F175" i="15"/>
  <c r="G132" i="15"/>
  <c r="F162" i="15"/>
  <c r="F138" i="15"/>
  <c r="CV34" i="10"/>
  <c r="DF27" i="10" s="1"/>
  <c r="E45" i="17" s="1"/>
  <c r="A21" i="3"/>
  <c r="B33" i="3"/>
  <c r="AH191" i="9"/>
  <c r="F17" i="13"/>
  <c r="C6" i="25"/>
  <c r="F170" i="17"/>
  <c r="CF22" i="12"/>
  <c r="G17" i="13" s="1"/>
  <c r="CO26" i="12"/>
  <c r="E131" i="18"/>
  <c r="E91" i="25" s="1"/>
  <c r="E92" i="25"/>
  <c r="F140" i="15"/>
  <c r="F146" i="15" s="1"/>
  <c r="G134" i="15"/>
  <c r="F177" i="15"/>
  <c r="F164" i="15"/>
  <c r="T33" i="12"/>
  <c r="U33" i="12" s="1"/>
  <c r="F186" i="6"/>
  <c r="X159" i="6"/>
  <c r="C64" i="28" s="1"/>
  <c r="H190" i="9"/>
  <c r="AW190" i="9"/>
  <c r="H148" i="7"/>
  <c r="I148" i="7" s="1"/>
  <c r="L148" i="7" s="1"/>
  <c r="DA21" i="10"/>
  <c r="DC23" i="10"/>
  <c r="CY24" i="10"/>
  <c r="C177" i="14"/>
  <c r="G29" i="12"/>
  <c r="BA109" i="9"/>
  <c r="D80" i="14"/>
  <c r="G169" i="17"/>
  <c r="H48" i="16"/>
  <c r="R27" i="12"/>
  <c r="Q27" i="12"/>
  <c r="BW27" i="12"/>
  <c r="AK29" i="12"/>
  <c r="AU104" i="9"/>
  <c r="F104" i="9"/>
  <c r="AV104" i="9" s="1"/>
  <c r="B104" i="9"/>
  <c r="E75" i="14"/>
  <c r="H31" i="17"/>
  <c r="I151" i="14"/>
  <c r="L50" i="10"/>
  <c r="M45" i="10"/>
  <c r="CW24" i="10"/>
  <c r="CY29" i="10"/>
  <c r="DA24" i="10"/>
  <c r="DD23" i="10" s="1"/>
  <c r="D13" i="22" s="1"/>
  <c r="I87" i="5"/>
  <c r="I75" i="6"/>
  <c r="G129" i="14"/>
  <c r="F163" i="14"/>
  <c r="H255" i="14"/>
  <c r="E145" i="7"/>
  <c r="D144" i="7"/>
  <c r="D154" i="7" s="1"/>
  <c r="I27" i="18"/>
  <c r="H256" i="14"/>
  <c r="D31" i="12"/>
  <c r="C194" i="14"/>
  <c r="C183" i="14"/>
  <c r="K33" i="6"/>
  <c r="J6" i="27" s="1"/>
  <c r="J11" i="27" s="1"/>
  <c r="R50" i="7"/>
  <c r="I39" i="17"/>
  <c r="J27" i="18" s="1"/>
  <c r="V59" i="10"/>
  <c r="F246" i="15"/>
  <c r="C185" i="14"/>
  <c r="C196" i="14" s="1"/>
  <c r="BM29" i="10"/>
  <c r="F135" i="25"/>
  <c r="AJ60" i="10"/>
  <c r="AK55" i="10"/>
  <c r="I179" i="6"/>
  <c r="AL30" i="12"/>
  <c r="AM30" i="12" s="1"/>
  <c r="AN30" i="12" s="1"/>
  <c r="F45" i="18"/>
  <c r="AM26" i="9"/>
  <c r="AC27" i="9"/>
  <c r="C15" i="25"/>
  <c r="G27" i="25"/>
  <c r="E246" i="14"/>
  <c r="F247" i="14"/>
  <c r="E34" i="13"/>
  <c r="G239" i="18"/>
  <c r="G217" i="18"/>
  <c r="G110" i="25"/>
  <c r="G188" i="18"/>
  <c r="G117" i="25" s="1"/>
  <c r="E43" i="18"/>
  <c r="AC111" i="9"/>
  <c r="AM110" i="9"/>
  <c r="E179" i="17"/>
  <c r="G228" i="18" s="1"/>
  <c r="G157" i="25" s="1"/>
  <c r="E180" i="17"/>
  <c r="L239" i="6"/>
  <c r="K257" i="6"/>
  <c r="J26" i="17"/>
  <c r="D17" i="17"/>
  <c r="E28" i="18"/>
  <c r="H18" i="9"/>
  <c r="E51" i="15"/>
  <c r="G173" i="17"/>
  <c r="F30" i="12"/>
  <c r="E30" i="12"/>
  <c r="G55" i="13"/>
  <c r="M61" i="13"/>
  <c r="E53" i="13"/>
  <c r="E63" i="13" s="1"/>
  <c r="E24" i="18" s="1"/>
  <c r="E16" i="25" s="1"/>
  <c r="N62" i="13"/>
  <c r="H56" i="13"/>
  <c r="K59" i="13"/>
  <c r="I57" i="13"/>
  <c r="C51" i="13"/>
  <c r="C63" i="13" s="1"/>
  <c r="C24" i="18" s="1"/>
  <c r="C22" i="18" s="1"/>
  <c r="D52" i="13"/>
  <c r="D63" i="13" s="1"/>
  <c r="D24" i="18" s="1"/>
  <c r="D16" i="25" s="1"/>
  <c r="F54" i="13"/>
  <c r="J58" i="13"/>
  <c r="L60" i="13"/>
  <c r="AC32" i="10"/>
  <c r="AA33" i="10"/>
  <c r="AA34" i="10" s="1"/>
  <c r="F123" i="14"/>
  <c r="G124" i="14"/>
  <c r="F158" i="14"/>
  <c r="H107" i="17"/>
  <c r="H112" i="17" s="1"/>
  <c r="I105" i="17"/>
  <c r="J277" i="6"/>
  <c r="I156" i="17" s="1"/>
  <c r="I90" i="17"/>
  <c r="K240" i="6"/>
  <c r="J258" i="6"/>
  <c r="I27" i="17"/>
  <c r="B23" i="11"/>
  <c r="D22" i="11"/>
  <c r="F22" i="11" s="1"/>
  <c r="C23" i="11"/>
  <c r="BF29" i="10"/>
  <c r="E228" i="15"/>
  <c r="E272" i="15"/>
  <c r="E235" i="15"/>
  <c r="F229" i="15"/>
  <c r="E259" i="15"/>
  <c r="D99" i="14"/>
  <c r="AV2" i="11"/>
  <c r="BZ11" i="9"/>
  <c r="I190" i="17"/>
  <c r="J219" i="18" s="1"/>
  <c r="J148" i="25" s="1"/>
  <c r="I191" i="17"/>
  <c r="G145" i="7"/>
  <c r="G144" i="7" s="1"/>
  <c r="D126" i="7"/>
  <c r="BZ39" i="10"/>
  <c r="E64" i="15"/>
  <c r="E71" i="15"/>
  <c r="CF34" i="10"/>
  <c r="BA23" i="9"/>
  <c r="BN20" i="9" s="1"/>
  <c r="C187" i="14"/>
  <c r="A29" i="12"/>
  <c r="A49" i="12" s="1"/>
  <c r="A69" i="12" s="1"/>
  <c r="B206" i="5"/>
  <c r="B222" i="5" s="1"/>
  <c r="B238" i="5" s="1"/>
  <c r="B177" i="6"/>
  <c r="B193" i="6" s="1"/>
  <c r="B209" i="6" s="1"/>
  <c r="BF20" i="9"/>
  <c r="BF32" i="9" s="1"/>
  <c r="BF44" i="9" s="1"/>
  <c r="BF56" i="9" s="1"/>
  <c r="BF68" i="9" s="1"/>
  <c r="BF80" i="9" s="1"/>
  <c r="B11" i="3"/>
  <c r="A54" i="10"/>
  <c r="A122" i="10" s="1"/>
  <c r="A191" i="10" s="1"/>
  <c r="CO70" i="10"/>
  <c r="CM75" i="10"/>
  <c r="CM79" i="10" s="1"/>
  <c r="F104" i="17"/>
  <c r="X32" i="12"/>
  <c r="Y32" i="12" s="1"/>
  <c r="W32" i="12"/>
  <c r="J189" i="9"/>
  <c r="AZ189" i="9" s="1"/>
  <c r="AY189" i="9"/>
  <c r="E94" i="14"/>
  <c r="E173" i="14" s="1"/>
  <c r="I152" i="15"/>
  <c r="I150" i="15"/>
  <c r="I153" i="15"/>
  <c r="I226" i="15"/>
  <c r="I151" i="15"/>
  <c r="I154" i="15"/>
  <c r="A111" i="9"/>
  <c r="K110" i="9"/>
  <c r="F136" i="25"/>
  <c r="AY133" i="10"/>
  <c r="C181" i="6"/>
  <c r="X156" i="6" s="1"/>
  <c r="C61" i="28" s="1"/>
  <c r="B32" i="12"/>
  <c r="C32" i="12" s="1"/>
  <c r="D129" i="18"/>
  <c r="D89" i="25" s="1"/>
  <c r="I101" i="7"/>
  <c r="L102" i="7"/>
  <c r="AL49" i="10"/>
  <c r="H37" i="16"/>
  <c r="G103" i="17"/>
  <c r="J58" i="5"/>
  <c r="J54" i="6"/>
  <c r="P75" i="7"/>
  <c r="F72" i="15"/>
  <c r="F163" i="15"/>
  <c r="F169" i="15" s="1"/>
  <c r="F176" i="15"/>
  <c r="G133" i="15"/>
  <c r="F139" i="15"/>
  <c r="F145" i="15" s="1"/>
  <c r="F92" i="25"/>
  <c r="W17" i="9"/>
  <c r="X17" i="9" s="1"/>
  <c r="Z17" i="9"/>
  <c r="S18" i="9" s="1"/>
  <c r="P18" i="9" s="1"/>
  <c r="U18" i="9"/>
  <c r="AW18" i="9" s="1"/>
  <c r="I81" i="18"/>
  <c r="I96" i="18" s="1"/>
  <c r="I72" i="18"/>
  <c r="I47" i="16"/>
  <c r="J54" i="16" s="1"/>
  <c r="J218" i="18" s="1"/>
  <c r="J147" i="25" s="1"/>
  <c r="J43" i="16"/>
  <c r="J133" i="18" s="1"/>
  <c r="J93" i="25" s="1"/>
  <c r="F164" i="14"/>
  <c r="G130" i="14"/>
  <c r="AY37" i="10"/>
  <c r="AZ36" i="10"/>
  <c r="AZ37" i="10" s="1"/>
  <c r="AZ38" i="10" s="1"/>
  <c r="C264" i="15"/>
  <c r="K260" i="6"/>
  <c r="L242" i="6"/>
  <c r="J29" i="17"/>
  <c r="CI21" i="12"/>
  <c r="CI41" i="12" s="1"/>
  <c r="CI61" i="12" s="1"/>
  <c r="DJ88" i="10"/>
  <c r="DJ157" i="10" s="1"/>
  <c r="G43" i="15"/>
  <c r="G67" i="15"/>
  <c r="G73" i="15" s="1"/>
  <c r="H37" i="15"/>
  <c r="G80" i="15"/>
  <c r="E98" i="14"/>
  <c r="E177" i="14" s="1"/>
  <c r="G131" i="14"/>
  <c r="F165" i="14"/>
  <c r="G125" i="14"/>
  <c r="F159" i="14"/>
  <c r="E237" i="15"/>
  <c r="E261" i="15"/>
  <c r="E267" i="15" s="1"/>
  <c r="F231" i="15"/>
  <c r="E274" i="15"/>
  <c r="D8" i="26"/>
  <c r="AV30" i="12"/>
  <c r="AU30" i="12"/>
  <c r="F22" i="14"/>
  <c r="F57" i="14"/>
  <c r="F68" i="14" s="1"/>
  <c r="G23" i="14"/>
  <c r="H101" i="17"/>
  <c r="I112" i="18" s="1"/>
  <c r="BB189" i="9"/>
  <c r="E190" i="9"/>
  <c r="AQ138" i="10"/>
  <c r="I284" i="6"/>
  <c r="H163" i="17" s="1"/>
  <c r="H97" i="17"/>
  <c r="Y31" i="12"/>
  <c r="E126" i="7"/>
  <c r="G27" i="14"/>
  <c r="F61" i="14"/>
  <c r="F72" i="14" s="1"/>
  <c r="C186" i="14"/>
  <c r="C197" i="14" s="1"/>
  <c r="I114" i="7"/>
  <c r="L115" i="7"/>
  <c r="BJ39" i="10"/>
  <c r="AJ31" i="10"/>
  <c r="AJ32" i="10" s="1"/>
  <c r="AJ33" i="10" s="1"/>
  <c r="AI32" i="10"/>
  <c r="AN69" i="10"/>
  <c r="G133" i="14"/>
  <c r="F167" i="14"/>
  <c r="G26" i="14"/>
  <c r="F60" i="14"/>
  <c r="F71" i="14" s="1"/>
  <c r="F93" i="14" s="1"/>
  <c r="CR206" i="10"/>
  <c r="D98" i="14"/>
  <c r="D177" i="14" s="1"/>
  <c r="K245" i="6"/>
  <c r="J263" i="6"/>
  <c r="I32" i="17"/>
  <c r="N39" i="10"/>
  <c r="CU39" i="10"/>
  <c r="I147" i="14"/>
  <c r="H31" i="12"/>
  <c r="I31" i="12" s="1"/>
  <c r="J31" i="12" s="1"/>
  <c r="D180" i="6"/>
  <c r="F74" i="15"/>
  <c r="G124" i="7"/>
  <c r="M247" i="6"/>
  <c r="L265" i="6"/>
  <c r="K34" i="17"/>
  <c r="AD29" i="12"/>
  <c r="AE29" i="12" s="1"/>
  <c r="AC29" i="12"/>
  <c r="E96" i="14"/>
  <c r="E175" i="14" s="1"/>
  <c r="C144" i="7"/>
  <c r="C154" i="7" s="1"/>
  <c r="H25" i="17"/>
  <c r="F58" i="14"/>
  <c r="F69" i="14" s="1"/>
  <c r="G24" i="14"/>
  <c r="H253" i="14"/>
  <c r="F233" i="15"/>
  <c r="E263" i="15"/>
  <c r="E276" i="15"/>
  <c r="E239" i="15"/>
  <c r="K251" i="6"/>
  <c r="L233" i="6"/>
  <c r="J16" i="17"/>
  <c r="U65" i="10"/>
  <c r="S70" i="10"/>
  <c r="D94" i="14"/>
  <c r="D173" i="14" s="1"/>
  <c r="O111" i="9"/>
  <c r="Y110" i="9"/>
  <c r="K196" i="9"/>
  <c r="A197" i="9"/>
  <c r="C103" i="31"/>
  <c r="E178" i="6"/>
  <c r="N29" i="12"/>
  <c r="O29" i="12" s="1"/>
  <c r="F44" i="14"/>
  <c r="G45" i="14"/>
  <c r="B14" i="17"/>
  <c r="C12" i="22"/>
  <c r="D223" i="5"/>
  <c r="D208" i="5"/>
  <c r="H38" i="13"/>
  <c r="J40" i="13"/>
  <c r="G37" i="13"/>
  <c r="D112" i="13"/>
  <c r="C111" i="13"/>
  <c r="F36" i="13"/>
  <c r="K41" i="13"/>
  <c r="L42" i="13"/>
  <c r="I39" i="13"/>
  <c r="E113" i="13"/>
  <c r="N44" i="13"/>
  <c r="M43" i="13"/>
  <c r="E147" i="15"/>
  <c r="F147" i="15" s="1"/>
  <c r="AS60" i="10"/>
  <c r="AQ65" i="10"/>
  <c r="D70" i="10"/>
  <c r="G66" i="15"/>
  <c r="G72" i="15" s="1"/>
  <c r="H36" i="15"/>
  <c r="G79" i="15"/>
  <c r="G42" i="15"/>
  <c r="G48" i="15" s="1"/>
  <c r="P107" i="9"/>
  <c r="AT9" i="11"/>
  <c r="AT10" i="11" s="1"/>
  <c r="Q19" i="11"/>
  <c r="P19" i="11" s="1"/>
  <c r="W192" i="9"/>
  <c r="X192" i="9" s="1"/>
  <c r="Z192" i="9"/>
  <c r="S193" i="9" s="1"/>
  <c r="U193" i="9"/>
  <c r="I149" i="14"/>
  <c r="AX17" i="9"/>
  <c r="C41" i="16"/>
  <c r="DE27" i="10"/>
  <c r="T1" i="16"/>
  <c r="T25" i="7"/>
  <c r="K12" i="17"/>
  <c r="C94" i="14"/>
  <c r="H251" i="14"/>
  <c r="E157" i="14"/>
  <c r="F157" i="18"/>
  <c r="F166" i="18"/>
  <c r="F181" i="18" s="1"/>
  <c r="E238" i="15"/>
  <c r="E244" i="15" s="1"/>
  <c r="F232" i="15"/>
  <c r="E275" i="15"/>
  <c r="E262" i="15"/>
  <c r="L241" i="6"/>
  <c r="K259" i="6"/>
  <c r="J28" i="17"/>
  <c r="E92" i="14"/>
  <c r="E171" i="14" s="1"/>
  <c r="I276" i="6"/>
  <c r="H155" i="17" s="1"/>
  <c r="H153" i="17" s="1"/>
  <c r="H89" i="17"/>
  <c r="D234" i="15"/>
  <c r="I124" i="17"/>
  <c r="J134" i="18" s="1"/>
  <c r="J94" i="25" s="1"/>
  <c r="I125" i="17"/>
  <c r="J250" i="6"/>
  <c r="J303" i="5"/>
  <c r="I140" i="17"/>
  <c r="I100" i="17"/>
  <c r="D74" i="22"/>
  <c r="D30" i="22"/>
  <c r="J121" i="14"/>
  <c r="J86" i="14"/>
  <c r="J84" i="14"/>
  <c r="J88" i="14"/>
  <c r="J82" i="14"/>
  <c r="J79" i="14"/>
  <c r="J87" i="14"/>
  <c r="J81" i="14"/>
  <c r="J85" i="14"/>
  <c r="J83" i="14"/>
  <c r="BR49" i="10"/>
  <c r="F230" i="15"/>
  <c r="E273" i="15"/>
  <c r="E260" i="15"/>
  <c r="E236" i="15"/>
  <c r="C108" i="31"/>
  <c r="BX50" i="10"/>
  <c r="BY45" i="10"/>
  <c r="AJ18" i="9"/>
  <c r="F78" i="15"/>
  <c r="F77" i="15" s="1"/>
  <c r="F28" i="16" s="1"/>
  <c r="F41" i="15"/>
  <c r="G35" i="15"/>
  <c r="F34" i="15"/>
  <c r="F65" i="15"/>
  <c r="E77" i="15"/>
  <c r="E28" i="16" s="1"/>
  <c r="CG32" i="10"/>
  <c r="CE33" i="10"/>
  <c r="CE34" i="10" s="1"/>
  <c r="K282" i="6"/>
  <c r="J161" i="17" s="1"/>
  <c r="J95" i="17"/>
  <c r="J52" i="14"/>
  <c r="A25" i="9"/>
  <c r="K24" i="9"/>
  <c r="F145" i="14"/>
  <c r="G146" i="14"/>
  <c r="C182" i="14"/>
  <c r="C193" i="14" s="1"/>
  <c r="D95" i="14"/>
  <c r="D213" i="18"/>
  <c r="F45" i="15"/>
  <c r="F82" i="15"/>
  <c r="F69" i="15"/>
  <c r="F75" i="15" s="1"/>
  <c r="G39" i="15"/>
  <c r="H181" i="6"/>
  <c r="AF32" i="12"/>
  <c r="AG32" i="12" s="1"/>
  <c r="AH32" i="12" s="1"/>
  <c r="G130" i="7"/>
  <c r="D241" i="15"/>
  <c r="C240" i="15"/>
  <c r="M49" i="18"/>
  <c r="N60" i="17"/>
  <c r="N20" i="11"/>
  <c r="AU8" i="11"/>
  <c r="H87" i="17"/>
  <c r="I121" i="18" s="1"/>
  <c r="I81" i="25" s="1"/>
  <c r="BJ14" i="9"/>
  <c r="BB49" i="10"/>
  <c r="G44" i="15"/>
  <c r="G50" i="15" s="1"/>
  <c r="H38" i="15"/>
  <c r="G81" i="15"/>
  <c r="G68" i="15"/>
  <c r="G74" i="15" s="1"/>
  <c r="H248" i="15"/>
  <c r="H247" i="15"/>
  <c r="H249" i="15"/>
  <c r="H251" i="15"/>
  <c r="H250" i="15"/>
  <c r="K9" i="16"/>
  <c r="DK20" i="10"/>
  <c r="K1" i="13"/>
  <c r="K67" i="13" s="1"/>
  <c r="F160" i="14"/>
  <c r="G126" i="14"/>
  <c r="A15" i="30"/>
  <c r="A79" i="30"/>
  <c r="A34" i="30"/>
  <c r="A49" i="30" s="1"/>
  <c r="A64" i="30"/>
  <c r="BG2" i="11"/>
  <c r="CW11" i="9" s="1"/>
  <c r="DI11" i="9" s="1"/>
  <c r="DU11" i="9" s="1"/>
  <c r="EG11" i="9" s="1"/>
  <c r="CK11" i="9"/>
  <c r="AO29" i="12"/>
  <c r="AP29" i="12"/>
  <c r="AQ29" i="12" s="1"/>
  <c r="F66" i="14"/>
  <c r="F77" i="14" s="1"/>
  <c r="F99" i="14" s="1"/>
  <c r="F178" i="14" s="1"/>
  <c r="G32" i="14"/>
  <c r="BJ42" i="12"/>
  <c r="BK42" i="12" s="1"/>
  <c r="M187" i="6"/>
  <c r="G127" i="14"/>
  <c r="F161" i="14"/>
  <c r="F166" i="14"/>
  <c r="F177" i="14" s="1"/>
  <c r="G132" i="14"/>
  <c r="I38" i="25"/>
  <c r="J278" i="6"/>
  <c r="I157" i="17" s="1"/>
  <c r="I91" i="17"/>
  <c r="X84" i="13"/>
  <c r="J133" i="13"/>
  <c r="X150" i="13" s="1"/>
  <c r="AI5" i="11"/>
  <c r="F254" i="14"/>
  <c r="G254" i="14" s="1"/>
  <c r="H254" i="14" s="1"/>
  <c r="F76" i="14"/>
  <c r="F98" i="14" s="1"/>
  <c r="F65" i="14"/>
  <c r="G31" i="14"/>
  <c r="E144" i="15"/>
  <c r="BP31" i="10"/>
  <c r="BP32" i="10" s="1"/>
  <c r="BP33" i="10" s="1"/>
  <c r="BO32" i="10"/>
  <c r="AJ191" i="9"/>
  <c r="AD191" i="9"/>
  <c r="AR17" i="9"/>
  <c r="CE79" i="10"/>
  <c r="S26" i="12"/>
  <c r="BZ26" i="12" s="1"/>
  <c r="CF26" i="12" s="1"/>
  <c r="BY26" i="12"/>
  <c r="CF23" i="12" s="1"/>
  <c r="G49" i="13" s="1"/>
  <c r="E122" i="7"/>
  <c r="F8" i="26" s="1"/>
  <c r="C106" i="31" s="1"/>
  <c r="AJ31" i="12"/>
  <c r="AK31" i="12" s="1"/>
  <c r="AI31" i="12"/>
  <c r="I153" i="7"/>
  <c r="J180" i="6"/>
  <c r="AR31" i="12"/>
  <c r="AS31" i="12" s="1"/>
  <c r="AT31" i="12" s="1"/>
  <c r="AE28" i="12"/>
  <c r="E56" i="14"/>
  <c r="F162" i="14"/>
  <c r="G128" i="14"/>
  <c r="H167" i="17"/>
  <c r="I197" i="18"/>
  <c r="K248" i="6"/>
  <c r="J266" i="6"/>
  <c r="I35" i="17"/>
  <c r="G128" i="7"/>
  <c r="D34" i="25"/>
  <c r="C126" i="7"/>
  <c r="F250" i="14"/>
  <c r="G250" i="14" s="1"/>
  <c r="H250" i="14" s="1"/>
  <c r="F19" i="26"/>
  <c r="C118" i="31"/>
  <c r="C117" i="31" s="1"/>
  <c r="I222" i="14"/>
  <c r="I52" i="15"/>
  <c r="G28" i="25"/>
  <c r="BH50" i="10"/>
  <c r="BI45" i="10"/>
  <c r="C170" i="14"/>
  <c r="AJ4" i="11"/>
  <c r="J52" i="18" s="1"/>
  <c r="J43" i="25" s="1"/>
  <c r="H21" i="11"/>
  <c r="G21" i="11" s="1"/>
  <c r="H126" i="25"/>
  <c r="G8" i="13"/>
  <c r="M14" i="13"/>
  <c r="J11" i="13"/>
  <c r="L13" i="13"/>
  <c r="E6" i="13"/>
  <c r="C4" i="13"/>
  <c r="C16" i="13" s="1"/>
  <c r="C13" i="18" s="1"/>
  <c r="K12" i="13"/>
  <c r="C32" i="13"/>
  <c r="F7" i="13"/>
  <c r="I10" i="13"/>
  <c r="H9" i="13"/>
  <c r="D5" i="13"/>
  <c r="N15" i="13"/>
  <c r="E71" i="14"/>
  <c r="G30" i="14"/>
  <c r="F64" i="14"/>
  <c r="F75" i="14" s="1"/>
  <c r="F97" i="14" s="1"/>
  <c r="D242" i="15"/>
  <c r="E242" i="15" s="1"/>
  <c r="I281" i="6"/>
  <c r="H160" i="17" s="1"/>
  <c r="H159" i="17" s="1"/>
  <c r="H94" i="17"/>
  <c r="AD18" i="9"/>
  <c r="I150" i="14"/>
  <c r="K21" i="11"/>
  <c r="L21" i="11"/>
  <c r="M20" i="11"/>
  <c r="O20" i="11" s="1"/>
  <c r="K30" i="12"/>
  <c r="L30" i="12"/>
  <c r="M30" i="12" s="1"/>
  <c r="BA55" i="10"/>
  <c r="AY60" i="10"/>
  <c r="K283" i="6"/>
  <c r="J162" i="17" s="1"/>
  <c r="J96" i="17"/>
  <c r="Z30" i="12"/>
  <c r="AA30" i="12" s="1"/>
  <c r="AB30" i="12" s="1"/>
  <c r="G179" i="6"/>
  <c r="I43" i="25"/>
  <c r="J70" i="30"/>
  <c r="J25" i="30"/>
  <c r="J40" i="30" s="1"/>
  <c r="K5" i="30"/>
  <c r="J55" i="30"/>
  <c r="AB79" i="10"/>
  <c r="H149" i="15"/>
  <c r="G129" i="7"/>
  <c r="K32" i="15"/>
  <c r="K25" i="16"/>
  <c r="K10" i="18"/>
  <c r="J186" i="17"/>
  <c r="J189" i="17" s="1"/>
  <c r="P7" i="17"/>
  <c r="J38" i="17"/>
  <c r="J43" i="17" s="1"/>
  <c r="K232" i="6"/>
  <c r="J120" i="17"/>
  <c r="J123" i="17" s="1"/>
  <c r="AK2" i="11"/>
  <c r="E27" i="22"/>
  <c r="J56" i="17"/>
  <c r="J74" i="17"/>
  <c r="K20" i="14"/>
  <c r="K53" i="14" s="1"/>
  <c r="D96" i="14"/>
  <c r="J269" i="6"/>
  <c r="I144" i="17" s="1"/>
  <c r="I78" i="17"/>
  <c r="BI34" i="10"/>
  <c r="BI36" i="10" s="1"/>
  <c r="BG36" i="10"/>
  <c r="D122" i="7"/>
  <c r="C65" i="22" s="1"/>
  <c r="G141" i="7"/>
  <c r="G140" i="7" s="1"/>
  <c r="P28" i="12"/>
  <c r="BV28" i="12"/>
  <c r="P59" i="10"/>
  <c r="H122" i="18"/>
  <c r="BN33" i="12"/>
  <c r="BO33" i="12" s="1"/>
  <c r="BO34" i="12" s="1"/>
  <c r="BM33" i="12"/>
  <c r="BM34" i="12" s="1"/>
  <c r="AT54" i="10"/>
  <c r="D31" i="16"/>
  <c r="L29" i="12"/>
  <c r="K29" i="12"/>
  <c r="I25" i="17"/>
  <c r="J36" i="18" s="1"/>
  <c r="J27" i="25" s="1"/>
  <c r="CE23" i="12"/>
  <c r="E18" i="9"/>
  <c r="CM143" i="10"/>
  <c r="N7" i="1"/>
  <c r="O8" i="1"/>
  <c r="O7" i="1" s="1"/>
  <c r="D44" i="18"/>
  <c r="D42" i="18" s="1"/>
  <c r="D90" i="14"/>
  <c r="C7" i="23"/>
  <c r="O64" i="25"/>
  <c r="D189" i="14"/>
  <c r="E189" i="14" s="1"/>
  <c r="F189" i="14" s="1"/>
  <c r="G189" i="14" s="1"/>
  <c r="H189" i="14" s="1"/>
  <c r="I189" i="14" s="1"/>
  <c r="E169" i="14"/>
  <c r="I321" i="5"/>
  <c r="H166" i="17"/>
  <c r="I268" i="6"/>
  <c r="BA194" i="9"/>
  <c r="E47" i="15"/>
  <c r="D46" i="15"/>
  <c r="AP24" i="10"/>
  <c r="AP28" i="12"/>
  <c r="AO28" i="12"/>
  <c r="D271" i="15"/>
  <c r="D50" i="16" s="1"/>
  <c r="J56" i="15"/>
  <c r="J54" i="15"/>
  <c r="J129" i="15"/>
  <c r="J57" i="15"/>
  <c r="J55" i="15"/>
  <c r="J53" i="15"/>
  <c r="J69" i="18"/>
  <c r="J17" i="18"/>
  <c r="J9" i="25" s="1"/>
  <c r="J47" i="18"/>
  <c r="J2" i="25"/>
  <c r="I2" i="24" s="1"/>
  <c r="K32" i="16"/>
  <c r="K48" i="18" s="1"/>
  <c r="K39" i="25" s="1"/>
  <c r="J36" i="16"/>
  <c r="AS32" i="10"/>
  <c r="AQ33" i="10"/>
  <c r="AQ34" i="10" s="1"/>
  <c r="E32" i="10"/>
  <c r="C33" i="10"/>
  <c r="C34" i="10" s="1"/>
  <c r="CB137" i="10"/>
  <c r="E40" i="15"/>
  <c r="D180" i="14"/>
  <c r="E180" i="14" s="1"/>
  <c r="F180" i="14" s="1"/>
  <c r="G180" i="14" s="1"/>
  <c r="H180" i="14" s="1"/>
  <c r="I180" i="14" s="1"/>
  <c r="H132" i="18"/>
  <c r="H103" i="18"/>
  <c r="H63" i="25" s="1"/>
  <c r="H154" i="18"/>
  <c r="H56" i="25"/>
  <c r="L264" i="6"/>
  <c r="M246" i="6"/>
  <c r="K33" i="17"/>
  <c r="A31" i="3"/>
  <c r="F130" i="18"/>
  <c r="F90" i="25" s="1"/>
  <c r="D92" i="14"/>
  <c r="AI79" i="10"/>
  <c r="D72" i="28" l="1"/>
  <c r="E72" i="28" s="1"/>
  <c r="G72" i="28"/>
  <c r="B72" i="28"/>
  <c r="F72" i="28" s="1"/>
  <c r="A72" i="28"/>
  <c r="F200" i="14"/>
  <c r="H115" i="18"/>
  <c r="H75" i="25" s="1"/>
  <c r="K186" i="6"/>
  <c r="AX33" i="12"/>
  <c r="AY33" i="12" s="1"/>
  <c r="X164" i="6"/>
  <c r="C69" i="28" s="1"/>
  <c r="BP33" i="12"/>
  <c r="BQ33" i="12" s="1"/>
  <c r="N186" i="6"/>
  <c r="L261" i="6"/>
  <c r="M243" i="6"/>
  <c r="K30" i="17"/>
  <c r="BA32" i="12"/>
  <c r="BB32" i="12"/>
  <c r="BC32" i="12" s="1"/>
  <c r="K254" i="6"/>
  <c r="I83" i="17"/>
  <c r="J117" i="18" s="1"/>
  <c r="J77" i="25" s="1"/>
  <c r="J272" i="6"/>
  <c r="I149" i="17" s="1"/>
  <c r="J202" i="18" s="1"/>
  <c r="J131" i="25" s="1"/>
  <c r="K279" i="6"/>
  <c r="J158" i="17" s="1"/>
  <c r="J92" i="17"/>
  <c r="C19" i="23"/>
  <c r="O78" i="25"/>
  <c r="F172" i="14"/>
  <c r="F174" i="14"/>
  <c r="I30" i="18"/>
  <c r="I21" i="25" s="1"/>
  <c r="BB31" i="12"/>
  <c r="BA31" i="12"/>
  <c r="I115" i="18"/>
  <c r="U32" i="10"/>
  <c r="Y29" i="10" s="1"/>
  <c r="S33" i="10"/>
  <c r="G104" i="17"/>
  <c r="H105" i="17" s="1"/>
  <c r="CO33" i="10"/>
  <c r="D19" i="23"/>
  <c r="O132" i="25"/>
  <c r="O24" i="25"/>
  <c r="B19" i="23"/>
  <c r="BS32" i="12"/>
  <c r="BT32" i="12"/>
  <c r="BU32" i="12" s="1"/>
  <c r="K54" i="14"/>
  <c r="E179" i="15"/>
  <c r="E174" i="15" s="1"/>
  <c r="E39" i="16" s="1"/>
  <c r="E131" i="15"/>
  <c r="F136" i="15"/>
  <c r="E166" i="15"/>
  <c r="E142" i="15"/>
  <c r="N20" i="25"/>
  <c r="O29" i="18"/>
  <c r="F176" i="14"/>
  <c r="BN34" i="12"/>
  <c r="N114" i="18"/>
  <c r="N80" i="17"/>
  <c r="B89" i="28" s="1"/>
  <c r="L89" i="28" s="1"/>
  <c r="AD44" i="10"/>
  <c r="C65" i="10"/>
  <c r="E60" i="10"/>
  <c r="F59" i="10" s="1"/>
  <c r="D172" i="15"/>
  <c r="D167" i="15" s="1"/>
  <c r="E129" i="18" s="1"/>
  <c r="E89" i="25" s="1"/>
  <c r="D161" i="15"/>
  <c r="E128" i="18" s="1"/>
  <c r="V20" i="11"/>
  <c r="X20" i="11" s="1"/>
  <c r="T21" i="11"/>
  <c r="U21" i="11"/>
  <c r="BD31" i="12"/>
  <c r="BE31" i="12" s="1"/>
  <c r="BF31" i="12" s="1"/>
  <c r="L180" i="6"/>
  <c r="K253" i="6"/>
  <c r="L235" i="6"/>
  <c r="J19" i="17"/>
  <c r="E70" i="15"/>
  <c r="F44" i="18" s="1"/>
  <c r="F35" i="25" s="1"/>
  <c r="F51" i="15"/>
  <c r="AZ17" i="9"/>
  <c r="H168" i="17"/>
  <c r="I49" i="16" s="1"/>
  <c r="Z19" i="11"/>
  <c r="Y19" i="11" s="1"/>
  <c r="BF14" i="11"/>
  <c r="BF15" i="11" s="1"/>
  <c r="AB55" i="10"/>
  <c r="AC50" i="10"/>
  <c r="AD49" i="10" s="1"/>
  <c r="N146" i="17"/>
  <c r="B163" i="28" s="1"/>
  <c r="L163" i="28" s="1"/>
  <c r="BG13" i="11"/>
  <c r="W20" i="11"/>
  <c r="H200" i="18"/>
  <c r="H129" i="25" s="1"/>
  <c r="BG30" i="12"/>
  <c r="BH30" i="12"/>
  <c r="BI30" i="12" s="1"/>
  <c r="J271" i="6"/>
  <c r="I147" i="17" s="1"/>
  <c r="I81" i="17"/>
  <c r="C223" i="5"/>
  <c r="C239" i="5" s="1"/>
  <c r="C208" i="5"/>
  <c r="D148" i="15"/>
  <c r="D143" i="15" s="1"/>
  <c r="C143" i="15"/>
  <c r="L34" i="10"/>
  <c r="BB17" i="9"/>
  <c r="E191" i="14"/>
  <c r="I117" i="7"/>
  <c r="BY34" i="10"/>
  <c r="BY36" i="10" s="1"/>
  <c r="BW36" i="10"/>
  <c r="M128" i="25"/>
  <c r="O199" i="18"/>
  <c r="BY33" i="10"/>
  <c r="CO34" i="10"/>
  <c r="CO36" i="10" s="1"/>
  <c r="CM36" i="10"/>
  <c r="CG55" i="10"/>
  <c r="CH54" i="10" s="1"/>
  <c r="CF60" i="10"/>
  <c r="M32" i="10"/>
  <c r="Q29" i="10" s="1"/>
  <c r="K33" i="10"/>
  <c r="K34" i="10" s="1"/>
  <c r="I40" i="17"/>
  <c r="J27" i="16" s="1"/>
  <c r="F90" i="14"/>
  <c r="F169" i="14" s="1"/>
  <c r="F191" i="14" s="1"/>
  <c r="F94" i="14"/>
  <c r="F92" i="14"/>
  <c r="F171" i="14" s="1"/>
  <c r="I206" i="18"/>
  <c r="I72" i="25"/>
  <c r="G61" i="28"/>
  <c r="B61" i="28"/>
  <c r="F61" i="28" s="1"/>
  <c r="A61" i="28"/>
  <c r="D61" i="28"/>
  <c r="C14" i="25"/>
  <c r="F96" i="14"/>
  <c r="L282" i="6"/>
  <c r="K161" i="17" s="1"/>
  <c r="K95" i="17"/>
  <c r="L12" i="17"/>
  <c r="V25" i="7"/>
  <c r="U1" i="16"/>
  <c r="H82" i="25"/>
  <c r="P64" i="10"/>
  <c r="R28" i="12"/>
  <c r="Q28" i="12"/>
  <c r="BX28" i="12" s="1"/>
  <c r="CH24" i="12" s="1"/>
  <c r="BW28" i="12"/>
  <c r="E74" i="22"/>
  <c r="E30" i="22"/>
  <c r="BB54" i="10"/>
  <c r="CX24" i="10"/>
  <c r="L248" i="6"/>
  <c r="K266" i="6"/>
  <c r="J35" i="17"/>
  <c r="I248" i="14"/>
  <c r="AJ32" i="12"/>
  <c r="AK32" i="12" s="1"/>
  <c r="AI32" i="12"/>
  <c r="Q18" i="9"/>
  <c r="H146" i="14"/>
  <c r="G145" i="14"/>
  <c r="CE36" i="10"/>
  <c r="CG34" i="10"/>
  <c r="CG36" i="10" s="1"/>
  <c r="BX55" i="10"/>
  <c r="BY50" i="10"/>
  <c r="E266" i="15"/>
  <c r="G232" i="15"/>
  <c r="F238" i="15"/>
  <c r="F244" i="15" s="1"/>
  <c r="F275" i="15"/>
  <c r="F262" i="15"/>
  <c r="F268" i="15" s="1"/>
  <c r="F27" i="22"/>
  <c r="L20" i="14"/>
  <c r="K38" i="17"/>
  <c r="K43" i="17" s="1"/>
  <c r="K48" i="17" s="1"/>
  <c r="L232" i="6"/>
  <c r="L10" i="18"/>
  <c r="K120" i="17"/>
  <c r="K56" i="17"/>
  <c r="L32" i="15"/>
  <c r="P8" i="17"/>
  <c r="L25" i="16"/>
  <c r="K74" i="17"/>
  <c r="AL2" i="11"/>
  <c r="K186" i="17"/>
  <c r="J39" i="17"/>
  <c r="K26" i="16" s="1"/>
  <c r="J147" i="14"/>
  <c r="J281" i="6"/>
  <c r="I160" i="17" s="1"/>
  <c r="I94" i="17"/>
  <c r="H43" i="15"/>
  <c r="I37" i="15"/>
  <c r="H80" i="15"/>
  <c r="H67" i="15"/>
  <c r="H73" i="15" s="1"/>
  <c r="AZ39" i="10"/>
  <c r="G139" i="15"/>
  <c r="G163" i="15"/>
  <c r="G169" i="15" s="1"/>
  <c r="H133" i="15"/>
  <c r="G176" i="15"/>
  <c r="AL3" i="11"/>
  <c r="E23" i="11"/>
  <c r="H124" i="14"/>
  <c r="G158" i="14"/>
  <c r="G123" i="14"/>
  <c r="AG29" i="10"/>
  <c r="BU13" i="9"/>
  <c r="BI15" i="9"/>
  <c r="AO30" i="12"/>
  <c r="AP30" i="12"/>
  <c r="AQ30" i="12" s="1"/>
  <c r="I256" i="14"/>
  <c r="N44" i="10"/>
  <c r="CU44" i="10"/>
  <c r="DH22" i="10" s="1"/>
  <c r="H34" i="13" s="1"/>
  <c r="I37" i="18"/>
  <c r="G191" i="9"/>
  <c r="I190" i="9"/>
  <c r="AX190" i="9"/>
  <c r="L190" i="9"/>
  <c r="V33" i="12"/>
  <c r="U34" i="12"/>
  <c r="AK108" i="9"/>
  <c r="AL108" i="9" s="1"/>
  <c r="AN108" i="9"/>
  <c r="AI109" i="9"/>
  <c r="Y196" i="9"/>
  <c r="O197" i="9"/>
  <c r="BO65" i="10"/>
  <c r="BQ60" i="10"/>
  <c r="I249" i="14"/>
  <c r="BT17" i="9"/>
  <c r="BM14" i="9"/>
  <c r="G63" i="14"/>
  <c r="G74" i="14" s="1"/>
  <c r="G96" i="14" s="1"/>
  <c r="H29" i="14"/>
  <c r="E245" i="15"/>
  <c r="BG70" i="10"/>
  <c r="F171" i="15"/>
  <c r="E200" i="14"/>
  <c r="AJ79" i="10"/>
  <c r="AS34" i="10"/>
  <c r="AS36" i="10" s="1"/>
  <c r="AQ36" i="10"/>
  <c r="J72" i="18"/>
  <c r="J81" i="18"/>
  <c r="J96" i="18" s="1"/>
  <c r="J52" i="15"/>
  <c r="D35" i="25"/>
  <c r="F49" i="13"/>
  <c r="K121" i="14"/>
  <c r="K83" i="14"/>
  <c r="K88" i="14"/>
  <c r="K81" i="14"/>
  <c r="K87" i="14"/>
  <c r="K84" i="14"/>
  <c r="K85" i="14"/>
  <c r="K79" i="14"/>
  <c r="K82" i="14"/>
  <c r="K86" i="14"/>
  <c r="CA11" i="9"/>
  <c r="AW2" i="11"/>
  <c r="K56" i="15"/>
  <c r="K129" i="15"/>
  <c r="K57" i="15"/>
  <c r="K54" i="15"/>
  <c r="K53" i="15"/>
  <c r="K55" i="15"/>
  <c r="AC30" i="12"/>
  <c r="AD30" i="12"/>
  <c r="AE30" i="12" s="1"/>
  <c r="J150" i="14"/>
  <c r="I207" i="18"/>
  <c r="I136" i="25" s="1"/>
  <c r="BJ44" i="10"/>
  <c r="I250" i="14"/>
  <c r="F173" i="14"/>
  <c r="E29" i="16"/>
  <c r="F128" i="13"/>
  <c r="D126" i="13"/>
  <c r="G51" i="13"/>
  <c r="J54" i="13"/>
  <c r="N58" i="13"/>
  <c r="M57" i="13"/>
  <c r="H52" i="13"/>
  <c r="I53" i="13"/>
  <c r="L56" i="13"/>
  <c r="C125" i="13"/>
  <c r="E127" i="13"/>
  <c r="K55" i="13"/>
  <c r="CF79" i="10"/>
  <c r="BQ32" i="10"/>
  <c r="BO33" i="10"/>
  <c r="BO34" i="10" s="1"/>
  <c r="G166" i="14"/>
  <c r="H132" i="14"/>
  <c r="BJ43" i="12"/>
  <c r="BK43" i="12" s="1"/>
  <c r="BL43" i="12" s="1"/>
  <c r="M188" i="6"/>
  <c r="H32" i="14"/>
  <c r="G66" i="14"/>
  <c r="G77" i="14" s="1"/>
  <c r="Y84" i="13"/>
  <c r="K133" i="13"/>
  <c r="Y150" i="13" s="1"/>
  <c r="H246" i="15"/>
  <c r="M40" i="25"/>
  <c r="O49" i="18"/>
  <c r="AF33" i="12"/>
  <c r="AG33" i="12" s="1"/>
  <c r="H186" i="6"/>
  <c r="X161" i="6"/>
  <c r="C66" i="28" s="1"/>
  <c r="D142" i="25"/>
  <c r="D174" i="14"/>
  <c r="G130" i="18"/>
  <c r="G90" i="25" s="1"/>
  <c r="F64" i="15"/>
  <c r="F71" i="15"/>
  <c r="I251" i="14"/>
  <c r="T50" i="7"/>
  <c r="L33" i="6"/>
  <c r="K6" i="27" s="1"/>
  <c r="K11" i="27" s="1"/>
  <c r="F4" i="26"/>
  <c r="M233" i="6"/>
  <c r="L251" i="6"/>
  <c r="K16" i="17"/>
  <c r="K263" i="6"/>
  <c r="L245" i="6"/>
  <c r="J32" i="17"/>
  <c r="AJ34" i="10"/>
  <c r="D186" i="14"/>
  <c r="E186" i="14" s="1"/>
  <c r="F186" i="14" s="1"/>
  <c r="G186" i="14" s="1"/>
  <c r="H186" i="14" s="1"/>
  <c r="I186" i="14" s="1"/>
  <c r="J186" i="14" s="1"/>
  <c r="F18" i="26"/>
  <c r="E135" i="7"/>
  <c r="AW30" i="12"/>
  <c r="K278" i="6"/>
  <c r="J157" i="17" s="1"/>
  <c r="J91" i="17"/>
  <c r="BA37" i="10"/>
  <c r="AY38" i="10"/>
  <c r="AY39" i="10" s="1"/>
  <c r="F175" i="14"/>
  <c r="V18" i="9"/>
  <c r="J75" i="6"/>
  <c r="J87" i="5"/>
  <c r="AY138" i="10"/>
  <c r="BA110" i="9"/>
  <c r="CO75" i="10"/>
  <c r="D135" i="7"/>
  <c r="CL11" i="9"/>
  <c r="BH2" i="11"/>
  <c r="CX11" i="9" s="1"/>
  <c r="DJ11" i="9" s="1"/>
  <c r="DV11" i="9" s="1"/>
  <c r="EH11" i="9" s="1"/>
  <c r="E258" i="15"/>
  <c r="E265" i="15"/>
  <c r="L240" i="6"/>
  <c r="K258" i="6"/>
  <c r="J27" i="17"/>
  <c r="AC112" i="9"/>
  <c r="AM111" i="9"/>
  <c r="G216" i="18"/>
  <c r="G145" i="25" s="1"/>
  <c r="G146" i="25"/>
  <c r="F246" i="14"/>
  <c r="G247" i="14"/>
  <c r="AL31" i="12"/>
  <c r="AM31" i="12" s="1"/>
  <c r="AN31" i="12" s="1"/>
  <c r="I180" i="6"/>
  <c r="D185" i="14"/>
  <c r="E185" i="14" s="1"/>
  <c r="F185" i="14" s="1"/>
  <c r="G185" i="14" s="1"/>
  <c r="H185" i="14" s="1"/>
  <c r="I185" i="14" s="1"/>
  <c r="K54" i="6"/>
  <c r="R75" i="7"/>
  <c r="K75" i="6" s="1"/>
  <c r="I18" i="25"/>
  <c r="G163" i="14"/>
  <c r="H129" i="14"/>
  <c r="DD21" i="10"/>
  <c r="L55" i="10"/>
  <c r="M50" i="10"/>
  <c r="CO27" i="12"/>
  <c r="CG22" i="12"/>
  <c r="G170" i="17"/>
  <c r="H171" i="17" s="1"/>
  <c r="F170" i="15"/>
  <c r="G19" i="13"/>
  <c r="N26" i="13"/>
  <c r="L24" i="13"/>
  <c r="I21" i="13"/>
  <c r="M25" i="13"/>
  <c r="E95" i="13"/>
  <c r="J22" i="13"/>
  <c r="C93" i="13"/>
  <c r="K23" i="13"/>
  <c r="H20" i="13"/>
  <c r="F96" i="13"/>
  <c r="D94" i="13"/>
  <c r="J23" i="13"/>
  <c r="K24" i="13"/>
  <c r="M26" i="13"/>
  <c r="F19" i="13"/>
  <c r="F31" i="13" s="1"/>
  <c r="F14" i="18" s="1"/>
  <c r="L25" i="13"/>
  <c r="D95" i="13"/>
  <c r="I22" i="13"/>
  <c r="C94" i="13"/>
  <c r="G20" i="13"/>
  <c r="N27" i="13"/>
  <c r="H21" i="13"/>
  <c r="E96" i="13"/>
  <c r="X64" i="10"/>
  <c r="E105" i="9"/>
  <c r="BB104" i="9"/>
  <c r="D127" i="18"/>
  <c r="D87" i="25" s="1"/>
  <c r="AF108" i="9"/>
  <c r="H10" i="26"/>
  <c r="F127" i="7"/>
  <c r="L105" i="7"/>
  <c r="AS33" i="10"/>
  <c r="E213" i="18"/>
  <c r="H22" i="11"/>
  <c r="G22" i="11" s="1"/>
  <c r="AK4" i="11"/>
  <c r="K52" i="18" s="1"/>
  <c r="AY17" i="9"/>
  <c r="R29" i="10"/>
  <c r="E110" i="25"/>
  <c r="E228" i="18"/>
  <c r="E157" i="25" s="1"/>
  <c r="E239" i="18"/>
  <c r="E188" i="18"/>
  <c r="E117" i="25" s="1"/>
  <c r="E217" i="18"/>
  <c r="G73" i="14"/>
  <c r="G95" i="14" s="1"/>
  <c r="G62" i="14"/>
  <c r="H28" i="14"/>
  <c r="C36" i="10"/>
  <c r="E34" i="10"/>
  <c r="E36" i="10" s="1"/>
  <c r="D169" i="14"/>
  <c r="L53" i="14"/>
  <c r="D65" i="22"/>
  <c r="E65" i="22" s="1"/>
  <c r="F65" i="22" s="1"/>
  <c r="G65" i="22" s="1"/>
  <c r="H65" i="22" s="1"/>
  <c r="C88" i="22" s="1"/>
  <c r="D88" i="22" s="1"/>
  <c r="E88" i="22" s="1"/>
  <c r="F88" i="22" s="1"/>
  <c r="G88" i="22" s="1"/>
  <c r="H88" i="22" s="1"/>
  <c r="D175" i="14"/>
  <c r="K36" i="16"/>
  <c r="Z31" i="12"/>
  <c r="AA31" i="12" s="1"/>
  <c r="AB31" i="12" s="1"/>
  <c r="G180" i="6"/>
  <c r="H93" i="17"/>
  <c r="AN191" i="9"/>
  <c r="AG192" i="9" s="1"/>
  <c r="AK191" i="9"/>
  <c r="AL191" i="9" s="1"/>
  <c r="AI192" i="9"/>
  <c r="AJ5" i="11"/>
  <c r="A35" i="30"/>
  <c r="A50" i="30" s="1"/>
  <c r="A65" i="30"/>
  <c r="A80" i="30"/>
  <c r="K52" i="14"/>
  <c r="L52" i="14" s="1"/>
  <c r="F40" i="15"/>
  <c r="M241" i="6"/>
  <c r="L259" i="6"/>
  <c r="K28" i="17"/>
  <c r="J149" i="14"/>
  <c r="K149" i="14" s="1"/>
  <c r="H66" i="15"/>
  <c r="H72" i="15" s="1"/>
  <c r="I36" i="15"/>
  <c r="H79" i="15"/>
  <c r="H42" i="15"/>
  <c r="H48" i="15" s="1"/>
  <c r="G45" i="18"/>
  <c r="G36" i="25" s="1"/>
  <c r="I253" i="14"/>
  <c r="I36" i="18"/>
  <c r="DG22" i="10"/>
  <c r="CR211" i="10"/>
  <c r="AK32" i="10"/>
  <c r="AI33" i="10"/>
  <c r="AI34" i="10" s="1"/>
  <c r="H103" i="17"/>
  <c r="H104" i="17" s="1"/>
  <c r="I37" i="16"/>
  <c r="F123" i="7"/>
  <c r="L101" i="7"/>
  <c r="H5" i="26"/>
  <c r="B23" i="3"/>
  <c r="A11" i="3"/>
  <c r="F12" i="3"/>
  <c r="E271" i="15"/>
  <c r="E50" i="16" s="1"/>
  <c r="J276" i="6"/>
  <c r="I155" i="17" s="1"/>
  <c r="I89" i="17"/>
  <c r="M239" i="6"/>
  <c r="L257" i="6"/>
  <c r="K26" i="17"/>
  <c r="CB142" i="10"/>
  <c r="I29" i="10"/>
  <c r="AQ28" i="12"/>
  <c r="E46" i="15"/>
  <c r="F47" i="15"/>
  <c r="I171" i="17"/>
  <c r="H173" i="17"/>
  <c r="H178" i="17" s="1"/>
  <c r="AU18" i="9"/>
  <c r="F18" i="9"/>
  <c r="B18" i="9"/>
  <c r="BH36" i="10"/>
  <c r="BH37" i="10" s="1"/>
  <c r="BH38" i="10" s="1"/>
  <c r="BG37" i="10"/>
  <c r="I101" i="17"/>
  <c r="J112" i="18" s="1"/>
  <c r="K250" i="6"/>
  <c r="J140" i="17"/>
  <c r="J100" i="17"/>
  <c r="J124" i="17"/>
  <c r="K134" i="18" s="1"/>
  <c r="K94" i="25" s="1"/>
  <c r="J125" i="17"/>
  <c r="J191" i="17"/>
  <c r="J190" i="17"/>
  <c r="K219" i="18" s="1"/>
  <c r="K148" i="25" s="1"/>
  <c r="L54" i="14"/>
  <c r="N21" i="11"/>
  <c r="AV8" i="11"/>
  <c r="H30" i="14"/>
  <c r="G64" i="14"/>
  <c r="G75" i="14" s="1"/>
  <c r="G97" i="14" s="1"/>
  <c r="B13" i="17"/>
  <c r="C6" i="22"/>
  <c r="BH55" i="10"/>
  <c r="BI50" i="10"/>
  <c r="D33" i="25"/>
  <c r="I126" i="25"/>
  <c r="H128" i="14"/>
  <c r="G162" i="14"/>
  <c r="AV31" i="12"/>
  <c r="AW31" i="12" s="1"/>
  <c r="AU31" i="12"/>
  <c r="BP34" i="10"/>
  <c r="BQ33" i="10"/>
  <c r="H31" i="14"/>
  <c r="G65" i="14"/>
  <c r="G76" i="14" s="1"/>
  <c r="G98" i="14" s="1"/>
  <c r="G177" i="14" s="1"/>
  <c r="BL42" i="12"/>
  <c r="G160" i="14"/>
  <c r="H126" i="14"/>
  <c r="CJ21" i="12"/>
  <c r="CJ41" i="12" s="1"/>
  <c r="CJ61" i="12" s="1"/>
  <c r="DK88" i="10"/>
  <c r="DK157" i="10" s="1"/>
  <c r="H68" i="15"/>
  <c r="H74" i="15" s="1"/>
  <c r="H44" i="15"/>
  <c r="H81" i="15"/>
  <c r="I38" i="15"/>
  <c r="BA24" i="9"/>
  <c r="BN21" i="9" s="1"/>
  <c r="CK29" i="10"/>
  <c r="AK18" i="9"/>
  <c r="AL18" i="9" s="1"/>
  <c r="AN18" i="9"/>
  <c r="AG19" i="9" s="1"/>
  <c r="AI19" i="9"/>
  <c r="D121" i="22"/>
  <c r="D124" i="22" s="1"/>
  <c r="D77" i="22"/>
  <c r="E268" i="15"/>
  <c r="C173" i="14"/>
  <c r="C89" i="14"/>
  <c r="K10" i="16"/>
  <c r="DL20" i="10"/>
  <c r="L1" i="13"/>
  <c r="L67" i="13" s="1"/>
  <c r="P193" i="9"/>
  <c r="AS65" i="10"/>
  <c r="AQ70" i="10"/>
  <c r="D224" i="5"/>
  <c r="D240" i="5" s="1"/>
  <c r="D209" i="5"/>
  <c r="P29" i="12"/>
  <c r="BV29" i="12"/>
  <c r="C102" i="31"/>
  <c r="O112" i="9"/>
  <c r="Y111" i="9"/>
  <c r="S75" i="10"/>
  <c r="S79" i="10" s="1"/>
  <c r="U70" i="10"/>
  <c r="K269" i="6"/>
  <c r="J144" i="17" s="1"/>
  <c r="J78" i="17"/>
  <c r="E269" i="15"/>
  <c r="G58" i="14"/>
  <c r="G69" i="14" s="1"/>
  <c r="H24" i="14"/>
  <c r="L283" i="6"/>
  <c r="K162" i="17" s="1"/>
  <c r="K96" i="17"/>
  <c r="D181" i="6"/>
  <c r="H32" i="12"/>
  <c r="I32" i="12" s="1"/>
  <c r="K50" i="14"/>
  <c r="AQ143" i="10"/>
  <c r="G145" i="15"/>
  <c r="B106" i="31"/>
  <c r="B102" i="31" s="1"/>
  <c r="D4" i="26"/>
  <c r="F261" i="15"/>
  <c r="F274" i="15"/>
  <c r="F237" i="15"/>
  <c r="G231" i="15"/>
  <c r="H131" i="14"/>
  <c r="G165" i="14"/>
  <c r="D214" i="18"/>
  <c r="D143" i="25" s="1"/>
  <c r="I56" i="25"/>
  <c r="I154" i="18"/>
  <c r="I103" i="18"/>
  <c r="I132" i="18"/>
  <c r="T18" i="9"/>
  <c r="D32" i="12"/>
  <c r="K111" i="9"/>
  <c r="A112" i="9"/>
  <c r="I149" i="15"/>
  <c r="CP69" i="10"/>
  <c r="D187" i="14"/>
  <c r="E187" i="14" s="1"/>
  <c r="F187" i="14" s="1"/>
  <c r="G187" i="14" s="1"/>
  <c r="H187" i="14" s="1"/>
  <c r="I187" i="14" s="1"/>
  <c r="J187" i="14" s="1"/>
  <c r="CG33" i="10"/>
  <c r="F43" i="18"/>
  <c r="G154" i="7"/>
  <c r="D178" i="14"/>
  <c r="F272" i="15"/>
  <c r="F235" i="15"/>
  <c r="F259" i="15"/>
  <c r="G229" i="15"/>
  <c r="F228" i="15"/>
  <c r="C24" i="11"/>
  <c r="D23" i="11"/>
  <c r="F23" i="11" s="1"/>
  <c r="B24" i="11"/>
  <c r="F157" i="14"/>
  <c r="F40" i="16" s="1"/>
  <c r="AA36" i="10"/>
  <c r="AC34" i="10"/>
  <c r="AC36" i="10" s="1"/>
  <c r="C16" i="25"/>
  <c r="G30" i="12"/>
  <c r="L18" i="9"/>
  <c r="AX18" i="9"/>
  <c r="I18" i="9"/>
  <c r="G19" i="9"/>
  <c r="J25" i="17"/>
  <c r="K36" i="18" s="1"/>
  <c r="K27" i="25" s="1"/>
  <c r="E42" i="18"/>
  <c r="E33" i="25" s="1"/>
  <c r="E34" i="25"/>
  <c r="G251" i="18"/>
  <c r="G242" i="18"/>
  <c r="F215" i="18"/>
  <c r="F144" i="25" s="1"/>
  <c r="AL54" i="10"/>
  <c r="BA195" i="9"/>
  <c r="J18" i="25"/>
  <c r="E31" i="12"/>
  <c r="F31" i="12"/>
  <c r="I255" i="14"/>
  <c r="E97" i="14"/>
  <c r="BX27" i="12"/>
  <c r="E80" i="14"/>
  <c r="D91" i="14"/>
  <c r="D89" i="14" s="1"/>
  <c r="C199" i="14"/>
  <c r="C188" i="14"/>
  <c r="C13" i="22"/>
  <c r="D64" i="28"/>
  <c r="E64" i="28" s="1"/>
  <c r="A64" i="28"/>
  <c r="B64" i="28"/>
  <c r="F64" i="28" s="1"/>
  <c r="G64" i="28"/>
  <c r="K47" i="14"/>
  <c r="F168" i="15"/>
  <c r="CO79" i="10"/>
  <c r="H105" i="9"/>
  <c r="AW105" i="9"/>
  <c r="I75" i="25"/>
  <c r="I87" i="17"/>
  <c r="J121" i="18" s="1"/>
  <c r="J81" i="25" s="1"/>
  <c r="G49" i="15"/>
  <c r="H49" i="15" s="1"/>
  <c r="BL64" i="10"/>
  <c r="J155" i="14"/>
  <c r="K155" i="14" s="1"/>
  <c r="D242" i="18"/>
  <c r="D251" i="18"/>
  <c r="D146" i="25"/>
  <c r="D216" i="18"/>
  <c r="D145" i="25" s="1"/>
  <c r="D22" i="18"/>
  <c r="H131" i="18"/>
  <c r="H91" i="25" s="1"/>
  <c r="H92" i="25"/>
  <c r="K43" i="16"/>
  <c r="K133" i="18" s="1"/>
  <c r="K93" i="25" s="1"/>
  <c r="J47" i="16"/>
  <c r="K54" i="16" s="1"/>
  <c r="K218" i="18" s="1"/>
  <c r="K147" i="25" s="1"/>
  <c r="J151" i="15"/>
  <c r="J150" i="15"/>
  <c r="J152" i="15"/>
  <c r="J154" i="15"/>
  <c r="J226" i="15"/>
  <c r="J153" i="15"/>
  <c r="CM148" i="10"/>
  <c r="CN148" i="10" s="1"/>
  <c r="C5" i="25"/>
  <c r="C12" i="18"/>
  <c r="F144" i="15"/>
  <c r="E241" i="15"/>
  <c r="D240" i="15"/>
  <c r="D182" i="14"/>
  <c r="E182" i="14" s="1"/>
  <c r="F182" i="14" s="1"/>
  <c r="G182" i="14" s="1"/>
  <c r="H182" i="14" s="1"/>
  <c r="I182" i="14" s="1"/>
  <c r="J182" i="14" s="1"/>
  <c r="E30" i="16"/>
  <c r="J222" i="14"/>
  <c r="J180" i="14"/>
  <c r="J185" i="14"/>
  <c r="J189" i="14"/>
  <c r="J268" i="6"/>
  <c r="I166" i="17"/>
  <c r="J321" i="5"/>
  <c r="F217" i="18"/>
  <c r="F239" i="18"/>
  <c r="F188" i="18"/>
  <c r="F117" i="25" s="1"/>
  <c r="F110" i="25"/>
  <c r="Q107" i="9"/>
  <c r="V107" i="9"/>
  <c r="F56" i="14"/>
  <c r="F29" i="16" s="1"/>
  <c r="F30" i="16" s="1"/>
  <c r="M242" i="6"/>
  <c r="L260" i="6"/>
  <c r="K29" i="17"/>
  <c r="D171" i="14"/>
  <c r="H166" i="18"/>
  <c r="H181" i="18" s="1"/>
  <c r="N246" i="6"/>
  <c r="M264" i="6"/>
  <c r="L33" i="17"/>
  <c r="AW29" i="10"/>
  <c r="J38" i="25"/>
  <c r="J46" i="18"/>
  <c r="J37" i="25" s="1"/>
  <c r="V1" i="16"/>
  <c r="M12" i="17"/>
  <c r="X25" i="7"/>
  <c r="M29" i="12"/>
  <c r="I167" i="17"/>
  <c r="K17" i="18"/>
  <c r="K9" i="25" s="1"/>
  <c r="K69" i="18"/>
  <c r="K47" i="18"/>
  <c r="K2" i="25"/>
  <c r="J2" i="24" s="1"/>
  <c r="K70" i="30"/>
  <c r="K25" i="30"/>
  <c r="K40" i="30" s="1"/>
  <c r="K55" i="30"/>
  <c r="BA60" i="10"/>
  <c r="AY65" i="10"/>
  <c r="K22" i="11"/>
  <c r="M21" i="11"/>
  <c r="O21" i="11" s="1"/>
  <c r="L22" i="11"/>
  <c r="AE18" i="9"/>
  <c r="E93" i="14"/>
  <c r="C181" i="14"/>
  <c r="C192" i="14" s="1"/>
  <c r="C135" i="7"/>
  <c r="D18" i="26"/>
  <c r="J284" i="6"/>
  <c r="I163" i="17" s="1"/>
  <c r="I97" i="17"/>
  <c r="E88" i="25"/>
  <c r="E127" i="18"/>
  <c r="E87" i="25" s="1"/>
  <c r="H169" i="17"/>
  <c r="H170" i="17" s="1"/>
  <c r="I48" i="16"/>
  <c r="AR32" i="12"/>
  <c r="AS32" i="12" s="1"/>
  <c r="AT32" i="12" s="1"/>
  <c r="J181" i="6"/>
  <c r="L153" i="7"/>
  <c r="J148" i="14"/>
  <c r="AE191" i="9"/>
  <c r="I252" i="14"/>
  <c r="I254" i="14"/>
  <c r="H50" i="15"/>
  <c r="G161" i="14"/>
  <c r="H127" i="14"/>
  <c r="B178" i="6"/>
  <c r="B194" i="6" s="1"/>
  <c r="B210" i="6" s="1"/>
  <c r="A30" i="12"/>
  <c r="A50" i="12" s="1"/>
  <c r="A70" i="12" s="1"/>
  <c r="BF21" i="9"/>
  <c r="BF33" i="9" s="1"/>
  <c r="BF45" i="9" s="1"/>
  <c r="BF57" i="9" s="1"/>
  <c r="BF69" i="9" s="1"/>
  <c r="BF81" i="9" s="1"/>
  <c r="B207" i="5"/>
  <c r="B223" i="5" s="1"/>
  <c r="B239" i="5" s="1"/>
  <c r="A59" i="10"/>
  <c r="A127" i="10" s="1"/>
  <c r="A196" i="10" s="1"/>
  <c r="B12" i="3"/>
  <c r="AU9" i="11"/>
  <c r="AU10" i="11" s="1"/>
  <c r="Q20" i="11"/>
  <c r="P20" i="11" s="1"/>
  <c r="G45" i="15"/>
  <c r="G51" i="15" s="1"/>
  <c r="H39" i="15"/>
  <c r="G69" i="15"/>
  <c r="G75" i="15" s="1"/>
  <c r="G82" i="15"/>
  <c r="A26" i="9"/>
  <c r="K25" i="9"/>
  <c r="G34" i="15"/>
  <c r="H35" i="15"/>
  <c r="G65" i="15"/>
  <c r="G41" i="15"/>
  <c r="G78" i="15"/>
  <c r="BZ44" i="10"/>
  <c r="CV44" i="10" s="1"/>
  <c r="DH27" i="10" s="1"/>
  <c r="F260" i="15"/>
  <c r="F266" i="15" s="1"/>
  <c r="G230" i="15"/>
  <c r="F236" i="15"/>
  <c r="F242" i="15" s="1"/>
  <c r="F273" i="15"/>
  <c r="I107" i="17"/>
  <c r="I112" i="17" s="1"/>
  <c r="J105" i="17"/>
  <c r="K277" i="6"/>
  <c r="J156" i="17" s="1"/>
  <c r="J90" i="17"/>
  <c r="E40" i="16"/>
  <c r="E41" i="16" s="1"/>
  <c r="D45" i="17"/>
  <c r="D75" i="10"/>
  <c r="AT59" i="10"/>
  <c r="D239" i="5"/>
  <c r="G44" i="14"/>
  <c r="H45" i="14"/>
  <c r="N30" i="12"/>
  <c r="O30" i="12" s="1"/>
  <c r="E179" i="6"/>
  <c r="A198" i="9"/>
  <c r="K197" i="9"/>
  <c r="V64" i="10"/>
  <c r="F263" i="15"/>
  <c r="F269" i="15" s="1"/>
  <c r="F276" i="15"/>
  <c r="G233" i="15"/>
  <c r="F239" i="15"/>
  <c r="Z29" i="10"/>
  <c r="N247" i="6"/>
  <c r="M265" i="6"/>
  <c r="L34" i="17"/>
  <c r="L31" i="12"/>
  <c r="M31" i="12" s="1"/>
  <c r="K31" i="12"/>
  <c r="I31" i="17"/>
  <c r="H26" i="14"/>
  <c r="G60" i="14"/>
  <c r="G71" i="14" s="1"/>
  <c r="G93" i="14" s="1"/>
  <c r="H133" i="14"/>
  <c r="G167" i="14"/>
  <c r="AN74" i="10"/>
  <c r="H20" i="26"/>
  <c r="L114" i="7"/>
  <c r="H27" i="14"/>
  <c r="G61" i="14"/>
  <c r="G72" i="14" s="1"/>
  <c r="G94" i="14" s="1"/>
  <c r="J154" i="14"/>
  <c r="AU190" i="9"/>
  <c r="F190" i="9"/>
  <c r="AV190" i="9" s="1"/>
  <c r="B190" i="9"/>
  <c r="G22" i="14"/>
  <c r="G57" i="14"/>
  <c r="G68" i="14" s="1"/>
  <c r="G90" i="14" s="1"/>
  <c r="H23" i="14"/>
  <c r="C18" i="22"/>
  <c r="G159" i="14"/>
  <c r="H125" i="14"/>
  <c r="G164" i="14"/>
  <c r="H130" i="14"/>
  <c r="K48" i="14"/>
  <c r="B33" i="12"/>
  <c r="C33" i="12" s="1"/>
  <c r="C186" i="6"/>
  <c r="I249" i="15"/>
  <c r="I248" i="15"/>
  <c r="I250" i="15"/>
  <c r="I247" i="15"/>
  <c r="I251" i="15"/>
  <c r="CN79" i="10"/>
  <c r="C198" i="14"/>
  <c r="CV39" i="10"/>
  <c r="E234" i="15"/>
  <c r="H113" i="17"/>
  <c r="J143" i="18" s="1"/>
  <c r="J103" i="25" s="1"/>
  <c r="H114" i="17"/>
  <c r="E19" i="25"/>
  <c r="K275" i="6"/>
  <c r="J154" i="17" s="1"/>
  <c r="J88" i="17"/>
  <c r="E36" i="13"/>
  <c r="E48" i="13" s="1"/>
  <c r="E23" i="18" s="1"/>
  <c r="D113" i="13"/>
  <c r="J41" i="13"/>
  <c r="K42" i="13"/>
  <c r="F37" i="13"/>
  <c r="F48" i="13" s="1"/>
  <c r="F23" i="18" s="1"/>
  <c r="H39" i="13"/>
  <c r="I40" i="13"/>
  <c r="L43" i="13"/>
  <c r="M44" i="13"/>
  <c r="N45" i="13"/>
  <c r="E64" i="13"/>
  <c r="G38" i="13"/>
  <c r="C112" i="13"/>
  <c r="AC28" i="9"/>
  <c r="AM27" i="9"/>
  <c r="F36" i="25"/>
  <c r="AJ65" i="10"/>
  <c r="AK60" i="10"/>
  <c r="BN29" i="10"/>
  <c r="J26" i="16"/>
  <c r="D183" i="14"/>
  <c r="E144" i="7"/>
  <c r="H145" i="7"/>
  <c r="K49" i="14"/>
  <c r="J151" i="14"/>
  <c r="C104" i="9"/>
  <c r="B105" i="9"/>
  <c r="AR104" i="9"/>
  <c r="S27" i="12"/>
  <c r="BZ27" i="12" s="1"/>
  <c r="BY27" i="12"/>
  <c r="F187" i="6"/>
  <c r="T42" i="12"/>
  <c r="U42" i="12" s="1"/>
  <c r="H134" i="15"/>
  <c r="G140" i="15"/>
  <c r="G146" i="15" s="1"/>
  <c r="G164" i="15"/>
  <c r="G170" i="15" s="1"/>
  <c r="G177" i="15"/>
  <c r="A33" i="3"/>
  <c r="G138" i="15"/>
  <c r="G175" i="15"/>
  <c r="H132" i="15"/>
  <c r="G162" i="15"/>
  <c r="AY104" i="9"/>
  <c r="J104" i="9"/>
  <c r="AZ104" i="9" s="1"/>
  <c r="Y25" i="9"/>
  <c r="O26" i="9"/>
  <c r="H141" i="7"/>
  <c r="E140" i="7"/>
  <c r="E33" i="10"/>
  <c r="BR54" i="10"/>
  <c r="J153" i="14"/>
  <c r="H25" i="14"/>
  <c r="G59" i="14"/>
  <c r="G70" i="14"/>
  <c r="G92" i="14" s="1"/>
  <c r="G171" i="14" s="1"/>
  <c r="G193" i="14" s="1"/>
  <c r="AC33" i="10"/>
  <c r="K46" i="14"/>
  <c r="E243" i="15"/>
  <c r="I153" i="17"/>
  <c r="J206" i="18" s="1"/>
  <c r="J135" i="25" s="1"/>
  <c r="AC197" i="9"/>
  <c r="AM196" i="9"/>
  <c r="B34" i="3"/>
  <c r="A22" i="3"/>
  <c r="K51" i="14"/>
  <c r="D117" i="25"/>
  <c r="G141" i="15"/>
  <c r="G165" i="15"/>
  <c r="G171" i="15" s="1"/>
  <c r="H135" i="15"/>
  <c r="G178" i="15"/>
  <c r="J152" i="14"/>
  <c r="H81" i="25"/>
  <c r="S34" i="10" l="1"/>
  <c r="U33" i="10"/>
  <c r="AZ33" i="12"/>
  <c r="AY34" i="12"/>
  <c r="K187" i="6"/>
  <c r="AX42" i="12"/>
  <c r="AY42" i="12" s="1"/>
  <c r="AZ42" i="12" s="1"/>
  <c r="AD192" i="9"/>
  <c r="AE192" i="9" s="1"/>
  <c r="AF192" i="9" s="1"/>
  <c r="J30" i="18"/>
  <c r="J21" i="25" s="1"/>
  <c r="M261" i="6"/>
  <c r="L30" i="17"/>
  <c r="N243" i="6"/>
  <c r="L117" i="7"/>
  <c r="L279" i="6"/>
  <c r="K158" i="17" s="1"/>
  <c r="K92" i="17"/>
  <c r="BC31" i="12"/>
  <c r="BP42" i="12"/>
  <c r="BQ42" i="12" s="1"/>
  <c r="BR42" i="12" s="1"/>
  <c r="N187" i="6"/>
  <c r="D198" i="14"/>
  <c r="K147" i="14"/>
  <c r="BR33" i="12"/>
  <c r="BQ34" i="12"/>
  <c r="K27" i="18"/>
  <c r="K272" i="6"/>
  <c r="J149" i="17" s="1"/>
  <c r="K202" i="18" s="1"/>
  <c r="K131" i="25" s="1"/>
  <c r="L254" i="6"/>
  <c r="J83" i="17"/>
  <c r="K117" i="18" s="1"/>
  <c r="A69" i="28"/>
  <c r="B69" i="28"/>
  <c r="F69" i="28" s="1"/>
  <c r="G69" i="28"/>
  <c r="D69" i="28"/>
  <c r="E69" i="28" s="1"/>
  <c r="CG60" i="10"/>
  <c r="CF65" i="10"/>
  <c r="BX36" i="10"/>
  <c r="BX37" i="10" s="1"/>
  <c r="BX38" i="10" s="1"/>
  <c r="BW37" i="10"/>
  <c r="I168" i="17"/>
  <c r="J49" i="16" s="1"/>
  <c r="BG14" i="11"/>
  <c r="BG15" i="11" s="1"/>
  <c r="Z20" i="11"/>
  <c r="Y20" i="11" s="1"/>
  <c r="AB60" i="10"/>
  <c r="AC55" i="10"/>
  <c r="AD54" i="10" s="1"/>
  <c r="L181" i="6"/>
  <c r="BD32" i="12"/>
  <c r="BE32" i="12" s="1"/>
  <c r="X165" i="6"/>
  <c r="C70" i="28" s="1"/>
  <c r="C70" i="10"/>
  <c r="E65" i="10"/>
  <c r="F64" i="10" s="1"/>
  <c r="N74" i="25"/>
  <c r="O114" i="18"/>
  <c r="AV18" i="9"/>
  <c r="J256" i="14"/>
  <c r="O128" i="25"/>
  <c r="D15" i="23"/>
  <c r="M33" i="10"/>
  <c r="C209" i="5"/>
  <c r="C224" i="5"/>
  <c r="C240" i="5" s="1"/>
  <c r="J40" i="17"/>
  <c r="K27" i="16" s="1"/>
  <c r="BG31" i="12"/>
  <c r="BH31" i="12"/>
  <c r="BI31" i="12" s="1"/>
  <c r="E148" i="15"/>
  <c r="E143" i="15" s="1"/>
  <c r="E137" i="15"/>
  <c r="E154" i="7"/>
  <c r="G40" i="15"/>
  <c r="G172" i="14"/>
  <c r="F234" i="15"/>
  <c r="G176" i="14"/>
  <c r="G198" i="14" s="1"/>
  <c r="G174" i="14"/>
  <c r="G196" i="14" s="1"/>
  <c r="D212" i="18"/>
  <c r="D141" i="25" s="1"/>
  <c r="E193" i="14"/>
  <c r="F245" i="15"/>
  <c r="I93" i="17"/>
  <c r="K36" i="10"/>
  <c r="M34" i="10"/>
  <c r="M36" i="10" s="1"/>
  <c r="CM37" i="10"/>
  <c r="CN36" i="10"/>
  <c r="CN37" i="10" s="1"/>
  <c r="CN38" i="10" s="1"/>
  <c r="CN39" i="10" s="1"/>
  <c r="K19" i="17"/>
  <c r="K40" i="17" s="1"/>
  <c r="L27" i="16" s="1"/>
  <c r="M235" i="6"/>
  <c r="L253" i="6"/>
  <c r="BH13" i="11"/>
  <c r="W21" i="11"/>
  <c r="E172" i="15"/>
  <c r="E167" i="15" s="1"/>
  <c r="F129" i="18" s="1"/>
  <c r="F89" i="25" s="1"/>
  <c r="E161" i="15"/>
  <c r="F128" i="18" s="1"/>
  <c r="G175" i="14"/>
  <c r="G197" i="14" s="1"/>
  <c r="J255" i="14"/>
  <c r="G173" i="14"/>
  <c r="J253" i="14"/>
  <c r="I65" i="22"/>
  <c r="I88" i="22" s="1"/>
  <c r="I102" i="17"/>
  <c r="J38" i="16" s="1"/>
  <c r="I200" i="18"/>
  <c r="I129" i="25" s="1"/>
  <c r="J81" i="17"/>
  <c r="J102" i="17" s="1"/>
  <c r="K38" i="16" s="1"/>
  <c r="K271" i="6"/>
  <c r="J147" i="17" s="1"/>
  <c r="V21" i="11"/>
  <c r="X21" i="11" s="1"/>
  <c r="T22" i="11"/>
  <c r="U22" i="11"/>
  <c r="O20" i="25"/>
  <c r="B15" i="23"/>
  <c r="F179" i="15"/>
  <c r="F174" i="15" s="1"/>
  <c r="F39" i="16" s="1"/>
  <c r="F166" i="15"/>
  <c r="F142" i="15"/>
  <c r="F131" i="15"/>
  <c r="G136" i="15"/>
  <c r="F15" i="25"/>
  <c r="G99" i="14"/>
  <c r="G178" i="14" s="1"/>
  <c r="G200" i="14" s="1"/>
  <c r="J72" i="25"/>
  <c r="H141" i="15"/>
  <c r="H165" i="15"/>
  <c r="H171" i="15" s="1"/>
  <c r="H178" i="15"/>
  <c r="I135" i="15"/>
  <c r="L46" i="14"/>
  <c r="H175" i="15"/>
  <c r="H138" i="15"/>
  <c r="H162" i="15"/>
  <c r="I132" i="15"/>
  <c r="M283" i="6"/>
  <c r="L162" i="17" s="1"/>
  <c r="L96" i="17"/>
  <c r="D89" i="10"/>
  <c r="J186" i="6"/>
  <c r="AR33" i="12"/>
  <c r="AS33" i="12" s="1"/>
  <c r="X163" i="6"/>
  <c r="C68" i="28" s="1"/>
  <c r="B116" i="31"/>
  <c r="B107" i="31" s="1"/>
  <c r="D9" i="26"/>
  <c r="E172" i="14"/>
  <c r="I169" i="17"/>
  <c r="J48" i="16"/>
  <c r="N264" i="6"/>
  <c r="M33" i="17"/>
  <c r="N33" i="17" s="1"/>
  <c r="B26" i="28" s="1"/>
  <c r="N242" i="6"/>
  <c r="M260" i="6"/>
  <c r="L29" i="17"/>
  <c r="BL69" i="10"/>
  <c r="F34" i="25"/>
  <c r="F42" i="18"/>
  <c r="F33" i="25" s="1"/>
  <c r="BA111" i="9"/>
  <c r="J32" i="12"/>
  <c r="V193" i="9"/>
  <c r="Q193" i="9"/>
  <c r="B45" i="2"/>
  <c r="B108" i="28"/>
  <c r="C191" i="31"/>
  <c r="D18" i="21"/>
  <c r="F88" i="25"/>
  <c r="F127" i="18"/>
  <c r="F87" i="25" s="1"/>
  <c r="E212" i="18"/>
  <c r="E141" i="25" s="1"/>
  <c r="E142" i="25"/>
  <c r="AU105" i="9"/>
  <c r="F105" i="9"/>
  <c r="AV105" i="9" s="1"/>
  <c r="AM112" i="9"/>
  <c r="AC113" i="9"/>
  <c r="K276" i="6"/>
  <c r="J155" i="17" s="1"/>
  <c r="J89" i="17"/>
  <c r="J87" i="17" s="1"/>
  <c r="K121" i="18" s="1"/>
  <c r="BA39" i="10"/>
  <c r="BA41" i="10" s="1"/>
  <c r="AY41" i="10"/>
  <c r="J154" i="18"/>
  <c r="J132" i="18"/>
  <c r="J103" i="18"/>
  <c r="J63" i="25" s="1"/>
  <c r="J56" i="25"/>
  <c r="H191" i="9"/>
  <c r="AW191" i="9"/>
  <c r="AH29" i="10"/>
  <c r="BA38" i="10"/>
  <c r="K18" i="25"/>
  <c r="BZ49" i="10"/>
  <c r="R18" i="9"/>
  <c r="K284" i="6"/>
  <c r="J163" i="17" s="1"/>
  <c r="J97" i="17"/>
  <c r="P69" i="10"/>
  <c r="K151" i="14"/>
  <c r="E183" i="14"/>
  <c r="F183" i="14" s="1"/>
  <c r="D194" i="14"/>
  <c r="AJ70" i="10"/>
  <c r="AK65" i="10"/>
  <c r="E12" i="22"/>
  <c r="D14" i="17"/>
  <c r="I246" i="15"/>
  <c r="A34" i="3"/>
  <c r="F243" i="15"/>
  <c r="T43" i="12"/>
  <c r="U43" i="12" s="1"/>
  <c r="V43" i="12" s="1"/>
  <c r="F188" i="6"/>
  <c r="L49" i="14"/>
  <c r="I145" i="7"/>
  <c r="H144" i="7"/>
  <c r="L48" i="14"/>
  <c r="D18" i="22"/>
  <c r="E18" i="22" s="1"/>
  <c r="F18" i="22" s="1"/>
  <c r="G18" i="22" s="1"/>
  <c r="H18" i="22" s="1"/>
  <c r="C41" i="22" s="1"/>
  <c r="D41" i="22" s="1"/>
  <c r="E41" i="22" s="1"/>
  <c r="F41" i="22" s="1"/>
  <c r="G41" i="22" s="1"/>
  <c r="H41" i="22" s="1"/>
  <c r="H19" i="26"/>
  <c r="D118" i="31"/>
  <c r="D117" i="31" s="1"/>
  <c r="P30" i="12"/>
  <c r="BV30" i="12"/>
  <c r="G71" i="15"/>
  <c r="G70" i="15" s="1"/>
  <c r="H44" i="18" s="1"/>
  <c r="H35" i="25" s="1"/>
  <c r="G64" i="15"/>
  <c r="A27" i="9"/>
  <c r="K26" i="9"/>
  <c r="H69" i="15"/>
  <c r="H75" i="15" s="1"/>
  <c r="I39" i="15"/>
  <c r="H45" i="15"/>
  <c r="H51" i="15" s="1"/>
  <c r="H82" i="15"/>
  <c r="F13" i="3"/>
  <c r="B24" i="3"/>
  <c r="A12" i="3"/>
  <c r="AF18" i="9"/>
  <c r="BA65" i="10"/>
  <c r="AY70" i="10"/>
  <c r="K46" i="18"/>
  <c r="K37" i="25" s="1"/>
  <c r="K38" i="25"/>
  <c r="J197" i="18"/>
  <c r="M282" i="6"/>
  <c r="L161" i="17" s="1"/>
  <c r="L95" i="17"/>
  <c r="L278" i="6"/>
  <c r="K157" i="17" s="1"/>
  <c r="K91" i="17"/>
  <c r="W107" i="9"/>
  <c r="X107" i="9" s="1"/>
  <c r="U108" i="9"/>
  <c r="Z107" i="9"/>
  <c r="G144" i="15"/>
  <c r="CR79" i="10"/>
  <c r="L30" i="18"/>
  <c r="D188" i="14"/>
  <c r="CG24" i="12"/>
  <c r="J18" i="9"/>
  <c r="AA37" i="10"/>
  <c r="AB36" i="10"/>
  <c r="AB37" i="10" s="1"/>
  <c r="AB38" i="10" s="1"/>
  <c r="AM3" i="11"/>
  <c r="E24" i="11"/>
  <c r="F265" i="15"/>
  <c r="F258" i="15"/>
  <c r="D200" i="14"/>
  <c r="A113" i="9"/>
  <c r="K112" i="9"/>
  <c r="G274" i="15"/>
  <c r="H231" i="15"/>
  <c r="G237" i="15"/>
  <c r="G261" i="15"/>
  <c r="G267" i="15" s="1"/>
  <c r="F267" i="15"/>
  <c r="L50" i="14"/>
  <c r="J167" i="17"/>
  <c r="K197" i="18" s="1"/>
  <c r="U75" i="10"/>
  <c r="Z84" i="13"/>
  <c r="L133" i="13"/>
  <c r="Z150" i="13" s="1"/>
  <c r="C184" i="14"/>
  <c r="C195" i="14" s="1"/>
  <c r="C190" i="14" s="1"/>
  <c r="AJ19" i="9"/>
  <c r="I68" i="15"/>
  <c r="I44" i="15"/>
  <c r="I50" i="15" s="1"/>
  <c r="I81" i="15"/>
  <c r="J38" i="15"/>
  <c r="BN42" i="12"/>
  <c r="BM42" i="12"/>
  <c r="I31" i="14"/>
  <c r="H65" i="14"/>
  <c r="H76" i="14" s="1"/>
  <c r="H98" i="14" s="1"/>
  <c r="K77" i="25"/>
  <c r="I128" i="14"/>
  <c r="H162" i="14"/>
  <c r="C59" i="15"/>
  <c r="C41" i="14"/>
  <c r="C62" i="15"/>
  <c r="C34" i="14"/>
  <c r="C63" i="15"/>
  <c r="C37" i="14"/>
  <c r="C36" i="14"/>
  <c r="C39" i="14"/>
  <c r="C43" i="14"/>
  <c r="C38" i="14"/>
  <c r="C60" i="15"/>
  <c r="B20" i="17"/>
  <c r="B23" i="17"/>
  <c r="C42" i="14"/>
  <c r="C61" i="15"/>
  <c r="C35" i="14"/>
  <c r="C40" i="14"/>
  <c r="B24" i="17"/>
  <c r="BH39" i="10"/>
  <c r="H179" i="17"/>
  <c r="J228" i="18" s="1"/>
  <c r="J157" i="25" s="1"/>
  <c r="H180" i="17"/>
  <c r="M257" i="6"/>
  <c r="N239" i="6"/>
  <c r="L26" i="17"/>
  <c r="K141" i="7"/>
  <c r="K140" i="7" s="1"/>
  <c r="F122" i="7"/>
  <c r="G123" i="7"/>
  <c r="G122" i="7" s="1"/>
  <c r="H8" i="26" s="1"/>
  <c r="D106" i="31" s="1"/>
  <c r="AI36" i="10"/>
  <c r="AK34" i="10"/>
  <c r="AK36" i="10" s="1"/>
  <c r="I27" i="25"/>
  <c r="G181" i="6"/>
  <c r="Z32" i="12"/>
  <c r="AA32" i="12" s="1"/>
  <c r="AB32" i="12" s="1"/>
  <c r="D197" i="14"/>
  <c r="X69" i="10"/>
  <c r="F6" i="25"/>
  <c r="G31" i="13"/>
  <c r="G14" i="18" s="1"/>
  <c r="G6" i="25" s="1"/>
  <c r="L60" i="10"/>
  <c r="M55" i="10"/>
  <c r="H163" i="14"/>
  <c r="I129" i="14"/>
  <c r="G215" i="18"/>
  <c r="G144" i="25" s="1"/>
  <c r="AY143" i="10"/>
  <c r="AY148" i="10" s="1"/>
  <c r="AZ148" i="10" s="1"/>
  <c r="F197" i="14"/>
  <c r="C116" i="31"/>
  <c r="C107" i="31" s="1"/>
  <c r="C101" i="31" s="1"/>
  <c r="F9" i="26"/>
  <c r="F3" i="26" s="1"/>
  <c r="AK33" i="10"/>
  <c r="CZ29" i="10" s="1"/>
  <c r="K281" i="6"/>
  <c r="J160" i="17" s="1"/>
  <c r="J159" i="17" s="1"/>
  <c r="J94" i="17"/>
  <c r="K39" i="17"/>
  <c r="L27" i="18" s="1"/>
  <c r="AH33" i="12"/>
  <c r="AG34" i="12"/>
  <c r="BJ44" i="12"/>
  <c r="BK44" i="12" s="1"/>
  <c r="M189" i="6"/>
  <c r="BU29" i="10"/>
  <c r="CW29" i="10" s="1"/>
  <c r="J250" i="14"/>
  <c r="BI2" i="11"/>
  <c r="CY11" i="9" s="1"/>
  <c r="DK11" i="9" s="1"/>
  <c r="DW11" i="9" s="1"/>
  <c r="EI11" i="9" s="1"/>
  <c r="CM11" i="9"/>
  <c r="K222" i="14"/>
  <c r="K186" i="14"/>
  <c r="K187" i="14"/>
  <c r="K185" i="14"/>
  <c r="K182" i="14"/>
  <c r="K180" i="14"/>
  <c r="K189" i="14"/>
  <c r="Y197" i="9"/>
  <c r="O198" i="9"/>
  <c r="AY190" i="9"/>
  <c r="J190" i="9"/>
  <c r="AZ190" i="9" s="1"/>
  <c r="K39" i="13"/>
  <c r="D110" i="13"/>
  <c r="G113" i="13"/>
  <c r="E111" i="13"/>
  <c r="J38" i="13"/>
  <c r="L40" i="13"/>
  <c r="C109" i="13"/>
  <c r="N42" i="13"/>
  <c r="F112" i="13"/>
  <c r="I37" i="13"/>
  <c r="M41" i="13"/>
  <c r="H36" i="13"/>
  <c r="G157" i="14"/>
  <c r="G40" i="16" s="1"/>
  <c r="L17" i="18"/>
  <c r="L9" i="25" s="1"/>
  <c r="L69" i="18"/>
  <c r="L2" i="25"/>
  <c r="K2" i="24" s="1"/>
  <c r="L47" i="18"/>
  <c r="F74" i="22"/>
  <c r="F30" i="22"/>
  <c r="DM20" i="10"/>
  <c r="M1" i="13"/>
  <c r="M67" i="13" s="1"/>
  <c r="K11" i="16"/>
  <c r="E61" i="28"/>
  <c r="E196" i="14"/>
  <c r="Y26" i="9"/>
  <c r="O27" i="9"/>
  <c r="CG23" i="12"/>
  <c r="AR105" i="9"/>
  <c r="C105" i="9"/>
  <c r="E15" i="25"/>
  <c r="E22" i="18"/>
  <c r="H164" i="14"/>
  <c r="I130" i="14"/>
  <c r="I26" i="14"/>
  <c r="H60" i="14"/>
  <c r="H71" i="14" s="1"/>
  <c r="H93" i="14" s="1"/>
  <c r="AF191" i="9"/>
  <c r="N22" i="11"/>
  <c r="AW8" i="11"/>
  <c r="K81" i="18"/>
  <c r="K96" i="18" s="1"/>
  <c r="AX29" i="10"/>
  <c r="J171" i="17"/>
  <c r="I173" i="17"/>
  <c r="I178" i="17" s="1"/>
  <c r="J107" i="17"/>
  <c r="AD31" i="12"/>
  <c r="AE31" i="12" s="1"/>
  <c r="AC31" i="12"/>
  <c r="AL32" i="12"/>
  <c r="AM32" i="12" s="1"/>
  <c r="AN32" i="12" s="1"/>
  <c r="I181" i="6"/>
  <c r="E264" i="15"/>
  <c r="X33" i="12"/>
  <c r="W33" i="12"/>
  <c r="W34" i="12" s="1"/>
  <c r="V34" i="12"/>
  <c r="J122" i="18"/>
  <c r="J82" i="25" s="1"/>
  <c r="L55" i="15"/>
  <c r="L53" i="15"/>
  <c r="L129" i="15"/>
  <c r="L54" i="15"/>
  <c r="L57" i="15"/>
  <c r="L56" i="15"/>
  <c r="CF36" i="10"/>
  <c r="CF37" i="10" s="1"/>
  <c r="CF38" i="10" s="1"/>
  <c r="CE37" i="10"/>
  <c r="CH22" i="12"/>
  <c r="I17" i="13" s="1"/>
  <c r="CO28" i="12"/>
  <c r="V50" i="7"/>
  <c r="M33" i="6"/>
  <c r="L6" i="27" s="1"/>
  <c r="L11" i="27" s="1"/>
  <c r="K152" i="14"/>
  <c r="AM197" i="9"/>
  <c r="AC198" i="9"/>
  <c r="K153" i="14"/>
  <c r="H140" i="15"/>
  <c r="H146" i="15" s="1"/>
  <c r="H177" i="15"/>
  <c r="I134" i="15"/>
  <c r="H164" i="15"/>
  <c r="V42" i="12"/>
  <c r="CG26" i="12"/>
  <c r="D104" i="9"/>
  <c r="AT104" i="9" s="1"/>
  <c r="AS104" i="9"/>
  <c r="AL59" i="10"/>
  <c r="D33" i="12"/>
  <c r="D34" i="12" s="1"/>
  <c r="I125" i="14"/>
  <c r="H159" i="14"/>
  <c r="H22" i="14"/>
  <c r="H57" i="14"/>
  <c r="H68" i="14" s="1"/>
  <c r="H90" i="14" s="1"/>
  <c r="I23" i="14"/>
  <c r="AR190" i="9"/>
  <c r="C190" i="9"/>
  <c r="K154" i="14"/>
  <c r="H61" i="14"/>
  <c r="H72" i="14" s="1"/>
  <c r="H94" i="14" s="1"/>
  <c r="I27" i="14"/>
  <c r="H167" i="14"/>
  <c r="I133" i="14"/>
  <c r="J37" i="18"/>
  <c r="J28" i="25" s="1"/>
  <c r="N265" i="6"/>
  <c r="M34" i="17"/>
  <c r="N34" i="17" s="1"/>
  <c r="B27" i="28" s="1"/>
  <c r="A199" i="9"/>
  <c r="K198" i="9"/>
  <c r="H45" i="18"/>
  <c r="G45" i="17"/>
  <c r="G77" i="15"/>
  <c r="G28" i="16" s="1"/>
  <c r="I127" i="14"/>
  <c r="H161" i="14"/>
  <c r="J254" i="14"/>
  <c r="K148" i="14"/>
  <c r="AU32" i="12"/>
  <c r="AV32" i="12"/>
  <c r="AW32" i="12" s="1"/>
  <c r="BB59" i="10"/>
  <c r="P10" i="17"/>
  <c r="N20" i="14"/>
  <c r="M38" i="17"/>
  <c r="M43" i="17" s="1"/>
  <c r="N25" i="16"/>
  <c r="M74" i="17"/>
  <c r="AN2" i="11"/>
  <c r="C2" i="26"/>
  <c r="C43" i="26" s="1"/>
  <c r="N32" i="15"/>
  <c r="M56" i="17"/>
  <c r="M120" i="17"/>
  <c r="N232" i="6"/>
  <c r="H27" i="22"/>
  <c r="M186" i="17"/>
  <c r="N10" i="18"/>
  <c r="F251" i="18"/>
  <c r="F242" i="18"/>
  <c r="E31" i="16"/>
  <c r="F32" i="16" s="1"/>
  <c r="F241" i="15"/>
  <c r="E240" i="15"/>
  <c r="C4" i="25"/>
  <c r="I105" i="9"/>
  <c r="G106" i="9"/>
  <c r="L105" i="9"/>
  <c r="AX105" i="9"/>
  <c r="F80" i="14"/>
  <c r="E91" i="14"/>
  <c r="E19" i="9"/>
  <c r="C25" i="11"/>
  <c r="D24" i="11"/>
  <c r="F24" i="11" s="1"/>
  <c r="B25" i="11"/>
  <c r="C34" i="12"/>
  <c r="I63" i="25"/>
  <c r="D3" i="26"/>
  <c r="D186" i="6"/>
  <c r="H33" i="12"/>
  <c r="I33" i="12" s="1"/>
  <c r="J33" i="12" s="1"/>
  <c r="X157" i="6"/>
  <c r="C62" i="28" s="1"/>
  <c r="I24" i="14"/>
  <c r="H58" i="14"/>
  <c r="H69" i="14" s="1"/>
  <c r="Y112" i="9"/>
  <c r="O113" i="9"/>
  <c r="R29" i="12"/>
  <c r="Q29" i="12"/>
  <c r="BX29" i="12" s="1"/>
  <c r="CI24" i="12" s="1"/>
  <c r="BW29" i="12"/>
  <c r="D225" i="5"/>
  <c r="D210" i="5"/>
  <c r="AT64" i="10"/>
  <c r="A31" i="12"/>
  <c r="A51" i="12" s="1"/>
  <c r="A71" i="12" s="1"/>
  <c r="B13" i="3"/>
  <c r="A64" i="10"/>
  <c r="A132" i="10" s="1"/>
  <c r="A201" i="10" s="1"/>
  <c r="B179" i="6"/>
  <c r="B195" i="6" s="1"/>
  <c r="B211" i="6" s="1"/>
  <c r="B208" i="5"/>
  <c r="B224" i="5" s="1"/>
  <c r="B240" i="5" s="1"/>
  <c r="BF22" i="9"/>
  <c r="BF34" i="9" s="1"/>
  <c r="BF46" i="9" s="1"/>
  <c r="BF58" i="9" s="1"/>
  <c r="BF70" i="9" s="1"/>
  <c r="BF82" i="9" s="1"/>
  <c r="CL29" i="10"/>
  <c r="H160" i="14"/>
  <c r="I126" i="14"/>
  <c r="BH60" i="10"/>
  <c r="BI55" i="10"/>
  <c r="K268" i="6"/>
  <c r="J166" i="17"/>
  <c r="BU12" i="9"/>
  <c r="E51" i="18" s="1"/>
  <c r="BG15" i="9"/>
  <c r="F46" i="15"/>
  <c r="G47" i="15"/>
  <c r="B35" i="3"/>
  <c r="A23" i="3"/>
  <c r="D103" i="31"/>
  <c r="D102" i="31" s="1"/>
  <c r="AO29" i="10"/>
  <c r="G34" i="13"/>
  <c r="I42" i="15"/>
  <c r="I48" i="15" s="1"/>
  <c r="J36" i="15"/>
  <c r="I79" i="15"/>
  <c r="I66" i="15"/>
  <c r="L277" i="6"/>
  <c r="K156" i="17" s="1"/>
  <c r="K90" i="17"/>
  <c r="AK5" i="11"/>
  <c r="K47" i="16"/>
  <c r="C37" i="10"/>
  <c r="D36" i="10"/>
  <c r="D37" i="10" s="1"/>
  <c r="D38" i="10" s="1"/>
  <c r="E251" i="18"/>
  <c r="BT16" i="9"/>
  <c r="BT18" i="9" s="1"/>
  <c r="BL14" i="9"/>
  <c r="D108" i="31"/>
  <c r="D2" i="13"/>
  <c r="AP31" i="12"/>
  <c r="AO31" i="12"/>
  <c r="L258" i="6"/>
  <c r="M240" i="6"/>
  <c r="K27" i="17"/>
  <c r="K25" i="17" s="1"/>
  <c r="F213" i="18"/>
  <c r="K115" i="18"/>
  <c r="U19" i="9"/>
  <c r="Z18" i="9"/>
  <c r="S19" i="9" s="1"/>
  <c r="W18" i="9"/>
  <c r="X18" i="9" s="1"/>
  <c r="J31" i="17"/>
  <c r="N233" i="6"/>
  <c r="M251" i="6"/>
  <c r="L16" i="17"/>
  <c r="L54" i="6"/>
  <c r="T75" i="7"/>
  <c r="L75" i="6" s="1"/>
  <c r="F70" i="15"/>
  <c r="D66" i="28"/>
  <c r="E66" i="28" s="1"/>
  <c r="G66" i="28"/>
  <c r="A66" i="28"/>
  <c r="B66" i="28"/>
  <c r="F66" i="28" s="1"/>
  <c r="H166" i="14"/>
  <c r="I132" i="14"/>
  <c r="BQ34" i="10"/>
  <c r="BQ36" i="10" s="1"/>
  <c r="BO36" i="10"/>
  <c r="BR59" i="10"/>
  <c r="BB190" i="9"/>
  <c r="E191" i="9"/>
  <c r="G169" i="14"/>
  <c r="G191" i="14" s="1"/>
  <c r="H139" i="15"/>
  <c r="H145" i="15" s="1"/>
  <c r="H176" i="15"/>
  <c r="H163" i="15"/>
  <c r="I133" i="15"/>
  <c r="I159" i="17"/>
  <c r="K140" i="17"/>
  <c r="K100" i="17"/>
  <c r="L250" i="6"/>
  <c r="K49" i="17"/>
  <c r="M58" i="18" s="1"/>
  <c r="M49" i="25" s="1"/>
  <c r="K50" i="17"/>
  <c r="G238" i="15"/>
  <c r="G244" i="15" s="1"/>
  <c r="G275" i="15"/>
  <c r="G262" i="15"/>
  <c r="H232" i="15"/>
  <c r="BX60" i="10"/>
  <c r="BY55" i="10"/>
  <c r="H130" i="18"/>
  <c r="H90" i="25" s="1"/>
  <c r="M248" i="6"/>
  <c r="L266" i="6"/>
  <c r="K35" i="17"/>
  <c r="L74" i="17"/>
  <c r="L38" i="17"/>
  <c r="L43" i="17" s="1"/>
  <c r="L48" i="17" s="1"/>
  <c r="M32" i="15"/>
  <c r="F7" i="15" s="1"/>
  <c r="F11" i="15" s="1"/>
  <c r="F12" i="15" s="1"/>
  <c r="M20" i="14"/>
  <c r="J6" i="14" s="1"/>
  <c r="J10" i="14" s="1"/>
  <c r="M10" i="18"/>
  <c r="M232" i="6"/>
  <c r="G27" i="22"/>
  <c r="P9" i="17"/>
  <c r="M25" i="16"/>
  <c r="L186" i="17"/>
  <c r="L189" i="17" s="1"/>
  <c r="L120" i="17"/>
  <c r="L123" i="17" s="1"/>
  <c r="AM2" i="11"/>
  <c r="L56" i="17"/>
  <c r="E197" i="14"/>
  <c r="H59" i="14"/>
  <c r="H70" i="14" s="1"/>
  <c r="H92" i="14" s="1"/>
  <c r="I25" i="14"/>
  <c r="B42" i="12"/>
  <c r="C42" i="12" s="1"/>
  <c r="C187" i="6"/>
  <c r="H44" i="14"/>
  <c r="I45" i="14"/>
  <c r="I113" i="17"/>
  <c r="K143" i="18" s="1"/>
  <c r="K103" i="25" s="1"/>
  <c r="I114" i="17"/>
  <c r="H78" i="15"/>
  <c r="H41" i="15"/>
  <c r="I35" i="15"/>
  <c r="H65" i="15"/>
  <c r="H34" i="15"/>
  <c r="D181" i="14"/>
  <c r="E181" i="14" s="1"/>
  <c r="F181" i="14" s="1"/>
  <c r="G181" i="14" s="1"/>
  <c r="H181" i="14" s="1"/>
  <c r="I181" i="14" s="1"/>
  <c r="J181" i="14" s="1"/>
  <c r="K181" i="14" s="1"/>
  <c r="X50" i="7"/>
  <c r="N33" i="6"/>
  <c r="M6" i="27" s="1"/>
  <c r="M11" i="27" s="1"/>
  <c r="D193" i="14"/>
  <c r="R107" i="9"/>
  <c r="D170" i="14"/>
  <c r="I92" i="25"/>
  <c r="T79" i="10"/>
  <c r="AQ75" i="10"/>
  <c r="AS70" i="10"/>
  <c r="DL88" i="10"/>
  <c r="DL157" i="10" s="1"/>
  <c r="CK21" i="12"/>
  <c r="CK41" i="12" s="1"/>
  <c r="CK61" i="12" s="1"/>
  <c r="AH19" i="9"/>
  <c r="BJ49" i="10"/>
  <c r="J37" i="16"/>
  <c r="I103" i="17"/>
  <c r="I104" i="17" s="1"/>
  <c r="AJ192" i="9"/>
  <c r="D191" i="14"/>
  <c r="I28" i="14"/>
  <c r="H62" i="14"/>
  <c r="H73" i="14" s="1"/>
  <c r="F126" i="7"/>
  <c r="K145" i="7"/>
  <c r="K144" i="7" s="1"/>
  <c r="K154" i="7" s="1"/>
  <c r="G127" i="7"/>
  <c r="G126" i="7" s="1"/>
  <c r="H17" i="13"/>
  <c r="L269" i="6"/>
  <c r="K144" i="17" s="1"/>
  <c r="K78" i="17"/>
  <c r="BM43" i="12"/>
  <c r="BN43" i="12"/>
  <c r="BO43" i="12" s="1"/>
  <c r="K152" i="15"/>
  <c r="K153" i="15"/>
  <c r="K151" i="15"/>
  <c r="K150" i="15"/>
  <c r="K154" i="15"/>
  <c r="K226" i="15"/>
  <c r="BJ15" i="9"/>
  <c r="H158" i="14"/>
  <c r="H123" i="14"/>
  <c r="I124" i="14"/>
  <c r="CB11" i="9"/>
  <c r="AX2" i="11"/>
  <c r="J248" i="14"/>
  <c r="K248" i="14" s="1"/>
  <c r="L51" i="14"/>
  <c r="H140" i="7"/>
  <c r="I141" i="7"/>
  <c r="G168" i="15"/>
  <c r="AM28" i="9"/>
  <c r="AC29" i="9"/>
  <c r="J153" i="17"/>
  <c r="K206" i="18" s="1"/>
  <c r="K135" i="25" s="1"/>
  <c r="DG27" i="10"/>
  <c r="G56" i="14"/>
  <c r="G263" i="15"/>
  <c r="G276" i="15"/>
  <c r="H233" i="15"/>
  <c r="G239" i="15"/>
  <c r="G245" i="15" s="1"/>
  <c r="E180" i="6"/>
  <c r="N31" i="12"/>
  <c r="O31" i="12" s="1"/>
  <c r="G236" i="15"/>
  <c r="G242" i="15" s="1"/>
  <c r="G260" i="15"/>
  <c r="G266" i="15" s="1"/>
  <c r="H230" i="15"/>
  <c r="G273" i="15"/>
  <c r="BA25" i="9"/>
  <c r="BN22" i="9" s="1"/>
  <c r="BT42" i="12"/>
  <c r="BS42" i="12"/>
  <c r="J252" i="14"/>
  <c r="K252" i="14" s="1"/>
  <c r="AD19" i="9"/>
  <c r="K23" i="11"/>
  <c r="M22" i="11"/>
  <c r="O22" i="11" s="1"/>
  <c r="L23" i="11"/>
  <c r="DN20" i="10"/>
  <c r="N1" i="13"/>
  <c r="N67" i="13" s="1"/>
  <c r="K12" i="16"/>
  <c r="H110" i="25"/>
  <c r="H217" i="18"/>
  <c r="H188" i="18"/>
  <c r="H239" i="18"/>
  <c r="G147" i="15"/>
  <c r="H147" i="15" s="1"/>
  <c r="F146" i="25"/>
  <c r="J248" i="15"/>
  <c r="J247" i="15"/>
  <c r="J249" i="15"/>
  <c r="J251" i="15"/>
  <c r="J250" i="15"/>
  <c r="J149" i="15"/>
  <c r="D14" i="25"/>
  <c r="L47" i="14"/>
  <c r="M47" i="14" s="1"/>
  <c r="N47" i="14" s="1"/>
  <c r="E176" i="14"/>
  <c r="G31" i="12"/>
  <c r="AW19" i="9"/>
  <c r="F28" i="18"/>
  <c r="E17" i="17"/>
  <c r="H19" i="9"/>
  <c r="G259" i="15"/>
  <c r="H229" i="15"/>
  <c r="G235" i="15"/>
  <c r="G228" i="15"/>
  <c r="G272" i="15"/>
  <c r="F271" i="15"/>
  <c r="F50" i="16" s="1"/>
  <c r="E32" i="12"/>
  <c r="F32" i="12"/>
  <c r="I166" i="18"/>
  <c r="I181" i="18" s="1"/>
  <c r="I157" i="18"/>
  <c r="H165" i="14"/>
  <c r="I131" i="14"/>
  <c r="B101" i="31"/>
  <c r="AQ148" i="10"/>
  <c r="AR148" i="10" s="1"/>
  <c r="J101" i="17"/>
  <c r="K112" i="18" s="1"/>
  <c r="V69" i="10"/>
  <c r="C19" i="22"/>
  <c r="H64" i="14"/>
  <c r="H75" i="14" s="1"/>
  <c r="I30" i="14"/>
  <c r="AV9" i="11"/>
  <c r="AV10" i="11" s="1"/>
  <c r="Q21" i="11"/>
  <c r="P21" i="11" s="1"/>
  <c r="BI37" i="10"/>
  <c r="BG38" i="10"/>
  <c r="BG39" i="10" s="1"/>
  <c r="C18" i="9"/>
  <c r="AR18" i="9"/>
  <c r="B19" i="9"/>
  <c r="J29" i="10"/>
  <c r="L275" i="6"/>
  <c r="K154" i="17" s="1"/>
  <c r="K88" i="17"/>
  <c r="BA196" i="9"/>
  <c r="N241" i="6"/>
  <c r="M259" i="6"/>
  <c r="L28" i="17"/>
  <c r="AH192" i="9"/>
  <c r="I122" i="18"/>
  <c r="M53" i="14"/>
  <c r="N53" i="14" s="1"/>
  <c r="O53" i="14" s="1"/>
  <c r="E146" i="25"/>
  <c r="E216" i="18"/>
  <c r="E145" i="25" s="1"/>
  <c r="K43" i="25"/>
  <c r="N49" i="10"/>
  <c r="CU49" i="10"/>
  <c r="H247" i="14"/>
  <c r="G246" i="14"/>
  <c r="CP74" i="10"/>
  <c r="BE34" i="10"/>
  <c r="M245" i="6"/>
  <c r="L263" i="6"/>
  <c r="K32" i="17"/>
  <c r="K31" i="17" s="1"/>
  <c r="J251" i="14"/>
  <c r="G43" i="18"/>
  <c r="D196" i="14"/>
  <c r="H187" i="6"/>
  <c r="AF42" i="12"/>
  <c r="AG42" i="12" s="1"/>
  <c r="B35" i="23"/>
  <c r="O40" i="25"/>
  <c r="I32" i="14"/>
  <c r="H66" i="14"/>
  <c r="H77" i="14" s="1"/>
  <c r="H99" i="14" s="1"/>
  <c r="K150" i="14"/>
  <c r="K52" i="15"/>
  <c r="I54" i="13"/>
  <c r="J55" i="13"/>
  <c r="C126" i="13"/>
  <c r="H53" i="13"/>
  <c r="L57" i="13"/>
  <c r="M58" i="13"/>
  <c r="D127" i="13"/>
  <c r="F51" i="13"/>
  <c r="F63" i="13" s="1"/>
  <c r="F24" i="18" s="1"/>
  <c r="N59" i="13"/>
  <c r="E128" i="13"/>
  <c r="K56" i="13"/>
  <c r="G52" i="13"/>
  <c r="G63" i="13" s="1"/>
  <c r="G24" i="18" s="1"/>
  <c r="G16" i="25" s="1"/>
  <c r="F64" i="13"/>
  <c r="AQ37" i="10"/>
  <c r="AR36" i="10"/>
  <c r="AR37" i="10" s="1"/>
  <c r="AR38" i="10" s="1"/>
  <c r="BG75" i="10"/>
  <c r="H63" i="14"/>
  <c r="H74" i="14" s="1"/>
  <c r="H96" i="14" s="1"/>
  <c r="H175" i="14" s="1"/>
  <c r="H197" i="14" s="1"/>
  <c r="I29" i="14"/>
  <c r="J249" i="14"/>
  <c r="K249" i="14" s="1"/>
  <c r="BO70" i="10"/>
  <c r="BQ65" i="10"/>
  <c r="AH108" i="9"/>
  <c r="AG109" i="9"/>
  <c r="F41" i="16"/>
  <c r="I28" i="25"/>
  <c r="H23" i="11"/>
  <c r="G23" i="11" s="1"/>
  <c r="AL4" i="11"/>
  <c r="L52" i="18" s="1"/>
  <c r="L43" i="25" s="1"/>
  <c r="I67" i="15"/>
  <c r="I73" i="15" s="1"/>
  <c r="I80" i="15"/>
  <c r="J37" i="15"/>
  <c r="I43" i="15"/>
  <c r="I49" i="15" s="1"/>
  <c r="L36" i="16"/>
  <c r="M32" i="16"/>
  <c r="M48" i="18" s="1"/>
  <c r="M39" i="25" s="1"/>
  <c r="L121" i="14"/>
  <c r="L149" i="14" s="1"/>
  <c r="L85" i="14"/>
  <c r="L83" i="14"/>
  <c r="L81" i="14"/>
  <c r="L84" i="14"/>
  <c r="L86" i="14"/>
  <c r="L82" i="14"/>
  <c r="L88" i="14"/>
  <c r="L79" i="14"/>
  <c r="L87" i="14"/>
  <c r="D7" i="14"/>
  <c r="I146" i="14"/>
  <c r="H145" i="14"/>
  <c r="DD24" i="10"/>
  <c r="E77" i="22"/>
  <c r="E121" i="22"/>
  <c r="E124" i="22" s="1"/>
  <c r="S28" i="12"/>
  <c r="BZ28" i="12" s="1"/>
  <c r="CH26" i="12" s="1"/>
  <c r="BY28" i="12"/>
  <c r="CH23" i="12" s="1"/>
  <c r="I49" i="13" s="1"/>
  <c r="F196" i="14"/>
  <c r="I135" i="25"/>
  <c r="F193" i="14"/>
  <c r="F198" i="14"/>
  <c r="H172" i="14" l="1"/>
  <c r="BR34" i="12"/>
  <c r="BS33" i="12"/>
  <c r="BS34" i="12" s="1"/>
  <c r="BT33" i="12"/>
  <c r="BA42" i="12"/>
  <c r="BB42" i="12"/>
  <c r="BC42" i="12" s="1"/>
  <c r="F135" i="7"/>
  <c r="K188" i="6"/>
  <c r="AX43" i="12"/>
  <c r="AY43" i="12" s="1"/>
  <c r="AZ43" i="12" s="1"/>
  <c r="J200" i="18"/>
  <c r="J129" i="25" s="1"/>
  <c r="N188" i="6"/>
  <c r="BP43" i="12"/>
  <c r="BQ43" i="12" s="1"/>
  <c r="BR43" i="12" s="1"/>
  <c r="N261" i="6"/>
  <c r="M30" i="17"/>
  <c r="N30" i="17" s="1"/>
  <c r="B23" i="28" s="1"/>
  <c r="BB33" i="12"/>
  <c r="BA33" i="12"/>
  <c r="BA34" i="12" s="1"/>
  <c r="AZ34" i="12"/>
  <c r="M254" i="6"/>
  <c r="L272" i="6"/>
  <c r="K149" i="17" s="1"/>
  <c r="L202" i="18" s="1"/>
  <c r="L131" i="25" s="1"/>
  <c r="K83" i="17"/>
  <c r="L117" i="18" s="1"/>
  <c r="L77" i="25" s="1"/>
  <c r="J93" i="17"/>
  <c r="M279" i="6"/>
  <c r="L158" i="17" s="1"/>
  <c r="L92" i="17"/>
  <c r="S36" i="10"/>
  <c r="U34" i="10"/>
  <c r="U36" i="10" s="1"/>
  <c r="H178" i="14"/>
  <c r="F172" i="15"/>
  <c r="F167" i="15" s="1"/>
  <c r="G129" i="18" s="1"/>
  <c r="G89" i="25" s="1"/>
  <c r="F161" i="15"/>
  <c r="G128" i="18" s="1"/>
  <c r="BI13" i="11"/>
  <c r="W22" i="11"/>
  <c r="BH14" i="11"/>
  <c r="BH15" i="11" s="1"/>
  <c r="Z21" i="11"/>
  <c r="Y21" i="11" s="1"/>
  <c r="L36" i="10"/>
  <c r="L37" i="10" s="1"/>
  <c r="L38" i="10" s="1"/>
  <c r="L39" i="10" s="1"/>
  <c r="K37" i="10"/>
  <c r="C210" i="5"/>
  <c r="C226" i="5" s="1"/>
  <c r="C242" i="5" s="1"/>
  <c r="C225" i="5"/>
  <c r="L186" i="6"/>
  <c r="BD33" i="12"/>
  <c r="BE33" i="12" s="1"/>
  <c r="BF33" i="12" s="1"/>
  <c r="BX39" i="10"/>
  <c r="K6" i="14"/>
  <c r="K10" i="14" s="1"/>
  <c r="H177" i="14"/>
  <c r="M46" i="14"/>
  <c r="N46" i="14" s="1"/>
  <c r="G166" i="15"/>
  <c r="G142" i="15"/>
  <c r="G131" i="15"/>
  <c r="G179" i="15"/>
  <c r="G174" i="15" s="1"/>
  <c r="G39" i="16" s="1"/>
  <c r="G41" i="16" s="1"/>
  <c r="H136" i="15"/>
  <c r="U23" i="11"/>
  <c r="V22" i="11"/>
  <c r="X22" i="11" s="1"/>
  <c r="T23" i="11"/>
  <c r="K30" i="18"/>
  <c r="K21" i="25" s="1"/>
  <c r="C75" i="10"/>
  <c r="E70" i="10"/>
  <c r="CF70" i="10"/>
  <c r="CG65" i="10"/>
  <c r="CH64" i="10" s="1"/>
  <c r="H169" i="14"/>
  <c r="M52" i="14"/>
  <c r="BI38" i="10"/>
  <c r="M50" i="14"/>
  <c r="N50" i="14" s="1"/>
  <c r="O50" i="14" s="1"/>
  <c r="AY18" i="9"/>
  <c r="M48" i="14"/>
  <c r="N48" i="14" s="1"/>
  <c r="O48" i="14" s="1"/>
  <c r="D6" i="14"/>
  <c r="D10" i="14" s="1"/>
  <c r="L271" i="6"/>
  <c r="K147" i="17" s="1"/>
  <c r="K81" i="17"/>
  <c r="K102" i="17" s="1"/>
  <c r="L115" i="18" s="1"/>
  <c r="L75" i="25" s="1"/>
  <c r="CM38" i="10"/>
  <c r="CO37" i="10"/>
  <c r="CS34" i="10" s="1"/>
  <c r="O74" i="25"/>
  <c r="C15" i="23"/>
  <c r="D70" i="28"/>
  <c r="E70" i="28" s="1"/>
  <c r="B70" i="28"/>
  <c r="F70" i="28" s="1"/>
  <c r="G70" i="28"/>
  <c r="A70" i="28"/>
  <c r="AB65" i="10"/>
  <c r="AC60" i="10"/>
  <c r="CH59" i="10"/>
  <c r="BA197" i="9"/>
  <c r="I6" i="14"/>
  <c r="I10" i="14" s="1"/>
  <c r="F148" i="15"/>
  <c r="F143" i="15" s="1"/>
  <c r="F137" i="15"/>
  <c r="J168" i="17"/>
  <c r="K49" i="16" s="1"/>
  <c r="J115" i="18"/>
  <c r="J75" i="25" s="1"/>
  <c r="L19" i="17"/>
  <c r="L40" i="17" s="1"/>
  <c r="M27" i="16" s="1"/>
  <c r="M253" i="6"/>
  <c r="N235" i="6"/>
  <c r="BF32" i="12"/>
  <c r="BE34" i="12"/>
  <c r="BW38" i="10"/>
  <c r="BW39" i="10" s="1"/>
  <c r="BY37" i="10"/>
  <c r="CC34" i="10" s="1"/>
  <c r="H200" i="14"/>
  <c r="CY34" i="10"/>
  <c r="DA29" i="10"/>
  <c r="DE23" i="10" s="1"/>
  <c r="H95" i="14"/>
  <c r="H174" i="14" s="1"/>
  <c r="L18" i="25"/>
  <c r="K81" i="25"/>
  <c r="H191" i="14"/>
  <c r="C94" i="31"/>
  <c r="H173" i="14"/>
  <c r="H171" i="14"/>
  <c r="L36" i="18"/>
  <c r="I130" i="18"/>
  <c r="I90" i="25" s="1"/>
  <c r="AR39" i="10"/>
  <c r="AF43" i="12"/>
  <c r="AG43" i="12" s="1"/>
  <c r="AH43" i="12" s="1"/>
  <c r="H188" i="6"/>
  <c r="L281" i="6"/>
  <c r="K160" i="17" s="1"/>
  <c r="K94" i="17"/>
  <c r="H215" i="18"/>
  <c r="H144" i="25" s="1"/>
  <c r="N259" i="6"/>
  <c r="M28" i="17"/>
  <c r="N28" i="17" s="1"/>
  <c r="B21" i="28" s="1"/>
  <c r="AS18" i="9"/>
  <c r="D18" i="9"/>
  <c r="AT18" i="9" s="1"/>
  <c r="H239" i="15"/>
  <c r="H245" i="15" s="1"/>
  <c r="H276" i="15"/>
  <c r="I233" i="15"/>
  <c r="H263" i="15"/>
  <c r="H269" i="15" s="1"/>
  <c r="G135" i="7"/>
  <c r="H18" i="26"/>
  <c r="AS75" i="10"/>
  <c r="AS79" i="10" s="1"/>
  <c r="G127" i="18"/>
  <c r="G87" i="25" s="1"/>
  <c r="G88" i="25"/>
  <c r="L125" i="17"/>
  <c r="L124" i="17"/>
  <c r="M134" i="18" s="1"/>
  <c r="M94" i="25" s="1"/>
  <c r="G74" i="22"/>
  <c r="G30" i="22"/>
  <c r="L284" i="6"/>
  <c r="K163" i="17" s="1"/>
  <c r="K97" i="17"/>
  <c r="I232" i="15"/>
  <c r="H238" i="15"/>
  <c r="H244" i="15" s="1"/>
  <c r="H275" i="15"/>
  <c r="H262" i="15"/>
  <c r="H268" i="15" s="1"/>
  <c r="K107" i="17"/>
  <c r="K112" i="17" s="1"/>
  <c r="L105" i="17"/>
  <c r="J79" i="15"/>
  <c r="J66" i="15"/>
  <c r="J72" i="15" s="1"/>
  <c r="J42" i="15"/>
  <c r="J48" i="15" s="1"/>
  <c r="K36" i="15"/>
  <c r="A35" i="3"/>
  <c r="J173" i="17"/>
  <c r="F48" i="18"/>
  <c r="M140" i="17"/>
  <c r="M100" i="17"/>
  <c r="M107" i="17" s="1"/>
  <c r="N250" i="6"/>
  <c r="L52" i="15"/>
  <c r="I186" i="6"/>
  <c r="AL33" i="12"/>
  <c r="AM33" i="12" s="1"/>
  <c r="K154" i="18"/>
  <c r="K103" i="18"/>
  <c r="K132" i="18"/>
  <c r="K56" i="25"/>
  <c r="CL21" i="12"/>
  <c r="CL41" i="12" s="1"/>
  <c r="CL61" i="12" s="1"/>
  <c r="DM88" i="10"/>
  <c r="DM157" i="10" s="1"/>
  <c r="BL44" i="12"/>
  <c r="K122" i="18"/>
  <c r="K82" i="25" s="1"/>
  <c r="L65" i="10"/>
  <c r="M60" i="10"/>
  <c r="C33" i="14"/>
  <c r="K113" i="9"/>
  <c r="A114" i="9"/>
  <c r="A24" i="3"/>
  <c r="B36" i="3"/>
  <c r="H43" i="18"/>
  <c r="I144" i="7"/>
  <c r="L145" i="7"/>
  <c r="L144" i="7" s="1"/>
  <c r="W43" i="12"/>
  <c r="X43" i="12"/>
  <c r="Y43" i="12" s="1"/>
  <c r="G183" i="14"/>
  <c r="F194" i="14"/>
  <c r="CV49" i="10"/>
  <c r="Z193" i="9"/>
  <c r="U194" i="9"/>
  <c r="W193" i="9"/>
  <c r="X193" i="9" s="1"/>
  <c r="K255" i="14"/>
  <c r="N282" i="6"/>
  <c r="M161" i="17" s="1"/>
  <c r="N161" i="17" s="1"/>
  <c r="B176" i="28" s="1"/>
  <c r="M95" i="17"/>
  <c r="N95" i="17" s="1"/>
  <c r="B102" i="28" s="1"/>
  <c r="E194" i="14"/>
  <c r="AT33" i="12"/>
  <c r="AS34" i="12"/>
  <c r="J146" i="14"/>
  <c r="I145" i="14"/>
  <c r="L47" i="16"/>
  <c r="M54" i="16" s="1"/>
  <c r="M218" i="18" s="1"/>
  <c r="M147" i="25" s="1"/>
  <c r="M43" i="16"/>
  <c r="M133" i="18" s="1"/>
  <c r="M93" i="25" s="1"/>
  <c r="K37" i="15"/>
  <c r="J80" i="15"/>
  <c r="J43" i="15"/>
  <c r="J49" i="15" s="1"/>
  <c r="J67" i="15"/>
  <c r="J73" i="15" s="1"/>
  <c r="BR64" i="10"/>
  <c r="I74" i="14"/>
  <c r="I63" i="14"/>
  <c r="J29" i="14"/>
  <c r="BG79" i="10"/>
  <c r="AS37" i="10"/>
  <c r="AQ38" i="10"/>
  <c r="AQ39" i="10" s="1"/>
  <c r="C8" i="15"/>
  <c r="K251" i="14"/>
  <c r="M263" i="6"/>
  <c r="N245" i="6"/>
  <c r="L32" i="17"/>
  <c r="H246" i="14"/>
  <c r="I247" i="14"/>
  <c r="DI22" i="10"/>
  <c r="BI39" i="10"/>
  <c r="BI41" i="10" s="1"/>
  <c r="BG41" i="10"/>
  <c r="I165" i="14"/>
  <c r="J131" i="14"/>
  <c r="G271" i="15"/>
  <c r="G50" i="16" s="1"/>
  <c r="H228" i="15"/>
  <c r="H272" i="15"/>
  <c r="H259" i="15"/>
  <c r="H235" i="15"/>
  <c r="I229" i="15"/>
  <c r="G20" i="9"/>
  <c r="L19" i="9"/>
  <c r="I19" i="9"/>
  <c r="J246" i="15"/>
  <c r="H146" i="25"/>
  <c r="H216" i="18"/>
  <c r="H145" i="25" s="1"/>
  <c r="DN88" i="10"/>
  <c r="DN157" i="10" s="1"/>
  <c r="CM21" i="12"/>
  <c r="CM41" i="12" s="1"/>
  <c r="CM61" i="12" s="1"/>
  <c r="AE19" i="9"/>
  <c r="P31" i="12"/>
  <c r="BV31" i="12"/>
  <c r="G29" i="16"/>
  <c r="M51" i="14"/>
  <c r="BJ2" i="11"/>
  <c r="CZ11" i="9" s="1"/>
  <c r="DL11" i="9" s="1"/>
  <c r="DX11" i="9" s="1"/>
  <c r="EJ11" i="9" s="1"/>
  <c r="CN11" i="9"/>
  <c r="K256" i="14"/>
  <c r="K149" i="15"/>
  <c r="K167" i="17"/>
  <c r="L197" i="18"/>
  <c r="I62" i="14"/>
  <c r="J28" i="14"/>
  <c r="I73" i="14"/>
  <c r="I95" i="14" s="1"/>
  <c r="AQ79" i="10"/>
  <c r="I41" i="15"/>
  <c r="J35" i="15"/>
  <c r="I65" i="15"/>
  <c r="I78" i="15"/>
  <c r="I34" i="15"/>
  <c r="B43" i="12"/>
  <c r="C43" i="12" s="1"/>
  <c r="C188" i="6"/>
  <c r="L190" i="17"/>
  <c r="M219" i="18" s="1"/>
  <c r="M148" i="25" s="1"/>
  <c r="L191" i="17"/>
  <c r="L49" i="17"/>
  <c r="N58" i="18" s="1"/>
  <c r="N49" i="25" s="1"/>
  <c r="L50" i="17"/>
  <c r="N248" i="6"/>
  <c r="M266" i="6"/>
  <c r="L35" i="17"/>
  <c r="L268" i="6"/>
  <c r="K166" i="17"/>
  <c r="I176" i="15"/>
  <c r="I163" i="15"/>
  <c r="I169" i="15" s="1"/>
  <c r="J133" i="15"/>
  <c r="I139" i="15"/>
  <c r="I145" i="15" s="1"/>
  <c r="E6" i="14"/>
  <c r="E10" i="14" s="1"/>
  <c r="J132" i="14"/>
  <c r="I166" i="14"/>
  <c r="L39" i="17"/>
  <c r="M26" i="16" s="1"/>
  <c r="N240" i="6"/>
  <c r="M258" i="6"/>
  <c r="L27" i="17"/>
  <c r="AQ31" i="12"/>
  <c r="D39" i="10"/>
  <c r="AP29" i="10"/>
  <c r="J126" i="14"/>
  <c r="I160" i="14"/>
  <c r="D226" i="5"/>
  <c r="D242" i="5" s="1"/>
  <c r="D243" i="5"/>
  <c r="Q186" i="5"/>
  <c r="S29" i="12"/>
  <c r="BZ29" i="12" s="1"/>
  <c r="BY29" i="12"/>
  <c r="B62" i="28"/>
  <c r="F62" i="28" s="1"/>
  <c r="G62" i="28"/>
  <c r="D62" i="28"/>
  <c r="A62" i="28"/>
  <c r="D25" i="11"/>
  <c r="F25" i="11" s="1"/>
  <c r="C26" i="11"/>
  <c r="B26" i="11"/>
  <c r="AU19" i="9"/>
  <c r="F19" i="9"/>
  <c r="E170" i="14"/>
  <c r="E192" i="14" s="1"/>
  <c r="E89" i="14"/>
  <c r="E106" i="9"/>
  <c r="BB105" i="9"/>
  <c r="H30" i="22"/>
  <c r="H74" i="22"/>
  <c r="N57" i="15"/>
  <c r="N53" i="15"/>
  <c r="N55" i="15"/>
  <c r="N56" i="15"/>
  <c r="N129" i="15"/>
  <c r="N54" i="15"/>
  <c r="N36" i="16"/>
  <c r="L148" i="14"/>
  <c r="G30" i="16"/>
  <c r="H36" i="25"/>
  <c r="N283" i="6"/>
  <c r="M162" i="17" s="1"/>
  <c r="N162" i="17" s="1"/>
  <c r="B177" i="28" s="1"/>
  <c r="M96" i="17"/>
  <c r="N96" i="17" s="1"/>
  <c r="B103" i="28" s="1"/>
  <c r="I167" i="14"/>
  <c r="J133" i="14"/>
  <c r="J27" i="14"/>
  <c r="I61" i="14"/>
  <c r="I72" i="14" s="1"/>
  <c r="I94" i="14" s="1"/>
  <c r="L154" i="14"/>
  <c r="I57" i="14"/>
  <c r="I22" i="14"/>
  <c r="J23" i="14"/>
  <c r="F33" i="12"/>
  <c r="E33" i="12"/>
  <c r="M54" i="6"/>
  <c r="V75" i="7"/>
  <c r="M75" i="6" s="1"/>
  <c r="CF39" i="10"/>
  <c r="E8" i="15"/>
  <c r="AO32" i="12"/>
  <c r="AP32" i="12"/>
  <c r="AQ32" i="12" s="1"/>
  <c r="M54" i="14"/>
  <c r="N54" i="14" s="1"/>
  <c r="O54" i="14" s="1"/>
  <c r="D105" i="9"/>
  <c r="AT105" i="9" s="1"/>
  <c r="AS105" i="9"/>
  <c r="H49" i="13"/>
  <c r="L7" i="14"/>
  <c r="K250" i="14"/>
  <c r="K207" i="18"/>
  <c r="K136" i="25" s="1"/>
  <c r="C112" i="22"/>
  <c r="M275" i="6"/>
  <c r="L154" i="17" s="1"/>
  <c r="L88" i="17"/>
  <c r="C86" i="15"/>
  <c r="C85" i="15"/>
  <c r="C87" i="15"/>
  <c r="J44" i="15"/>
  <c r="J50" i="15" s="1"/>
  <c r="K38" i="15"/>
  <c r="J68" i="15"/>
  <c r="J74" i="15" s="1"/>
  <c r="J81" i="15"/>
  <c r="I74" i="15"/>
  <c r="D184" i="14"/>
  <c r="K48" i="16"/>
  <c r="J169" i="17"/>
  <c r="G213" i="18"/>
  <c r="AB39" i="10"/>
  <c r="E34" i="12"/>
  <c r="H144" i="15"/>
  <c r="BA26" i="9"/>
  <c r="BN23" i="9" s="1"/>
  <c r="I18" i="22"/>
  <c r="I41" i="22" s="1"/>
  <c r="G243" i="15"/>
  <c r="AL64" i="10"/>
  <c r="L191" i="9"/>
  <c r="AX191" i="9"/>
  <c r="G192" i="9"/>
  <c r="I191" i="9"/>
  <c r="AY42" i="10"/>
  <c r="AZ41" i="10"/>
  <c r="AZ42" i="10" s="1"/>
  <c r="AZ43" i="10" s="1"/>
  <c r="I34" i="12"/>
  <c r="M278" i="6"/>
  <c r="L157" i="17" s="1"/>
  <c r="L91" i="17"/>
  <c r="AR42" i="12"/>
  <c r="AS42" i="12" s="1"/>
  <c r="J187" i="6"/>
  <c r="J135" i="15"/>
  <c r="I165" i="15"/>
  <c r="I171" i="15" s="1"/>
  <c r="I141" i="15"/>
  <c r="I178" i="15"/>
  <c r="I64" i="14"/>
  <c r="I75" i="14" s="1"/>
  <c r="J30" i="14"/>
  <c r="H117" i="25"/>
  <c r="K24" i="11"/>
  <c r="M23" i="11"/>
  <c r="O23" i="11" s="1"/>
  <c r="L24" i="11"/>
  <c r="F45" i="17"/>
  <c r="CD34" i="10"/>
  <c r="I45" i="18"/>
  <c r="I36" i="25" s="1"/>
  <c r="AM198" i="9"/>
  <c r="AC199" i="9"/>
  <c r="CG37" i="10"/>
  <c r="CE38" i="10"/>
  <c r="CE39" i="10" s="1"/>
  <c r="D7" i="15"/>
  <c r="D11" i="15" s="1"/>
  <c r="D12" i="15" s="1"/>
  <c r="L154" i="15"/>
  <c r="L153" i="15"/>
  <c r="L150" i="15"/>
  <c r="L226" i="15"/>
  <c r="L151" i="15"/>
  <c r="L152" i="15"/>
  <c r="L38" i="25"/>
  <c r="BV29" i="10"/>
  <c r="CX29" i="10" s="1"/>
  <c r="N257" i="6"/>
  <c r="M26" i="17"/>
  <c r="C31" i="18"/>
  <c r="B46" i="17"/>
  <c r="B15" i="17"/>
  <c r="I65" i="14"/>
  <c r="J31" i="14"/>
  <c r="I76" i="14"/>
  <c r="I98" i="14" s="1"/>
  <c r="S108" i="9"/>
  <c r="T107" i="9"/>
  <c r="F126" i="13"/>
  <c r="L54" i="13"/>
  <c r="E125" i="13"/>
  <c r="G127" i="13"/>
  <c r="K53" i="13"/>
  <c r="J52" i="13"/>
  <c r="I51" i="13"/>
  <c r="N56" i="13"/>
  <c r="D124" i="13"/>
  <c r="M55" i="13"/>
  <c r="C123" i="13"/>
  <c r="H128" i="13"/>
  <c r="L222" i="14"/>
  <c r="L181" i="14"/>
  <c r="L186" i="14"/>
  <c r="L182" i="14"/>
  <c r="L185" i="14"/>
  <c r="L187" i="14"/>
  <c r="L180" i="14"/>
  <c r="L189" i="14"/>
  <c r="AD109" i="9"/>
  <c r="BO75" i="10"/>
  <c r="BO79" i="10" s="1"/>
  <c r="BQ70" i="10"/>
  <c r="I66" i="14"/>
  <c r="I77" i="14" s="1"/>
  <c r="I99" i="14" s="1"/>
  <c r="I178" i="14" s="1"/>
  <c r="J32" i="14"/>
  <c r="AH42" i="12"/>
  <c r="C19" i="9"/>
  <c r="J103" i="17"/>
  <c r="J104" i="17" s="1"/>
  <c r="K105" i="17" s="1"/>
  <c r="K37" i="16"/>
  <c r="I110" i="25"/>
  <c r="I217" i="18"/>
  <c r="I239" i="18"/>
  <c r="I188" i="18"/>
  <c r="I117" i="25" s="1"/>
  <c r="G258" i="15"/>
  <c r="G265" i="15"/>
  <c r="O47" i="14"/>
  <c r="I147" i="15"/>
  <c r="H251" i="18"/>
  <c r="N23" i="11"/>
  <c r="AX8" i="11"/>
  <c r="BU42" i="12"/>
  <c r="E181" i="6"/>
  <c r="N32" i="12"/>
  <c r="O32" i="12" s="1"/>
  <c r="H157" i="14"/>
  <c r="E94" i="13"/>
  <c r="C92" i="13"/>
  <c r="K22" i="13"/>
  <c r="F95" i="13"/>
  <c r="I20" i="13"/>
  <c r="L23" i="13"/>
  <c r="G96" i="13"/>
  <c r="N25" i="13"/>
  <c r="J21" i="13"/>
  <c r="H19" i="13"/>
  <c r="H31" i="13" s="1"/>
  <c r="H14" i="18" s="1"/>
  <c r="D93" i="13"/>
  <c r="M24" i="13"/>
  <c r="AK192" i="9"/>
  <c r="AL192" i="9" s="1"/>
  <c r="AN192" i="9"/>
  <c r="AG193" i="9" s="1"/>
  <c r="AI193" i="9"/>
  <c r="D192" i="14"/>
  <c r="N54" i="6"/>
  <c r="X75" i="7"/>
  <c r="N75" i="6" s="1"/>
  <c r="H40" i="15"/>
  <c r="M36" i="16"/>
  <c r="N32" i="16"/>
  <c r="N48" i="18" s="1"/>
  <c r="N39" i="25" s="1"/>
  <c r="M47" i="18"/>
  <c r="M17" i="18"/>
  <c r="M9" i="25" s="1"/>
  <c r="M2" i="25"/>
  <c r="L2" i="24" s="1"/>
  <c r="M69" i="18"/>
  <c r="M250" i="6"/>
  <c r="L140" i="17"/>
  <c r="L100" i="17"/>
  <c r="BZ54" i="10"/>
  <c r="G268" i="15"/>
  <c r="AU191" i="9"/>
  <c r="F191" i="9"/>
  <c r="AV191" i="9" s="1"/>
  <c r="G7" i="15"/>
  <c r="G11" i="15" s="1"/>
  <c r="G12" i="15" s="1"/>
  <c r="BO37" i="10"/>
  <c r="BP36" i="10"/>
  <c r="BP37" i="10" s="1"/>
  <c r="BP38" i="10" s="1"/>
  <c r="G44" i="18"/>
  <c r="G42" i="18" s="1"/>
  <c r="M269" i="6"/>
  <c r="L144" i="17" s="1"/>
  <c r="L78" i="17"/>
  <c r="T19" i="9"/>
  <c r="F142" i="25"/>
  <c r="L276" i="6"/>
  <c r="K155" i="17" s="1"/>
  <c r="K153" i="17" s="1"/>
  <c r="L206" i="18" s="1"/>
  <c r="K89" i="17"/>
  <c r="K87" i="17" s="1"/>
  <c r="L121" i="18" s="1"/>
  <c r="E37" i="10"/>
  <c r="C38" i="10"/>
  <c r="C39" i="10" s="1"/>
  <c r="AL5" i="11"/>
  <c r="I72" i="15"/>
  <c r="BH15" i="9"/>
  <c r="BJ54" i="10"/>
  <c r="D241" i="5"/>
  <c r="R186" i="5"/>
  <c r="Y113" i="9"/>
  <c r="O114" i="9"/>
  <c r="K33" i="12"/>
  <c r="L33" i="12"/>
  <c r="BB18" i="9"/>
  <c r="G80" i="14"/>
  <c r="F91" i="14"/>
  <c r="H106" i="9"/>
  <c r="AW106" i="9"/>
  <c r="G241" i="15"/>
  <c r="F240" i="15"/>
  <c r="K254" i="14"/>
  <c r="J127" i="14"/>
  <c r="I161" i="14"/>
  <c r="D190" i="9"/>
  <c r="AT190" i="9" s="1"/>
  <c r="AS190" i="9"/>
  <c r="H56" i="14"/>
  <c r="H29" i="16" s="1"/>
  <c r="H170" i="15"/>
  <c r="M30" i="18"/>
  <c r="M21" i="25" s="1"/>
  <c r="C7" i="15"/>
  <c r="C11" i="15" s="1"/>
  <c r="C12" i="15" s="1"/>
  <c r="F214" i="18"/>
  <c r="F143" i="25" s="1"/>
  <c r="Q22" i="11"/>
  <c r="P22" i="11" s="1"/>
  <c r="AW9" i="11"/>
  <c r="AW10" i="11" s="1"/>
  <c r="I164" i="14"/>
  <c r="J130" i="14"/>
  <c r="Y27" i="9"/>
  <c r="O28" i="9"/>
  <c r="B209" i="5"/>
  <c r="B225" i="5" s="1"/>
  <c r="B241" i="5" s="1"/>
  <c r="A32" i="12"/>
  <c r="A52" i="12" s="1"/>
  <c r="A72" i="12" s="1"/>
  <c r="BF23" i="9"/>
  <c r="BF35" i="9" s="1"/>
  <c r="BF47" i="9" s="1"/>
  <c r="BF59" i="9" s="1"/>
  <c r="BF71" i="9" s="1"/>
  <c r="BF83" i="9" s="1"/>
  <c r="A69" i="10"/>
  <c r="A137" i="10" s="1"/>
  <c r="A206" i="10" s="1"/>
  <c r="B180" i="6"/>
  <c r="B196" i="6" s="1"/>
  <c r="B212" i="6" s="1"/>
  <c r="B14" i="3"/>
  <c r="I30" i="22"/>
  <c r="L81" i="18"/>
  <c r="L96" i="18" s="1"/>
  <c r="L72" i="18"/>
  <c r="L38" i="16"/>
  <c r="AI33" i="12"/>
  <c r="AI34" i="12" s="1"/>
  <c r="AJ33" i="12"/>
  <c r="AH34" i="12"/>
  <c r="AD32" i="12"/>
  <c r="AE32" i="12" s="1"/>
  <c r="AC32" i="12"/>
  <c r="C35" i="18"/>
  <c r="BO42" i="12"/>
  <c r="V74" i="10"/>
  <c r="V79" i="10" s="1"/>
  <c r="K126" i="25"/>
  <c r="F264" i="15"/>
  <c r="G214" i="18" s="1"/>
  <c r="G143" i="25" s="1"/>
  <c r="AC37" i="10"/>
  <c r="AA38" i="10"/>
  <c r="AA39" i="10" s="1"/>
  <c r="E188" i="14"/>
  <c r="D199" i="14"/>
  <c r="L155" i="14"/>
  <c r="J126" i="25"/>
  <c r="BA70" i="10"/>
  <c r="AY75" i="10"/>
  <c r="K27" i="9"/>
  <c r="A28" i="9"/>
  <c r="Q30" i="12"/>
  <c r="BX30" i="12" s="1"/>
  <c r="CJ24" i="12" s="1"/>
  <c r="R30" i="12"/>
  <c r="BW30" i="12"/>
  <c r="M49" i="14"/>
  <c r="N49" i="14" s="1"/>
  <c r="O49" i="14" s="1"/>
  <c r="AJ75" i="10"/>
  <c r="AK75" i="10" s="1"/>
  <c r="AK70" i="10"/>
  <c r="L151" i="14"/>
  <c r="J92" i="25"/>
  <c r="J131" i="18"/>
  <c r="J91" i="25" s="1"/>
  <c r="AM113" i="9"/>
  <c r="AC114" i="9"/>
  <c r="L32" i="12"/>
  <c r="M32" i="12" s="1"/>
  <c r="K32" i="12"/>
  <c r="J34" i="12"/>
  <c r="N260" i="6"/>
  <c r="M29" i="17"/>
  <c r="N29" i="17" s="1"/>
  <c r="B22" i="28" s="1"/>
  <c r="I170" i="17"/>
  <c r="I175" i="15"/>
  <c r="J132" i="15"/>
  <c r="I162" i="15"/>
  <c r="I138" i="15"/>
  <c r="F31" i="16"/>
  <c r="U79" i="10"/>
  <c r="F16" i="25"/>
  <c r="G34" i="25"/>
  <c r="BF34" i="10"/>
  <c r="DE21" i="10"/>
  <c r="B94" i="31"/>
  <c r="BI16" i="9"/>
  <c r="BV13" i="9"/>
  <c r="N133" i="13"/>
  <c r="AB150" i="13" s="1"/>
  <c r="AB84" i="13"/>
  <c r="I140" i="7"/>
  <c r="L141" i="7"/>
  <c r="L140" i="7" s="1"/>
  <c r="K101" i="17"/>
  <c r="L112" i="18" s="1"/>
  <c r="M53" i="15"/>
  <c r="M55" i="15"/>
  <c r="M56" i="15"/>
  <c r="M129" i="15"/>
  <c r="F105" i="15" s="1"/>
  <c r="M57" i="15"/>
  <c r="M54" i="15"/>
  <c r="G8" i="15"/>
  <c r="J207" i="18"/>
  <c r="K75" i="25"/>
  <c r="I9" i="13"/>
  <c r="L12" i="13"/>
  <c r="N14" i="13"/>
  <c r="D32" i="13"/>
  <c r="F6" i="13"/>
  <c r="M13" i="13"/>
  <c r="K11" i="13"/>
  <c r="E5" i="13"/>
  <c r="G7" i="13"/>
  <c r="H8" i="13"/>
  <c r="D4" i="13"/>
  <c r="D16" i="13" s="1"/>
  <c r="D13" i="18" s="1"/>
  <c r="C81" i="13"/>
  <c r="J10" i="13"/>
  <c r="A13" i="3"/>
  <c r="F14" i="3"/>
  <c r="B25" i="3"/>
  <c r="I159" i="14"/>
  <c r="J125" i="14"/>
  <c r="I163" i="14"/>
  <c r="I174" i="14" s="1"/>
  <c r="I196" i="14" s="1"/>
  <c r="J129" i="14"/>
  <c r="N52" i="14"/>
  <c r="O52" i="14" s="1"/>
  <c r="H261" i="15"/>
  <c r="I231" i="15"/>
  <c r="H274" i="15"/>
  <c r="H237" i="15"/>
  <c r="BL15" i="9"/>
  <c r="BU16" i="9"/>
  <c r="L21" i="25"/>
  <c r="F104" i="15"/>
  <c r="F108" i="15" s="1"/>
  <c r="F109" i="15" s="1"/>
  <c r="C44" i="17"/>
  <c r="L147" i="14"/>
  <c r="E14" i="17"/>
  <c r="F12" i="22"/>
  <c r="L150" i="14"/>
  <c r="L37" i="18"/>
  <c r="L28" i="25" s="1"/>
  <c r="CP79" i="10"/>
  <c r="I82" i="25"/>
  <c r="M277" i="6"/>
  <c r="L156" i="17" s="1"/>
  <c r="L90" i="17"/>
  <c r="BM34" i="10"/>
  <c r="H97" i="14"/>
  <c r="H176" i="14" s="1"/>
  <c r="K72" i="25"/>
  <c r="G32" i="12"/>
  <c r="F34" i="12"/>
  <c r="G234" i="15"/>
  <c r="F19" i="25"/>
  <c r="E198" i="14"/>
  <c r="A33" i="12"/>
  <c r="A53" i="12" s="1"/>
  <c r="A73" i="12" s="1"/>
  <c r="A74" i="10"/>
  <c r="A142" i="10" s="1"/>
  <c r="A211" i="10" s="1"/>
  <c r="B181" i="6"/>
  <c r="B197" i="6" s="1"/>
  <c r="B213" i="6" s="1"/>
  <c r="BF24" i="9"/>
  <c r="BF36" i="9" s="1"/>
  <c r="BF48" i="9" s="1"/>
  <c r="BF60" i="9" s="1"/>
  <c r="BF72" i="9" s="1"/>
  <c r="BF84" i="9" s="1"/>
  <c r="B15" i="3"/>
  <c r="B210" i="5"/>
  <c r="B226" i="5" s="1"/>
  <c r="B242" i="5" s="1"/>
  <c r="H260" i="15"/>
  <c r="H266" i="15" s="1"/>
  <c r="H236" i="15"/>
  <c r="H242" i="15" s="1"/>
  <c r="H273" i="15"/>
  <c r="I230" i="15"/>
  <c r="G269" i="15"/>
  <c r="AC30" i="9"/>
  <c r="AM29" i="9"/>
  <c r="J124" i="14"/>
  <c r="I158" i="14"/>
  <c r="I123" i="14"/>
  <c r="K250" i="15"/>
  <c r="K247" i="15"/>
  <c r="K249" i="15"/>
  <c r="K251" i="15"/>
  <c r="K248" i="15"/>
  <c r="K253" i="14"/>
  <c r="L253" i="14" s="1"/>
  <c r="AT69" i="10"/>
  <c r="H64" i="15"/>
  <c r="H71" i="15"/>
  <c r="H77" i="15"/>
  <c r="H28" i="16" s="1"/>
  <c r="H30" i="16" s="1"/>
  <c r="I44" i="14"/>
  <c r="J45" i="14"/>
  <c r="D42" i="12"/>
  <c r="CT34" i="10"/>
  <c r="J25" i="14"/>
  <c r="I59" i="14"/>
  <c r="I70" i="14" s="1"/>
  <c r="I92" i="14" s="1"/>
  <c r="CC11" i="9"/>
  <c r="AY2" i="11"/>
  <c r="M121" i="14"/>
  <c r="L107" i="14" s="1"/>
  <c r="L111" i="14" s="1"/>
  <c r="M85" i="14"/>
  <c r="N85" i="14" s="1"/>
  <c r="O85" i="14" s="1"/>
  <c r="M83" i="14"/>
  <c r="M86" i="14"/>
  <c r="N86" i="14" s="1"/>
  <c r="O86" i="14" s="1"/>
  <c r="M88" i="14"/>
  <c r="M87" i="14"/>
  <c r="M81" i="14"/>
  <c r="M79" i="14"/>
  <c r="M82" i="14"/>
  <c r="N82" i="14" s="1"/>
  <c r="O82" i="14" s="1"/>
  <c r="M84" i="14"/>
  <c r="L6" i="14"/>
  <c r="L10" i="14" s="1"/>
  <c r="J7" i="14"/>
  <c r="E7" i="14"/>
  <c r="I7" i="14"/>
  <c r="G6" i="14"/>
  <c r="G10" i="14" s="1"/>
  <c r="K7" i="14"/>
  <c r="G7" i="14"/>
  <c r="C6" i="14"/>
  <c r="C10" i="14" s="1"/>
  <c r="F6" i="14"/>
  <c r="F10" i="14" s="1"/>
  <c r="C7" i="14"/>
  <c r="F7" i="14"/>
  <c r="BX65" i="10"/>
  <c r="BY60" i="10"/>
  <c r="H169" i="15"/>
  <c r="H7" i="14"/>
  <c r="N251" i="6"/>
  <c r="M16" i="17"/>
  <c r="K37" i="18"/>
  <c r="V19" i="9"/>
  <c r="P19" i="9"/>
  <c r="H37" i="13"/>
  <c r="H48" i="13" s="1"/>
  <c r="H23" i="18" s="1"/>
  <c r="E112" i="13"/>
  <c r="C110" i="13"/>
  <c r="J39" i="13"/>
  <c r="I38" i="13"/>
  <c r="M42" i="13"/>
  <c r="D111" i="13"/>
  <c r="F113" i="13"/>
  <c r="N43" i="13"/>
  <c r="L41" i="13"/>
  <c r="G36" i="13"/>
  <c r="G48" i="13" s="1"/>
  <c r="G23" i="18" s="1"/>
  <c r="K40" i="13"/>
  <c r="G64" i="13"/>
  <c r="H4" i="26"/>
  <c r="H47" i="15"/>
  <c r="G46" i="15"/>
  <c r="E21" i="22"/>
  <c r="E42" i="25"/>
  <c r="BH65" i="10"/>
  <c r="BI60" i="10"/>
  <c r="CI22" i="12"/>
  <c r="CO29" i="12"/>
  <c r="I58" i="14"/>
  <c r="I69" i="14" s="1"/>
  <c r="J24" i="14"/>
  <c r="D187" i="6"/>
  <c r="H42" i="12"/>
  <c r="I42" i="12" s="1"/>
  <c r="AN3" i="11"/>
  <c r="E25" i="11"/>
  <c r="AY105" i="9"/>
  <c r="J105" i="9"/>
  <c r="AZ105" i="9" s="1"/>
  <c r="N17" i="18"/>
  <c r="N47" i="18"/>
  <c r="N69" i="18"/>
  <c r="N2" i="25"/>
  <c r="M2" i="24" s="1"/>
  <c r="AZ2" i="11"/>
  <c r="CD11" i="9"/>
  <c r="N121" i="14"/>
  <c r="N88" i="14"/>
  <c r="O88" i="14" s="1"/>
  <c r="N79" i="14"/>
  <c r="O79" i="14" s="1"/>
  <c r="N81" i="14"/>
  <c r="O81" i="14" s="1"/>
  <c r="N87" i="14"/>
  <c r="O87" i="14" s="1"/>
  <c r="N83" i="14"/>
  <c r="O83" i="14" s="1"/>
  <c r="N84" i="14"/>
  <c r="O84" i="14" s="1"/>
  <c r="K199" i="9"/>
  <c r="A200" i="9"/>
  <c r="B191" i="9"/>
  <c r="W42" i="12"/>
  <c r="X42" i="12"/>
  <c r="I177" i="15"/>
  <c r="I140" i="15"/>
  <c r="I146" i="15" s="1"/>
  <c r="J134" i="15"/>
  <c r="I164" i="15"/>
  <c r="I170" i="15" s="1"/>
  <c r="L153" i="14"/>
  <c r="M153" i="14" s="1"/>
  <c r="N153" i="14" s="1"/>
  <c r="O153" i="14" s="1"/>
  <c r="L152" i="14"/>
  <c r="M152" i="14" s="1"/>
  <c r="F94" i="13"/>
  <c r="M23" i="13"/>
  <c r="C91" i="13"/>
  <c r="I19" i="13"/>
  <c r="G95" i="13"/>
  <c r="D92" i="13"/>
  <c r="H96" i="13"/>
  <c r="E93" i="13"/>
  <c r="J20" i="13"/>
  <c r="K21" i="13"/>
  <c r="N24" i="13"/>
  <c r="L22" i="13"/>
  <c r="F8" i="15"/>
  <c r="D8" i="15"/>
  <c r="Y33" i="12"/>
  <c r="Y34" i="12" s="1"/>
  <c r="X34" i="12"/>
  <c r="X162" i="6"/>
  <c r="C67" i="28" s="1"/>
  <c r="I179" i="17"/>
  <c r="K228" i="18" s="1"/>
  <c r="K157" i="25" s="1"/>
  <c r="I180" i="17"/>
  <c r="J26" i="14"/>
  <c r="I60" i="14"/>
  <c r="I71" i="14" s="1"/>
  <c r="I93" i="14" s="1"/>
  <c r="E14" i="25"/>
  <c r="AA84" i="13"/>
  <c r="M133" i="13"/>
  <c r="AA150" i="13" s="1"/>
  <c r="F121" i="22"/>
  <c r="F124" i="22" s="1"/>
  <c r="F77" i="22"/>
  <c r="Y198" i="9"/>
  <c r="BA198" i="9" s="1"/>
  <c r="O199" i="9"/>
  <c r="H6" i="14"/>
  <c r="H10" i="14" s="1"/>
  <c r="M190" i="6"/>
  <c r="BJ45" i="12"/>
  <c r="BK45" i="12" s="1"/>
  <c r="BL45" i="12" s="1"/>
  <c r="L26" i="16"/>
  <c r="N54" i="10"/>
  <c r="CU54" i="10"/>
  <c r="DJ22" i="10" s="1"/>
  <c r="J34" i="13" s="1"/>
  <c r="X74" i="10"/>
  <c r="G186" i="6"/>
  <c r="Z33" i="12"/>
  <c r="AA33" i="12" s="1"/>
  <c r="X160" i="6"/>
  <c r="C65" i="28" s="1"/>
  <c r="AJ36" i="10"/>
  <c r="AJ37" i="10" s="1"/>
  <c r="AJ38" i="10" s="1"/>
  <c r="AI37" i="10"/>
  <c r="L25" i="17"/>
  <c r="M36" i="18" s="1"/>
  <c r="M27" i="25" s="1"/>
  <c r="C34" i="18"/>
  <c r="C88" i="15"/>
  <c r="C58" i="15"/>
  <c r="C84" i="15"/>
  <c r="J128" i="14"/>
  <c r="I162" i="14"/>
  <c r="AI20" i="9"/>
  <c r="AN19" i="9"/>
  <c r="AG20" i="9" s="1"/>
  <c r="AK19" i="9"/>
  <c r="AL19" i="9" s="1"/>
  <c r="BA112" i="9"/>
  <c r="AM4" i="11"/>
  <c r="M52" i="18" s="1"/>
  <c r="M43" i="25" s="1"/>
  <c r="H24" i="11"/>
  <c r="G24" i="11" s="1"/>
  <c r="AZ18" i="9"/>
  <c r="D105" i="15"/>
  <c r="BB64" i="10"/>
  <c r="I45" i="15"/>
  <c r="I51" i="15" s="1"/>
  <c r="I69" i="15"/>
  <c r="I75" i="15" s="1"/>
  <c r="I82" i="15"/>
  <c r="J39" i="15"/>
  <c r="H154" i="7"/>
  <c r="T44" i="12"/>
  <c r="U44" i="12" s="1"/>
  <c r="F189" i="6"/>
  <c r="P74" i="10"/>
  <c r="J166" i="18"/>
  <c r="J181" i="18" s="1"/>
  <c r="J157" i="18"/>
  <c r="R193" i="9"/>
  <c r="BL74" i="10"/>
  <c r="G68" i="28"/>
  <c r="A68" i="28"/>
  <c r="D68" i="28"/>
  <c r="E68" i="28" s="1"/>
  <c r="B68" i="28"/>
  <c r="F68" i="28" s="1"/>
  <c r="D93" i="10"/>
  <c r="E89" i="10"/>
  <c r="H168" i="15"/>
  <c r="O46" i="14"/>
  <c r="E7" i="15"/>
  <c r="E11" i="15" s="1"/>
  <c r="E12" i="15" s="1"/>
  <c r="F22" i="18"/>
  <c r="BC33" i="12" l="1"/>
  <c r="BC34" i="12" s="1"/>
  <c r="BB34" i="12"/>
  <c r="I177" i="14"/>
  <c r="N279" i="6"/>
  <c r="M158" i="17" s="1"/>
  <c r="N158" i="17" s="1"/>
  <c r="B173" i="28" s="1"/>
  <c r="L173" i="28" s="1"/>
  <c r="M92" i="17"/>
  <c r="N92" i="17" s="1"/>
  <c r="B99" i="28" s="1"/>
  <c r="L99" i="28" s="1"/>
  <c r="D104" i="15"/>
  <c r="D108" i="15" s="1"/>
  <c r="D109" i="15" s="1"/>
  <c r="BS43" i="12"/>
  <c r="BT43" i="12"/>
  <c r="BU43" i="12" s="1"/>
  <c r="BU33" i="12"/>
  <c r="BU34" i="12" s="1"/>
  <c r="BT34" i="12"/>
  <c r="BP44" i="12"/>
  <c r="BQ44" i="12" s="1"/>
  <c r="BR44" i="12" s="1"/>
  <c r="N189" i="6"/>
  <c r="M272" i="6"/>
  <c r="L149" i="17" s="1"/>
  <c r="M202" i="18" s="1"/>
  <c r="M131" i="25" s="1"/>
  <c r="N254" i="6"/>
  <c r="L83" i="17"/>
  <c r="M117" i="18" s="1"/>
  <c r="M77" i="25" s="1"/>
  <c r="BB43" i="12"/>
  <c r="BC43" i="12" s="1"/>
  <c r="BA43" i="12"/>
  <c r="T36" i="10"/>
  <c r="T37" i="10" s="1"/>
  <c r="T38" i="10" s="1"/>
  <c r="S37" i="10"/>
  <c r="AX44" i="12"/>
  <c r="AY44" i="12" s="1"/>
  <c r="AZ44" i="12" s="1"/>
  <c r="K189" i="6"/>
  <c r="H107" i="14"/>
  <c r="H111" i="14" s="1"/>
  <c r="J107" i="14"/>
  <c r="J111" i="14" s="1"/>
  <c r="BY39" i="10"/>
  <c r="BY41" i="10" s="1"/>
  <c r="BW41" i="10"/>
  <c r="M271" i="6"/>
  <c r="L147" i="17" s="1"/>
  <c r="L168" i="17" s="1"/>
  <c r="M49" i="16" s="1"/>
  <c r="L81" i="17"/>
  <c r="K200" i="18"/>
  <c r="K129" i="25" s="1"/>
  <c r="AB70" i="10"/>
  <c r="AC65" i="10"/>
  <c r="AD64" i="10" s="1"/>
  <c r="CM39" i="10"/>
  <c r="CO38" i="10"/>
  <c r="F69" i="10"/>
  <c r="BH33" i="12"/>
  <c r="BI33" i="12" s="1"/>
  <c r="BG33" i="12"/>
  <c r="C241" i="5"/>
  <c r="R185" i="5"/>
  <c r="I172" i="14"/>
  <c r="I108" i="14"/>
  <c r="E108" i="14"/>
  <c r="C104" i="15"/>
  <c r="C108" i="15" s="1"/>
  <c r="C109" i="15" s="1"/>
  <c r="C122" i="28"/>
  <c r="C79" i="10"/>
  <c r="E75" i="10"/>
  <c r="F74" i="10" s="1"/>
  <c r="W23" i="11"/>
  <c r="BJ13" i="11"/>
  <c r="G148" i="15"/>
  <c r="G143" i="15" s="1"/>
  <c r="G137" i="15"/>
  <c r="L187" i="6"/>
  <c r="BD42" i="12"/>
  <c r="BE42" i="12" s="1"/>
  <c r="BF42" i="12" s="1"/>
  <c r="S185" i="5"/>
  <c r="F108" i="14"/>
  <c r="I171" i="14"/>
  <c r="I193" i="14" s="1"/>
  <c r="BG32" i="12"/>
  <c r="BH32" i="12"/>
  <c r="BF34" i="12"/>
  <c r="L200" i="18"/>
  <c r="L129" i="25" s="1"/>
  <c r="K168" i="17"/>
  <c r="L49" i="16" s="1"/>
  <c r="H131" i="15"/>
  <c r="H166" i="15"/>
  <c r="H179" i="15"/>
  <c r="H174" i="15" s="1"/>
  <c r="H39" i="16" s="1"/>
  <c r="H142" i="15"/>
  <c r="I136" i="15"/>
  <c r="G172" i="15"/>
  <c r="G167" i="15" s="1"/>
  <c r="G161" i="15"/>
  <c r="H128" i="18" s="1"/>
  <c r="Q185" i="5"/>
  <c r="K38" i="10"/>
  <c r="M37" i="10"/>
  <c r="Q34" i="10" s="1"/>
  <c r="Z22" i="11"/>
  <c r="Y22" i="11" s="1"/>
  <c r="BI14" i="11"/>
  <c r="BI15" i="11" s="1"/>
  <c r="I173" i="14"/>
  <c r="M27" i="18"/>
  <c r="I154" i="7"/>
  <c r="E104" i="15"/>
  <c r="E108" i="15" s="1"/>
  <c r="E109" i="15" s="1"/>
  <c r="N253" i="6"/>
  <c r="M19" i="17"/>
  <c r="AD59" i="10"/>
  <c r="CF75" i="10"/>
  <c r="CG75" i="10" s="1"/>
  <c r="CH74" i="10" s="1"/>
  <c r="CG70" i="10"/>
  <c r="U24" i="11"/>
  <c r="V23" i="11"/>
  <c r="X23" i="11" s="1"/>
  <c r="T24" i="11"/>
  <c r="BY38" i="10"/>
  <c r="C243" i="5"/>
  <c r="G33" i="25"/>
  <c r="BP79" i="10"/>
  <c r="I97" i="14"/>
  <c r="I176" i="14" s="1"/>
  <c r="I198" i="14" s="1"/>
  <c r="L72" i="25"/>
  <c r="I200" i="14"/>
  <c r="H198" i="14"/>
  <c r="L81" i="25"/>
  <c r="H15" i="25"/>
  <c r="L135" i="25"/>
  <c r="DE24" i="10"/>
  <c r="AH20" i="9"/>
  <c r="AK37" i="10"/>
  <c r="AI38" i="10"/>
  <c r="AI39" i="10" s="1"/>
  <c r="Z42" i="12"/>
  <c r="AA42" i="12" s="1"/>
  <c r="G187" i="6"/>
  <c r="BJ59" i="10"/>
  <c r="Q19" i="9"/>
  <c r="K28" i="25"/>
  <c r="H267" i="15"/>
  <c r="BA27" i="9"/>
  <c r="BN24" i="9" s="1"/>
  <c r="J161" i="14"/>
  <c r="K127" i="14"/>
  <c r="N26" i="17"/>
  <c r="B19" i="28" s="1"/>
  <c r="L247" i="15"/>
  <c r="L251" i="15"/>
  <c r="L248" i="15"/>
  <c r="L249" i="15"/>
  <c r="L250" i="15"/>
  <c r="CK34" i="10"/>
  <c r="B33" i="28"/>
  <c r="B191" i="31"/>
  <c r="B16" i="2"/>
  <c r="B18" i="21"/>
  <c r="C91" i="15"/>
  <c r="I56" i="14"/>
  <c r="L103" i="28"/>
  <c r="N47" i="16"/>
  <c r="AU106" i="9"/>
  <c r="F106" i="9"/>
  <c r="AV106" i="9" s="1"/>
  <c r="AV19" i="9"/>
  <c r="N258" i="6"/>
  <c r="M27" i="17"/>
  <c r="N27" i="17" s="1"/>
  <c r="B20" i="28" s="1"/>
  <c r="M18" i="25"/>
  <c r="D43" i="12"/>
  <c r="I64" i="15"/>
  <c r="I71" i="15"/>
  <c r="I70" i="15" s="1"/>
  <c r="J44" i="18" s="1"/>
  <c r="J35" i="25" s="1"/>
  <c r="L126" i="25"/>
  <c r="Q31" i="12"/>
  <c r="BX31" i="12" s="1"/>
  <c r="CK24" i="12" s="1"/>
  <c r="R31" i="12"/>
  <c r="BW31" i="12"/>
  <c r="E20" i="9"/>
  <c r="I235" i="15"/>
  <c r="I228" i="15"/>
  <c r="J229" i="15"/>
  <c r="I259" i="15"/>
  <c r="I272" i="15"/>
  <c r="H271" i="15"/>
  <c r="H50" i="16" s="1"/>
  <c r="K131" i="14"/>
  <c r="J165" i="14"/>
  <c r="I215" i="18"/>
  <c r="I144" i="25" s="1"/>
  <c r="L31" i="17"/>
  <c r="I96" i="14"/>
  <c r="I175" i="14" s="1"/>
  <c r="AU33" i="12"/>
  <c r="AU34" i="12" s="1"/>
  <c r="AV33" i="12"/>
  <c r="AT34" i="12"/>
  <c r="L176" i="28"/>
  <c r="S194" i="9"/>
  <c r="T193" i="9"/>
  <c r="DI27" i="10"/>
  <c r="A115" i="9"/>
  <c r="K114" i="9"/>
  <c r="K92" i="25"/>
  <c r="K131" i="18"/>
  <c r="K91" i="25" s="1"/>
  <c r="I187" i="6"/>
  <c r="AL42" i="12"/>
  <c r="AM42" i="12" s="1"/>
  <c r="N268" i="6"/>
  <c r="M166" i="17"/>
  <c r="M173" i="17" s="1"/>
  <c r="L248" i="14"/>
  <c r="BK15" i="9"/>
  <c r="BU14" i="9"/>
  <c r="K93" i="17"/>
  <c r="L27" i="25"/>
  <c r="AV79" i="10"/>
  <c r="F190" i="6"/>
  <c r="T45" i="12"/>
  <c r="U45" i="12" s="1"/>
  <c r="V45" i="12" s="1"/>
  <c r="J82" i="15"/>
  <c r="K39" i="15"/>
  <c r="J45" i="15"/>
  <c r="J51" i="15" s="1"/>
  <c r="J69" i="15"/>
  <c r="J75" i="15" s="1"/>
  <c r="AJ20" i="9"/>
  <c r="C94" i="15"/>
  <c r="C25" i="25"/>
  <c r="AJ39" i="10"/>
  <c r="K37" i="13"/>
  <c r="H112" i="13"/>
  <c r="N40" i="13"/>
  <c r="I113" i="13"/>
  <c r="D108" i="13"/>
  <c r="J36" i="13"/>
  <c r="C107" i="13"/>
  <c r="E109" i="13"/>
  <c r="F110" i="13"/>
  <c r="G111" i="13"/>
  <c r="M39" i="13"/>
  <c r="L38" i="13"/>
  <c r="BN45" i="12"/>
  <c r="BO45" i="12" s="1"/>
  <c r="BM45" i="12"/>
  <c r="Y199" i="9"/>
  <c r="O200" i="9"/>
  <c r="K26" i="14"/>
  <c r="J60" i="14"/>
  <c r="J71" i="14" s="1"/>
  <c r="J93" i="14" s="1"/>
  <c r="G67" i="28"/>
  <c r="B67" i="28"/>
  <c r="F67" i="28" s="1"/>
  <c r="A67" i="28"/>
  <c r="D67" i="28"/>
  <c r="E67" i="28" s="1"/>
  <c r="BL2" i="11"/>
  <c r="DB11" i="9" s="1"/>
  <c r="DN11" i="9" s="1"/>
  <c r="DZ11" i="9" s="1"/>
  <c r="EL11" i="9" s="1"/>
  <c r="CP11" i="9"/>
  <c r="N46" i="18"/>
  <c r="N37" i="25" s="1"/>
  <c r="N38" i="25"/>
  <c r="O47" i="18"/>
  <c r="J42" i="12"/>
  <c r="BH70" i="10"/>
  <c r="BI65" i="10"/>
  <c r="F14" i="17"/>
  <c r="G12" i="22"/>
  <c r="W19" i="9"/>
  <c r="X19" i="9" s="1"/>
  <c r="U20" i="9"/>
  <c r="Z19" i="9"/>
  <c r="S20" i="9" s="1"/>
  <c r="M39" i="17"/>
  <c r="BZ59" i="10"/>
  <c r="M222" i="14"/>
  <c r="G209" i="14" s="1"/>
  <c r="M189" i="14"/>
  <c r="M187" i="14"/>
  <c r="M186" i="14"/>
  <c r="M181" i="14"/>
  <c r="M180" i="14"/>
  <c r="M185" i="14"/>
  <c r="M182" i="14"/>
  <c r="N182" i="14" s="1"/>
  <c r="O182" i="14" s="1"/>
  <c r="K108" i="14"/>
  <c r="K45" i="14"/>
  <c r="J44" i="14"/>
  <c r="I43" i="18"/>
  <c r="K246" i="15"/>
  <c r="D209" i="14"/>
  <c r="BN34" i="10"/>
  <c r="M147" i="14"/>
  <c r="N147" i="14" s="1"/>
  <c r="AM114" i="9"/>
  <c r="AC115" i="9"/>
  <c r="M151" i="14"/>
  <c r="N151" i="14" s="1"/>
  <c r="O151" i="14" s="1"/>
  <c r="M200" i="18"/>
  <c r="S30" i="12"/>
  <c r="BZ30" i="12" s="1"/>
  <c r="CJ26" i="12" s="1"/>
  <c r="BY30" i="12"/>
  <c r="CJ23" i="12" s="1"/>
  <c r="K49" i="13" s="1"/>
  <c r="AA41" i="10"/>
  <c r="AC39" i="10"/>
  <c r="AC41" i="10" s="1"/>
  <c r="C26" i="25"/>
  <c r="B180" i="31"/>
  <c r="B7" i="21"/>
  <c r="H241" i="15"/>
  <c r="G240" i="15"/>
  <c r="G107" i="9"/>
  <c r="I106" i="9"/>
  <c r="L106" i="9"/>
  <c r="AX106" i="9"/>
  <c r="O115" i="9"/>
  <c r="Y114" i="9"/>
  <c r="L101" i="17"/>
  <c r="M112" i="18" s="1"/>
  <c r="BP39" i="10"/>
  <c r="CV54" i="10"/>
  <c r="DJ27" i="10" s="1"/>
  <c r="M38" i="25"/>
  <c r="M46" i="18"/>
  <c r="M37" i="25" s="1"/>
  <c r="H88" i="25"/>
  <c r="N33" i="12"/>
  <c r="O33" i="12" s="1"/>
  <c r="E186" i="6"/>
  <c r="X158" i="6"/>
  <c r="C63" i="28" s="1"/>
  <c r="Q23" i="11"/>
  <c r="P23" i="11" s="1"/>
  <c r="AX9" i="11"/>
  <c r="AX10" i="11" s="1"/>
  <c r="H213" i="18"/>
  <c r="I251" i="18"/>
  <c r="I242" i="18"/>
  <c r="D19" i="9"/>
  <c r="AS19" i="9"/>
  <c r="I208" i="14"/>
  <c r="I212" i="14" s="1"/>
  <c r="C231" i="14" s="1"/>
  <c r="C108" i="14"/>
  <c r="D107" i="14"/>
  <c r="D111" i="14" s="1"/>
  <c r="E107" i="14"/>
  <c r="E111" i="14" s="1"/>
  <c r="J108" i="14"/>
  <c r="G107" i="14"/>
  <c r="G111" i="14" s="1"/>
  <c r="N275" i="6"/>
  <c r="M154" i="17" s="1"/>
  <c r="M88" i="17"/>
  <c r="F209" i="14"/>
  <c r="L149" i="15"/>
  <c r="AC200" i="9"/>
  <c r="AM199" i="9"/>
  <c r="N24" i="11"/>
  <c r="AY8" i="11"/>
  <c r="L249" i="14"/>
  <c r="M249" i="14" s="1"/>
  <c r="AZ44" i="10"/>
  <c r="H243" i="15"/>
  <c r="I144" i="15"/>
  <c r="J170" i="17"/>
  <c r="K171" i="17" s="1"/>
  <c r="C93" i="15"/>
  <c r="I68" i="14"/>
  <c r="I90" i="14" s="1"/>
  <c r="M154" i="14"/>
  <c r="N154" i="14" s="1"/>
  <c r="O154" i="14" s="1"/>
  <c r="L177" i="28"/>
  <c r="G31" i="16"/>
  <c r="BG16" i="9"/>
  <c r="BV12" i="9"/>
  <c r="CI23" i="12"/>
  <c r="S186" i="5"/>
  <c r="J166" i="14"/>
  <c r="K132" i="14"/>
  <c r="M284" i="6"/>
  <c r="L163" i="17" s="1"/>
  <c r="L97" i="17"/>
  <c r="J34" i="15"/>
  <c r="K35" i="15"/>
  <c r="J78" i="15"/>
  <c r="J77" i="15" s="1"/>
  <c r="J28" i="16" s="1"/>
  <c r="J65" i="15"/>
  <c r="J41" i="15"/>
  <c r="K28" i="14"/>
  <c r="J62" i="14"/>
  <c r="J73" i="14" s="1"/>
  <c r="J95" i="14" s="1"/>
  <c r="K169" i="17"/>
  <c r="L48" i="16"/>
  <c r="R34" i="10"/>
  <c r="H20" i="9"/>
  <c r="F17" i="17"/>
  <c r="AW20" i="9"/>
  <c r="G28" i="18"/>
  <c r="H234" i="15"/>
  <c r="N263" i="6"/>
  <c r="M32" i="17"/>
  <c r="AW34" i="10"/>
  <c r="K208" i="14"/>
  <c r="K212" i="14" s="1"/>
  <c r="C233" i="14" s="1"/>
  <c r="L255" i="14"/>
  <c r="M255" i="14" s="1"/>
  <c r="BA113" i="9"/>
  <c r="N59" i="10"/>
  <c r="CU59" i="10"/>
  <c r="DK22" i="10" s="1"/>
  <c r="K34" i="13" s="1"/>
  <c r="K63" i="25"/>
  <c r="K114" i="17"/>
  <c r="K113" i="17"/>
  <c r="M143" i="18" s="1"/>
  <c r="M103" i="25" s="1"/>
  <c r="AT74" i="10"/>
  <c r="AT79" i="10" s="1"/>
  <c r="K159" i="17"/>
  <c r="AS38" i="10"/>
  <c r="M149" i="14"/>
  <c r="C33" i="15"/>
  <c r="C76" i="15" s="1"/>
  <c r="BA199" i="9"/>
  <c r="J17" i="13"/>
  <c r="H70" i="15"/>
  <c r="I168" i="15"/>
  <c r="N278" i="6"/>
  <c r="M157" i="17" s="1"/>
  <c r="N157" i="17" s="1"/>
  <c r="B172" i="28" s="1"/>
  <c r="M91" i="17"/>
  <c r="N91" i="17" s="1"/>
  <c r="B98" i="28" s="1"/>
  <c r="CO30" i="12"/>
  <c r="CJ22" i="12"/>
  <c r="K17" i="13" s="1"/>
  <c r="F188" i="14"/>
  <c r="E199" i="14"/>
  <c r="AK33" i="12"/>
  <c r="AK34" i="12" s="1"/>
  <c r="AJ34" i="12"/>
  <c r="K130" i="14"/>
  <c r="J164" i="14"/>
  <c r="C41" i="10"/>
  <c r="E39" i="10"/>
  <c r="E41" i="10" s="1"/>
  <c r="G35" i="25"/>
  <c r="L166" i="17"/>
  <c r="M268" i="6"/>
  <c r="C15" i="22"/>
  <c r="D208" i="14"/>
  <c r="D212" i="14" s="1"/>
  <c r="C226" i="14" s="1"/>
  <c r="D125" i="13"/>
  <c r="G128" i="13"/>
  <c r="L55" i="13"/>
  <c r="M56" i="13"/>
  <c r="E126" i="13"/>
  <c r="F127" i="13"/>
  <c r="I52" i="13"/>
  <c r="C124" i="13"/>
  <c r="K54" i="13"/>
  <c r="H51" i="13"/>
  <c r="H63" i="13" s="1"/>
  <c r="H24" i="18" s="1"/>
  <c r="H22" i="18" s="1"/>
  <c r="N57" i="13"/>
  <c r="J53" i="13"/>
  <c r="H64" i="13"/>
  <c r="H77" i="22"/>
  <c r="H121" i="22"/>
  <c r="H124" i="22" s="1"/>
  <c r="F89" i="10"/>
  <c r="V44" i="12"/>
  <c r="C83" i="15"/>
  <c r="C90" i="15"/>
  <c r="D65" i="28"/>
  <c r="E65" i="28" s="1"/>
  <c r="G65" i="28"/>
  <c r="B65" i="28"/>
  <c r="F65" i="28" s="1"/>
  <c r="A65" i="28"/>
  <c r="M191" i="6"/>
  <c r="BJ46" i="12"/>
  <c r="BK46" i="12" s="1"/>
  <c r="BL46" i="12" s="1"/>
  <c r="I31" i="13"/>
  <c r="I14" i="18" s="1"/>
  <c r="I6" i="25" s="1"/>
  <c r="N152" i="14"/>
  <c r="O152" i="14" s="1"/>
  <c r="J177" i="15"/>
  <c r="K134" i="15"/>
  <c r="J140" i="15"/>
  <c r="J146" i="15" s="1"/>
  <c r="J164" i="15"/>
  <c r="J170" i="15" s="1"/>
  <c r="Y42" i="12"/>
  <c r="C191" i="9"/>
  <c r="AR191" i="9"/>
  <c r="N9" i="25"/>
  <c r="O17" i="18"/>
  <c r="O9" i="25" s="1"/>
  <c r="AN4" i="11"/>
  <c r="N52" i="18" s="1"/>
  <c r="H25" i="11"/>
  <c r="G25" i="11" s="1"/>
  <c r="H43" i="12"/>
  <c r="I43" i="12" s="1"/>
  <c r="J43" i="12" s="1"/>
  <c r="D188" i="6"/>
  <c r="H46" i="15"/>
  <c r="I47" i="15"/>
  <c r="N269" i="6"/>
  <c r="M144" i="17" s="1"/>
  <c r="M78" i="17"/>
  <c r="BX70" i="10"/>
  <c r="BY65" i="10"/>
  <c r="CO11" i="9"/>
  <c r="BK2" i="11"/>
  <c r="DA11" i="9" s="1"/>
  <c r="DM11" i="9" s="1"/>
  <c r="DY11" i="9" s="1"/>
  <c r="EK11" i="9" s="1"/>
  <c r="F42" i="12"/>
  <c r="E42" i="12"/>
  <c r="J45" i="18"/>
  <c r="J36" i="25" s="1"/>
  <c r="I157" i="14"/>
  <c r="I40" i="16" s="1"/>
  <c r="H129" i="18"/>
  <c r="H89" i="25" s="1"/>
  <c r="F16" i="3"/>
  <c r="F17" i="3" s="1"/>
  <c r="F18" i="3" s="1"/>
  <c r="F19" i="3" s="1"/>
  <c r="F20" i="3" s="1"/>
  <c r="F21" i="3" s="1"/>
  <c r="F22" i="3" s="1"/>
  <c r="F23" i="3" s="1"/>
  <c r="F24" i="3" s="1"/>
  <c r="F25" i="3" s="1"/>
  <c r="A15" i="3"/>
  <c r="B27" i="3"/>
  <c r="I237" i="15"/>
  <c r="I261" i="15"/>
  <c r="I267" i="15" s="1"/>
  <c r="I274" i="15"/>
  <c r="J231" i="15"/>
  <c r="B37" i="3"/>
  <c r="F26" i="3"/>
  <c r="A25" i="3"/>
  <c r="C13" i="17"/>
  <c r="D6" i="22"/>
  <c r="J136" i="25"/>
  <c r="M52" i="15"/>
  <c r="L37" i="16"/>
  <c r="K103" i="17"/>
  <c r="K104" i="17" s="1"/>
  <c r="E2" i="13"/>
  <c r="X79" i="10"/>
  <c r="AL69" i="10"/>
  <c r="AK79" i="10"/>
  <c r="BA75" i="10"/>
  <c r="AY79" i="10"/>
  <c r="M155" i="14"/>
  <c r="N155" i="14" s="1"/>
  <c r="O155" i="14" s="1"/>
  <c r="A14" i="3"/>
  <c r="B26" i="3"/>
  <c r="F15" i="3"/>
  <c r="B106" i="9"/>
  <c r="L254" i="14"/>
  <c r="M254" i="14" s="1"/>
  <c r="M33" i="12"/>
  <c r="M34" i="12" s="1"/>
  <c r="L34" i="12"/>
  <c r="I34" i="10"/>
  <c r="F212" i="18"/>
  <c r="F141" i="25" s="1"/>
  <c r="L167" i="17"/>
  <c r="M197" i="18" s="1"/>
  <c r="BQ37" i="10"/>
  <c r="BO38" i="10"/>
  <c r="BO39" i="10" s="1"/>
  <c r="M81" i="18"/>
  <c r="M96" i="18" s="1"/>
  <c r="M72" i="18"/>
  <c r="AD193" i="9"/>
  <c r="AR19" i="9"/>
  <c r="J66" i="14"/>
  <c r="J77" i="14" s="1"/>
  <c r="J99" i="14" s="1"/>
  <c r="K32" i="14"/>
  <c r="BR69" i="10"/>
  <c r="AE109" i="9"/>
  <c r="AJ109" i="9"/>
  <c r="F107" i="14"/>
  <c r="F111" i="14" s="1"/>
  <c r="G108" i="14"/>
  <c r="I107" i="14"/>
  <c r="I111" i="14" s="1"/>
  <c r="L108" i="14"/>
  <c r="K31" i="14"/>
  <c r="J65" i="14"/>
  <c r="J76" i="14" s="1"/>
  <c r="J98" i="14" s="1"/>
  <c r="J177" i="14" s="1"/>
  <c r="L209" i="14"/>
  <c r="CE41" i="10"/>
  <c r="CG39" i="10"/>
  <c r="CG41" i="10" s="1"/>
  <c r="AR43" i="12"/>
  <c r="AS43" i="12" s="1"/>
  <c r="AT43" i="12" s="1"/>
  <c r="J188" i="6"/>
  <c r="BA42" i="10"/>
  <c r="AY43" i="10"/>
  <c r="AY44" i="10" s="1"/>
  <c r="E192" i="9"/>
  <c r="B192" i="9" s="1"/>
  <c r="BB191" i="9"/>
  <c r="AC38" i="10"/>
  <c r="K81" i="15"/>
  <c r="K44" i="15"/>
  <c r="K50" i="15" s="1"/>
  <c r="K68" i="15"/>
  <c r="K74" i="15" s="1"/>
  <c r="L38" i="15"/>
  <c r="C92" i="15"/>
  <c r="D112" i="22"/>
  <c r="E112" i="22" s="1"/>
  <c r="F112" i="22" s="1"/>
  <c r="G112" i="22" s="1"/>
  <c r="H112" i="22" s="1"/>
  <c r="C135" i="22" s="1"/>
  <c r="D135" i="22" s="1"/>
  <c r="E135" i="22" s="1"/>
  <c r="F135" i="22" s="1"/>
  <c r="G135" i="22" s="1"/>
  <c r="H135" i="22" s="1"/>
  <c r="L250" i="14"/>
  <c r="M250" i="14" s="1"/>
  <c r="K23" i="14"/>
  <c r="J22" i="14"/>
  <c r="J57" i="14"/>
  <c r="K133" i="14"/>
  <c r="J167" i="14"/>
  <c r="M148" i="14"/>
  <c r="N148" i="14" s="1"/>
  <c r="N152" i="15"/>
  <c r="N226" i="15"/>
  <c r="N151" i="15"/>
  <c r="N150" i="15"/>
  <c r="N153" i="15"/>
  <c r="N154" i="15"/>
  <c r="C27" i="11"/>
  <c r="D26" i="11"/>
  <c r="F26" i="11" s="1"/>
  <c r="AC6" i="11"/>
  <c r="AC7" i="11" s="1"/>
  <c r="B27" i="11"/>
  <c r="E62" i="28"/>
  <c r="CI26" i="12"/>
  <c r="K126" i="14"/>
  <c r="J160" i="14"/>
  <c r="E38" i="10"/>
  <c r="L171" i="17"/>
  <c r="K173" i="17"/>
  <c r="K178" i="17" s="1"/>
  <c r="N266" i="6"/>
  <c r="M35" i="17"/>
  <c r="N35" i="17" s="1"/>
  <c r="B28" i="28" s="1"/>
  <c r="I77" i="15"/>
  <c r="I28" i="16" s="1"/>
  <c r="I40" i="15"/>
  <c r="N51" i="14"/>
  <c r="O51" i="14" s="1"/>
  <c r="AF19" i="9"/>
  <c r="J208" i="14"/>
  <c r="J212" i="14" s="1"/>
  <c r="C232" i="14" s="1"/>
  <c r="AX19" i="9"/>
  <c r="H265" i="15"/>
  <c r="H264" i="15" s="1"/>
  <c r="I214" i="18" s="1"/>
  <c r="I143" i="25" s="1"/>
  <c r="H258" i="15"/>
  <c r="K209" i="14"/>
  <c r="I34" i="13"/>
  <c r="M281" i="6"/>
  <c r="L160" i="17" s="1"/>
  <c r="L159" i="17" s="1"/>
  <c r="L94" i="17"/>
  <c r="L93" i="17" s="1"/>
  <c r="BH79" i="10"/>
  <c r="K29" i="14"/>
  <c r="J63" i="14"/>
  <c r="J74" i="14" s="1"/>
  <c r="J96" i="14" s="1"/>
  <c r="J130" i="18"/>
  <c r="J90" i="25" s="1"/>
  <c r="H183" i="14"/>
  <c r="G194" i="14"/>
  <c r="E209" i="14"/>
  <c r="C67" i="14"/>
  <c r="C78" i="14"/>
  <c r="C21" i="14"/>
  <c r="C55" i="14" s="1"/>
  <c r="L70" i="10"/>
  <c r="M65" i="10"/>
  <c r="BN44" i="12"/>
  <c r="BM44" i="12"/>
  <c r="K166" i="18"/>
  <c r="K181" i="18" s="1"/>
  <c r="F39" i="25"/>
  <c r="F46" i="18"/>
  <c r="D116" i="31"/>
  <c r="D107" i="31" s="1"/>
  <c r="H9" i="26"/>
  <c r="H3" i="26" s="1"/>
  <c r="N277" i="6"/>
  <c r="M156" i="17" s="1"/>
  <c r="N156" i="17" s="1"/>
  <c r="B171" i="28" s="1"/>
  <c r="M90" i="17"/>
  <c r="N90" i="17" s="1"/>
  <c r="B97" i="28" s="1"/>
  <c r="AF44" i="12"/>
  <c r="AG44" i="12" s="1"/>
  <c r="H189" i="6"/>
  <c r="H193" i="14"/>
  <c r="H209" i="14"/>
  <c r="BU17" i="9"/>
  <c r="BU18" i="9" s="1"/>
  <c r="BM15" i="9"/>
  <c r="J162" i="14"/>
  <c r="K128" i="14"/>
  <c r="N81" i="18"/>
  <c r="N96" i="18" s="1"/>
  <c r="M253" i="14"/>
  <c r="AM30" i="9"/>
  <c r="AC31" i="9"/>
  <c r="K129" i="14"/>
  <c r="J163" i="14"/>
  <c r="BB69" i="10"/>
  <c r="L56" i="25"/>
  <c r="L132" i="18"/>
  <c r="L154" i="18"/>
  <c r="L103" i="18"/>
  <c r="L63" i="25" s="1"/>
  <c r="O29" i="9"/>
  <c r="Y28" i="9"/>
  <c r="H80" i="14"/>
  <c r="G91" i="14"/>
  <c r="P32" i="12"/>
  <c r="BV32" i="12"/>
  <c r="G264" i="15"/>
  <c r="H214" i="18" s="1"/>
  <c r="H143" i="25" s="1"/>
  <c r="BQ75" i="10"/>
  <c r="BQ79" i="10" s="1"/>
  <c r="I63" i="13"/>
  <c r="I24" i="18" s="1"/>
  <c r="I16" i="25" s="1"/>
  <c r="P108" i="9"/>
  <c r="J209" i="14"/>
  <c r="H192" i="9"/>
  <c r="AW192" i="9"/>
  <c r="F14" i="25"/>
  <c r="E93" i="10"/>
  <c r="D98" i="10"/>
  <c r="J239" i="18"/>
  <c r="J188" i="18"/>
  <c r="J117" i="25" s="1"/>
  <c r="J110" i="25"/>
  <c r="J217" i="18"/>
  <c r="AB33" i="12"/>
  <c r="AA34" i="12"/>
  <c r="K200" i="9"/>
  <c r="A201" i="9"/>
  <c r="N222" i="14"/>
  <c r="N187" i="14"/>
  <c r="O187" i="14" s="1"/>
  <c r="N181" i="14"/>
  <c r="O181" i="14" s="1"/>
  <c r="N189" i="14"/>
  <c r="O189" i="14" s="1"/>
  <c r="N186" i="14"/>
  <c r="O186" i="14" s="1"/>
  <c r="N180" i="14"/>
  <c r="N185" i="14"/>
  <c r="J58" i="14"/>
  <c r="J69" i="14" s="1"/>
  <c r="K24" i="14"/>
  <c r="G15" i="25"/>
  <c r="G22" i="18"/>
  <c r="M10" i="14"/>
  <c r="M18" i="14" s="1"/>
  <c r="K25" i="14"/>
  <c r="J59" i="14"/>
  <c r="J70" i="14" s="1"/>
  <c r="J92" i="14" s="1"/>
  <c r="J171" i="14" s="1"/>
  <c r="H31" i="16"/>
  <c r="I32" i="16" s="1"/>
  <c r="K124" i="14"/>
  <c r="J158" i="14"/>
  <c r="J123" i="14"/>
  <c r="J230" i="15"/>
  <c r="I236" i="15"/>
  <c r="I242" i="15" s="1"/>
  <c r="I260" i="15"/>
  <c r="I266" i="15" s="1"/>
  <c r="I273" i="15"/>
  <c r="H208" i="14"/>
  <c r="H212" i="14" s="1"/>
  <c r="C230" i="14" s="1"/>
  <c r="M150" i="14"/>
  <c r="N150" i="14" s="1"/>
  <c r="K125" i="14"/>
  <c r="J159" i="14"/>
  <c r="D12" i="18"/>
  <c r="D5" i="25"/>
  <c r="M153" i="15"/>
  <c r="M151" i="15"/>
  <c r="M150" i="15"/>
  <c r="M226" i="15"/>
  <c r="C202" i="15" s="1"/>
  <c r="M152" i="15"/>
  <c r="M154" i="15"/>
  <c r="C105" i="15"/>
  <c r="BJ16" i="9"/>
  <c r="K132" i="15"/>
  <c r="J138" i="15"/>
  <c r="J162" i="15"/>
  <c r="J175" i="15"/>
  <c r="AL74" i="10"/>
  <c r="A29" i="9"/>
  <c r="K28" i="9"/>
  <c r="AG34" i="10"/>
  <c r="H12" i="15"/>
  <c r="H27" i="15" s="1"/>
  <c r="F170" i="14"/>
  <c r="F89" i="14"/>
  <c r="K34" i="12"/>
  <c r="AM5" i="11"/>
  <c r="L107" i="17"/>
  <c r="L112" i="17" s="1"/>
  <c r="M105" i="17"/>
  <c r="N105" i="17" s="1"/>
  <c r="M47" i="16"/>
  <c r="N54" i="16" s="1"/>
  <c r="N218" i="18" s="1"/>
  <c r="N147" i="25" s="1"/>
  <c r="N43" i="16"/>
  <c r="N133" i="18" s="1"/>
  <c r="N93" i="25" s="1"/>
  <c r="H6" i="25"/>
  <c r="H40" i="16"/>
  <c r="G105" i="15"/>
  <c r="E105" i="15"/>
  <c r="I146" i="25"/>
  <c r="AJ42" i="12"/>
  <c r="AI42" i="12"/>
  <c r="C209" i="14"/>
  <c r="K107" i="14"/>
  <c r="K111" i="14" s="1"/>
  <c r="D108" i="14"/>
  <c r="H108" i="14"/>
  <c r="C107" i="14"/>
  <c r="C111" i="14" s="1"/>
  <c r="C22" i="25"/>
  <c r="C26" i="18"/>
  <c r="G208" i="14"/>
  <c r="G212" i="14" s="1"/>
  <c r="C229" i="14" s="1"/>
  <c r="K25" i="11"/>
  <c r="L25" i="11"/>
  <c r="M24" i="11"/>
  <c r="O24" i="11" s="1"/>
  <c r="K30" i="14"/>
  <c r="J64" i="14"/>
  <c r="J75" i="14" s="1"/>
  <c r="J97" i="14" s="1"/>
  <c r="J176" i="14" s="1"/>
  <c r="K135" i="15"/>
  <c r="J165" i="15"/>
  <c r="J171" i="15" s="1"/>
  <c r="J178" i="15"/>
  <c r="J141" i="15"/>
  <c r="J147" i="15" s="1"/>
  <c r="AT42" i="12"/>
  <c r="AY191" i="9"/>
  <c r="J191" i="9"/>
  <c r="AZ191" i="9" s="1"/>
  <c r="L208" i="14"/>
  <c r="L212" i="14" s="1"/>
  <c r="C234" i="14" s="1"/>
  <c r="G142" i="25"/>
  <c r="G212" i="18"/>
  <c r="G141" i="25" s="1"/>
  <c r="E184" i="14"/>
  <c r="D195" i="14"/>
  <c r="CG38" i="10"/>
  <c r="G33" i="12"/>
  <c r="G34" i="12" s="1"/>
  <c r="K27" i="14"/>
  <c r="J61" i="14"/>
  <c r="J72" i="14" s="1"/>
  <c r="J94" i="14" s="1"/>
  <c r="J173" i="14" s="1"/>
  <c r="N52" i="15"/>
  <c r="AO3" i="11"/>
  <c r="AO13" i="11" s="1"/>
  <c r="E26" i="11"/>
  <c r="M276" i="6"/>
  <c r="L155" i="17" s="1"/>
  <c r="L153" i="17" s="1"/>
  <c r="M206" i="18" s="1"/>
  <c r="L89" i="17"/>
  <c r="L87" i="17" s="1"/>
  <c r="M121" i="18" s="1"/>
  <c r="M81" i="25" s="1"/>
  <c r="N16" i="17"/>
  <c r="B11" i="28" s="1"/>
  <c r="K133" i="15"/>
  <c r="J139" i="15"/>
  <c r="J145" i="15" s="1"/>
  <c r="J176" i="15"/>
  <c r="J163" i="15"/>
  <c r="J169" i="15" s="1"/>
  <c r="C189" i="6"/>
  <c r="B44" i="12"/>
  <c r="C44" i="12" s="1"/>
  <c r="AR79" i="10"/>
  <c r="L256" i="14"/>
  <c r="M256" i="14" s="1"/>
  <c r="AD20" i="9"/>
  <c r="AE20" i="9" s="1"/>
  <c r="AF20" i="9" s="1"/>
  <c r="AY19" i="9"/>
  <c r="J19" i="9"/>
  <c r="AZ19" i="9" s="1"/>
  <c r="BH41" i="10"/>
  <c r="BH42" i="10" s="1"/>
  <c r="BH43" i="10" s="1"/>
  <c r="BG42" i="10"/>
  <c r="I246" i="14"/>
  <c r="J247" i="14"/>
  <c r="G104" i="15"/>
  <c r="G108" i="15" s="1"/>
  <c r="G109" i="15" s="1"/>
  <c r="H109" i="15" s="1"/>
  <c r="H124" i="15" s="1"/>
  <c r="L251" i="14"/>
  <c r="M251" i="14" s="1"/>
  <c r="AS39" i="10"/>
  <c r="AS41" i="10" s="1"/>
  <c r="AQ41" i="10"/>
  <c r="L37" i="15"/>
  <c r="K80" i="15"/>
  <c r="K67" i="15"/>
  <c r="K73" i="15" s="1"/>
  <c r="K43" i="15"/>
  <c r="K49" i="15" s="1"/>
  <c r="J145" i="14"/>
  <c r="K146" i="14"/>
  <c r="L102" i="28"/>
  <c r="L154" i="7"/>
  <c r="H42" i="18"/>
  <c r="H33" i="25" s="1"/>
  <c r="H34" i="25"/>
  <c r="A36" i="3"/>
  <c r="AN33" i="12"/>
  <c r="AM34" i="12"/>
  <c r="K79" i="15"/>
  <c r="K66" i="15"/>
  <c r="K72" i="15" s="1"/>
  <c r="K42" i="15"/>
  <c r="K48" i="15" s="1"/>
  <c r="L36" i="15"/>
  <c r="I262" i="15"/>
  <c r="I275" i="15"/>
  <c r="J232" i="15"/>
  <c r="I238" i="15"/>
  <c r="I244" i="15" s="1"/>
  <c r="G77" i="22"/>
  <c r="G121" i="22"/>
  <c r="G124" i="22" s="1"/>
  <c r="I263" i="15"/>
  <c r="I276" i="15"/>
  <c r="J233" i="15"/>
  <c r="I239" i="15"/>
  <c r="I245" i="15" s="1"/>
  <c r="L252" i="14"/>
  <c r="AI43" i="12"/>
  <c r="AJ43" i="12"/>
  <c r="AK43" i="12" s="1"/>
  <c r="H196" i="14"/>
  <c r="E13" i="22"/>
  <c r="M111" i="14" l="1"/>
  <c r="M119" i="14" s="1"/>
  <c r="P20" i="9"/>
  <c r="Q20" i="9" s="1"/>
  <c r="R20" i="9" s="1"/>
  <c r="N272" i="6"/>
  <c r="M149" i="17" s="1"/>
  <c r="M83" i="17"/>
  <c r="C16" i="22"/>
  <c r="AX45" i="12"/>
  <c r="AY45" i="12" s="1"/>
  <c r="AZ45" i="12" s="1"/>
  <c r="K190" i="6"/>
  <c r="AK38" i="10"/>
  <c r="F79" i="10"/>
  <c r="BB44" i="12"/>
  <c r="BC44" i="12" s="1"/>
  <c r="BA44" i="12"/>
  <c r="N190" i="6"/>
  <c r="BP45" i="12"/>
  <c r="BQ45" i="12" s="1"/>
  <c r="BR45" i="12" s="1"/>
  <c r="U37" i="10"/>
  <c r="Y34" i="10" s="1"/>
  <c r="Z34" i="10" s="1"/>
  <c r="S38" i="10"/>
  <c r="S39" i="10" s="1"/>
  <c r="BT44" i="12"/>
  <c r="BU44" i="12" s="1"/>
  <c r="BS44" i="12"/>
  <c r="T39" i="10"/>
  <c r="I112" i="22"/>
  <c r="I135" i="22" s="1"/>
  <c r="J157" i="14"/>
  <c r="J40" i="16" s="1"/>
  <c r="N149" i="15"/>
  <c r="O148" i="14"/>
  <c r="J175" i="14"/>
  <c r="J197" i="14" s="1"/>
  <c r="N255" i="14"/>
  <c r="O255" i="14" s="1"/>
  <c r="E202" i="15"/>
  <c r="T25" i="11"/>
  <c r="U25" i="11"/>
  <c r="V24" i="11"/>
  <c r="X24" i="11" s="1"/>
  <c r="N271" i="6"/>
  <c r="M147" i="17" s="1"/>
  <c r="M81" i="17"/>
  <c r="K39" i="10"/>
  <c r="M38" i="10"/>
  <c r="I142" i="15"/>
  <c r="I166" i="15"/>
  <c r="I131" i="15"/>
  <c r="I179" i="15"/>
  <c r="I174" i="15" s="1"/>
  <c r="I39" i="16" s="1"/>
  <c r="I41" i="16" s="1"/>
  <c r="J136" i="15"/>
  <c r="BI32" i="12"/>
  <c r="BH34" i="12"/>
  <c r="C126" i="28"/>
  <c r="D79" i="10"/>
  <c r="BG34" i="12"/>
  <c r="I45" i="17"/>
  <c r="D202" i="15"/>
  <c r="G201" i="15"/>
  <c r="G205" i="15" s="1"/>
  <c r="G206" i="15" s="1"/>
  <c r="H148" i="15"/>
  <c r="H143" i="15" s="1"/>
  <c r="H137" i="15"/>
  <c r="BG42" i="12"/>
  <c r="BH42" i="12"/>
  <c r="BI42" i="12" s="1"/>
  <c r="D122" i="28"/>
  <c r="E122" i="28" s="1"/>
  <c r="B122" i="28"/>
  <c r="F122" i="28" s="1"/>
  <c r="A122" i="28"/>
  <c r="G122" i="28"/>
  <c r="BI34" i="12"/>
  <c r="CO39" i="10"/>
  <c r="CO41" i="10" s="1"/>
  <c r="CM41" i="10"/>
  <c r="L102" i="17"/>
  <c r="M38" i="16" s="1"/>
  <c r="M149" i="15"/>
  <c r="J178" i="14"/>
  <c r="O147" i="14"/>
  <c r="BB19" i="9"/>
  <c r="J172" i="14"/>
  <c r="W24" i="11"/>
  <c r="BK13" i="11"/>
  <c r="BD43" i="12"/>
  <c r="BE43" i="12" s="1"/>
  <c r="BF43" i="12" s="1"/>
  <c r="L188" i="6"/>
  <c r="Z23" i="11"/>
  <c r="Y23" i="11" s="1"/>
  <c r="BJ14" i="11"/>
  <c r="BJ15" i="11" s="1"/>
  <c r="F201" i="15"/>
  <c r="F205" i="15" s="1"/>
  <c r="F206" i="15" s="1"/>
  <c r="J174" i="14"/>
  <c r="CH69" i="10"/>
  <c r="CH79" i="10" s="1"/>
  <c r="CG79" i="10"/>
  <c r="CJ79" i="10" s="1"/>
  <c r="M40" i="17"/>
  <c r="N19" i="17"/>
  <c r="B14" i="28" s="1"/>
  <c r="H172" i="15"/>
  <c r="H167" i="15" s="1"/>
  <c r="I129" i="18" s="1"/>
  <c r="I89" i="25" s="1"/>
  <c r="H161" i="15"/>
  <c r="I128" i="18" s="1"/>
  <c r="E79" i="10"/>
  <c r="H79" i="10" s="1"/>
  <c r="AB75" i="10"/>
  <c r="AC75" i="10" s="1"/>
  <c r="AD74" i="10" s="1"/>
  <c r="AC70" i="10"/>
  <c r="BW42" i="10"/>
  <c r="BX41" i="10"/>
  <c r="BX42" i="10" s="1"/>
  <c r="BX43" i="10" s="1"/>
  <c r="BT79" i="10"/>
  <c r="C192" i="9"/>
  <c r="AR192" i="9"/>
  <c r="M135" i="25"/>
  <c r="J200" i="14"/>
  <c r="J193" i="14"/>
  <c r="H14" i="25"/>
  <c r="J196" i="14"/>
  <c r="J198" i="14"/>
  <c r="K247" i="14"/>
  <c r="J246" i="14"/>
  <c r="H26" i="11"/>
  <c r="G26" i="11" s="1"/>
  <c r="AO4" i="11"/>
  <c r="AO14" i="11" s="1"/>
  <c r="C137" i="18" s="1"/>
  <c r="D190" i="14"/>
  <c r="C263" i="14"/>
  <c r="D229" i="14"/>
  <c r="L114" i="17"/>
  <c r="L113" i="17"/>
  <c r="N143" i="18" s="1"/>
  <c r="N103" i="25" s="1"/>
  <c r="A30" i="9"/>
  <c r="K29" i="9"/>
  <c r="J273" i="15"/>
  <c r="J236" i="15"/>
  <c r="J242" i="15" s="1"/>
  <c r="J260" i="15"/>
  <c r="J266" i="15" s="1"/>
  <c r="K230" i="15"/>
  <c r="N103" i="18"/>
  <c r="N154" i="18"/>
  <c r="N56" i="25"/>
  <c r="N132" i="18"/>
  <c r="L97" i="28"/>
  <c r="D232" i="14"/>
  <c r="C266" i="14"/>
  <c r="C277" i="14"/>
  <c r="B28" i="11"/>
  <c r="D27" i="11"/>
  <c r="F27" i="11" s="1"/>
  <c r="AD6" i="11"/>
  <c r="AD7" i="11" s="1"/>
  <c r="C28" i="11"/>
  <c r="B38" i="3"/>
  <c r="F27" i="3"/>
  <c r="A26" i="3"/>
  <c r="A37" i="3"/>
  <c r="G42" i="12"/>
  <c r="M167" i="17"/>
  <c r="N197" i="18" s="1"/>
  <c r="N144" i="17"/>
  <c r="B161" i="28" s="1"/>
  <c r="L98" i="28"/>
  <c r="G21" i="9"/>
  <c r="L20" i="9"/>
  <c r="I20" i="9"/>
  <c r="BK16" i="9"/>
  <c r="BV14" i="9"/>
  <c r="P33" i="12"/>
  <c r="O34" i="12"/>
  <c r="BV33" i="12"/>
  <c r="BV34" i="12" s="1"/>
  <c r="M72" i="25"/>
  <c r="BB106" i="9"/>
  <c r="E107" i="9"/>
  <c r="H240" i="15"/>
  <c r="I241" i="15"/>
  <c r="K51" i="13"/>
  <c r="D122" i="13"/>
  <c r="H126" i="13"/>
  <c r="J128" i="13"/>
  <c r="E123" i="13"/>
  <c r="G125" i="13"/>
  <c r="C121" i="13"/>
  <c r="L52" i="13"/>
  <c r="F124" i="13"/>
  <c r="I127" i="13"/>
  <c r="M53" i="13"/>
  <c r="N54" i="13"/>
  <c r="AM115" i="9"/>
  <c r="AC116" i="9"/>
  <c r="L45" i="14"/>
  <c r="K44" i="14"/>
  <c r="N26" i="16"/>
  <c r="N39" i="17"/>
  <c r="K42" i="12"/>
  <c r="L42" i="12"/>
  <c r="Y200" i="9"/>
  <c r="O201" i="9"/>
  <c r="AN20" i="9"/>
  <c r="AG21" i="9" s="1"/>
  <c r="AK20" i="9"/>
  <c r="AL20" i="9" s="1"/>
  <c r="AI21" i="9"/>
  <c r="I188" i="6"/>
  <c r="AL43" i="12"/>
  <c r="AM43" i="12" s="1"/>
  <c r="AN43" i="12" s="1"/>
  <c r="BA114" i="9"/>
  <c r="L131" i="14"/>
  <c r="K165" i="14"/>
  <c r="I258" i="15"/>
  <c r="I265" i="15"/>
  <c r="S31" i="12"/>
  <c r="BZ31" i="12" s="1"/>
  <c r="BY31" i="12"/>
  <c r="N276" i="6"/>
  <c r="M155" i="17" s="1"/>
  <c r="N155" i="17" s="1"/>
  <c r="B170" i="28" s="1"/>
  <c r="M89" i="17"/>
  <c r="N89" i="17" s="1"/>
  <c r="B96" i="28" s="1"/>
  <c r="I29" i="16"/>
  <c r="B18" i="28"/>
  <c r="Z43" i="12"/>
  <c r="AA43" i="12" s="1"/>
  <c r="AB43" i="12" s="1"/>
  <c r="G188" i="6"/>
  <c r="AO34" i="10"/>
  <c r="J239" i="15"/>
  <c r="J245" i="15" s="1"/>
  <c r="J276" i="15"/>
  <c r="J263" i="15"/>
  <c r="J269" i="15" s="1"/>
  <c r="K233" i="15"/>
  <c r="L80" i="15"/>
  <c r="L43" i="15"/>
  <c r="L49" i="15" s="1"/>
  <c r="L67" i="15"/>
  <c r="L73" i="15" s="1"/>
  <c r="M37" i="15"/>
  <c r="N251" i="14"/>
  <c r="O251" i="14" s="1"/>
  <c r="J215" i="18"/>
  <c r="J144" i="25" s="1"/>
  <c r="BV17" i="9"/>
  <c r="BM16" i="9"/>
  <c r="N256" i="14"/>
  <c r="O256" i="14" s="1"/>
  <c r="D44" i="12"/>
  <c r="F184" i="14"/>
  <c r="E195" i="14"/>
  <c r="E190" i="14" s="1"/>
  <c r="K165" i="15"/>
  <c r="K171" i="15" s="1"/>
  <c r="K178" i="15"/>
  <c r="K141" i="15"/>
  <c r="K147" i="15" s="1"/>
  <c r="L135" i="15"/>
  <c r="D4" i="25"/>
  <c r="K159" i="14"/>
  <c r="L125" i="14"/>
  <c r="K123" i="14"/>
  <c r="L124" i="14"/>
  <c r="K158" i="14"/>
  <c r="K59" i="14"/>
  <c r="K70" i="14" s="1"/>
  <c r="K92" i="14" s="1"/>
  <c r="L25" i="14"/>
  <c r="AD33" i="12"/>
  <c r="AC33" i="12"/>
  <c r="AC34" i="12" s="1"/>
  <c r="AB34" i="12"/>
  <c r="Q32" i="12"/>
  <c r="BX32" i="12" s="1"/>
  <c r="CL24" i="12" s="1"/>
  <c r="R32" i="12"/>
  <c r="BW32" i="12"/>
  <c r="O30" i="9"/>
  <c r="Y29" i="9"/>
  <c r="N253" i="14"/>
  <c r="O253" i="14" s="1"/>
  <c r="L171" i="28"/>
  <c r="F37" i="25"/>
  <c r="BO44" i="12"/>
  <c r="C41" i="18"/>
  <c r="K63" i="14"/>
  <c r="K74" i="14" s="1"/>
  <c r="K96" i="14" s="1"/>
  <c r="L29" i="14"/>
  <c r="M207" i="18"/>
  <c r="M136" i="25" s="1"/>
  <c r="M40" i="13"/>
  <c r="F111" i="13"/>
  <c r="G112" i="13"/>
  <c r="L39" i="13"/>
  <c r="I36" i="13"/>
  <c r="I48" i="13" s="1"/>
  <c r="I23" i="18" s="1"/>
  <c r="J37" i="13"/>
  <c r="H113" i="13"/>
  <c r="N41" i="13"/>
  <c r="E110" i="13"/>
  <c r="C108" i="13"/>
  <c r="D109" i="13"/>
  <c r="K38" i="13"/>
  <c r="I64" i="13"/>
  <c r="I213" i="18"/>
  <c r="N284" i="6"/>
  <c r="M163" i="17" s="1"/>
  <c r="N163" i="17" s="1"/>
  <c r="B178" i="28" s="1"/>
  <c r="M97" i="17"/>
  <c r="N97" i="17" s="1"/>
  <c r="B104" i="28" s="1"/>
  <c r="K167" i="14"/>
  <c r="L133" i="14"/>
  <c r="N250" i="14"/>
  <c r="O250" i="14" s="1"/>
  <c r="BE39" i="10"/>
  <c r="BU34" i="10"/>
  <c r="BB74" i="10"/>
  <c r="BB79" i="10" s="1"/>
  <c r="BA79" i="10"/>
  <c r="D19" i="22"/>
  <c r="J237" i="15"/>
  <c r="K231" i="15"/>
  <c r="J261" i="15"/>
  <c r="J267" i="15" s="1"/>
  <c r="J274" i="15"/>
  <c r="A27" i="3"/>
  <c r="B39" i="3"/>
  <c r="A39" i="3" s="1"/>
  <c r="F28" i="3"/>
  <c r="F29" i="3" s="1"/>
  <c r="F30" i="3" s="1"/>
  <c r="F31" i="3" s="1"/>
  <c r="F32" i="3" s="1"/>
  <c r="F33" i="3" s="1"/>
  <c r="F34" i="3" s="1"/>
  <c r="F35" i="3" s="1"/>
  <c r="F36" i="3" s="1"/>
  <c r="F37" i="3" s="1"/>
  <c r="F38" i="3" s="1"/>
  <c r="BZ64" i="10"/>
  <c r="J47" i="15"/>
  <c r="I46" i="15"/>
  <c r="K140" i="15"/>
  <c r="K146" i="15" s="1"/>
  <c r="L134" i="15"/>
  <c r="K177" i="15"/>
  <c r="K164" i="15"/>
  <c r="K170" i="15" s="1"/>
  <c r="C89" i="15"/>
  <c r="D90" i="15"/>
  <c r="W44" i="12"/>
  <c r="X44" i="12"/>
  <c r="B58" i="17"/>
  <c r="M171" i="17"/>
  <c r="N171" i="17" s="1"/>
  <c r="L173" i="17"/>
  <c r="L178" i="17" s="1"/>
  <c r="K164" i="14"/>
  <c r="L130" i="14"/>
  <c r="G188" i="14"/>
  <c r="F199" i="14"/>
  <c r="L172" i="28"/>
  <c r="I96" i="13"/>
  <c r="M22" i="13"/>
  <c r="L21" i="13"/>
  <c r="G94" i="13"/>
  <c r="E92" i="13"/>
  <c r="C90" i="13"/>
  <c r="J19" i="13"/>
  <c r="J31" i="13" s="1"/>
  <c r="J14" i="18" s="1"/>
  <c r="J6" i="25" s="1"/>
  <c r="H95" i="13"/>
  <c r="K20" i="13"/>
  <c r="F93" i="13"/>
  <c r="N23" i="13"/>
  <c r="D91" i="13"/>
  <c r="I127" i="18"/>
  <c r="I87" i="25" s="1"/>
  <c r="I88" i="25"/>
  <c r="L207" i="18"/>
  <c r="C106" i="13"/>
  <c r="G110" i="13"/>
  <c r="D107" i="13"/>
  <c r="F109" i="13"/>
  <c r="I112" i="13"/>
  <c r="J113" i="13"/>
  <c r="L37" i="13"/>
  <c r="H111" i="13"/>
  <c r="E108" i="13"/>
  <c r="K36" i="13"/>
  <c r="K48" i="13" s="1"/>
  <c r="K23" i="18" s="1"/>
  <c r="M38" i="13"/>
  <c r="K64" i="13"/>
  <c r="N39" i="13"/>
  <c r="C267" i="14"/>
  <c r="C278" i="14" s="1"/>
  <c r="D233" i="14"/>
  <c r="N281" i="6"/>
  <c r="M160" i="17" s="1"/>
  <c r="M94" i="17"/>
  <c r="G19" i="25"/>
  <c r="K166" i="14"/>
  <c r="L132" i="14"/>
  <c r="J49" i="13"/>
  <c r="J144" i="15"/>
  <c r="BA43" i="10"/>
  <c r="N88" i="17"/>
  <c r="B95" i="28" s="1"/>
  <c r="H127" i="18"/>
  <c r="H87" i="25" s="1"/>
  <c r="BQ38" i="10"/>
  <c r="M37" i="16"/>
  <c r="L103" i="17"/>
  <c r="L104" i="17" s="1"/>
  <c r="AY106" i="9"/>
  <c r="J106" i="9"/>
  <c r="AZ106" i="9" s="1"/>
  <c r="O185" i="14"/>
  <c r="T20" i="9"/>
  <c r="D94" i="15"/>
  <c r="E94" i="15" s="1"/>
  <c r="F94" i="15" s="1"/>
  <c r="G94" i="15" s="1"/>
  <c r="H94" i="15" s="1"/>
  <c r="I94" i="15" s="1"/>
  <c r="J94" i="15" s="1"/>
  <c r="K94" i="15" s="1"/>
  <c r="L94" i="15" s="1"/>
  <c r="M94" i="15" s="1"/>
  <c r="N94" i="15" s="1"/>
  <c r="A116" i="9"/>
  <c r="K115" i="9"/>
  <c r="P194" i="9"/>
  <c r="J235" i="15"/>
  <c r="J228" i="15"/>
  <c r="K229" i="15"/>
  <c r="J259" i="15"/>
  <c r="J272" i="15"/>
  <c r="AU20" i="9"/>
  <c r="F20" i="9"/>
  <c r="B20" i="9"/>
  <c r="J43" i="18"/>
  <c r="D91" i="15"/>
  <c r="E91" i="15" s="1"/>
  <c r="F91" i="15" s="1"/>
  <c r="G91" i="15" s="1"/>
  <c r="H91" i="15" s="1"/>
  <c r="I91" i="15" s="1"/>
  <c r="J91" i="15" s="1"/>
  <c r="K91" i="15" s="1"/>
  <c r="L91" i="15" s="1"/>
  <c r="M91" i="15" s="1"/>
  <c r="N91" i="15" s="1"/>
  <c r="C201" i="15"/>
  <c r="C205" i="15" s="1"/>
  <c r="C206" i="15" s="1"/>
  <c r="M25" i="17"/>
  <c r="AB42" i="12"/>
  <c r="AH34" i="10"/>
  <c r="L92" i="25"/>
  <c r="L129" i="14"/>
  <c r="K163" i="14"/>
  <c r="M122" i="18"/>
  <c r="M82" i="25" s="1"/>
  <c r="D92" i="15"/>
  <c r="E92" i="15" s="1"/>
  <c r="F92" i="15" s="1"/>
  <c r="G92" i="15" s="1"/>
  <c r="H92" i="15" s="1"/>
  <c r="I92" i="15" s="1"/>
  <c r="J92" i="15" s="1"/>
  <c r="K92" i="15" s="1"/>
  <c r="L92" i="15" s="1"/>
  <c r="M92" i="15" s="1"/>
  <c r="N92" i="15" s="1"/>
  <c r="M126" i="25"/>
  <c r="AR106" i="9"/>
  <c r="C106" i="9"/>
  <c r="H16" i="25"/>
  <c r="J71" i="15"/>
  <c r="J70" i="15" s="1"/>
  <c r="K44" i="18" s="1"/>
  <c r="K35" i="25" s="1"/>
  <c r="J64" i="15"/>
  <c r="BH16" i="9"/>
  <c r="I169" i="14"/>
  <c r="Q24" i="11"/>
  <c r="P24" i="11" s="1"/>
  <c r="AY9" i="11"/>
  <c r="AY10" i="11" s="1"/>
  <c r="M252" i="14"/>
  <c r="N252" i="14" s="1"/>
  <c r="I268" i="15"/>
  <c r="AP33" i="12"/>
  <c r="AO33" i="12"/>
  <c r="AO34" i="12" s="1"/>
  <c r="AN34" i="12"/>
  <c r="AR41" i="10"/>
  <c r="AR42" i="10" s="1"/>
  <c r="AR43" i="10" s="1"/>
  <c r="AQ42" i="10"/>
  <c r="BI42" i="10"/>
  <c r="BG43" i="10"/>
  <c r="BG44" i="10" s="1"/>
  <c r="BV16" i="9"/>
  <c r="BL16" i="9"/>
  <c r="B45" i="12"/>
  <c r="C45" i="12" s="1"/>
  <c r="C190" i="6"/>
  <c r="K61" i="14"/>
  <c r="K72" i="14" s="1"/>
  <c r="K94" i="14" s="1"/>
  <c r="L27" i="14"/>
  <c r="AZ8" i="11"/>
  <c r="N25" i="11"/>
  <c r="AK42" i="12"/>
  <c r="AN5" i="11"/>
  <c r="AL79" i="10"/>
  <c r="K138" i="15"/>
  <c r="K175" i="15"/>
  <c r="K162" i="15"/>
  <c r="L132" i="15"/>
  <c r="M248" i="15"/>
  <c r="M250" i="15"/>
  <c r="M247" i="15"/>
  <c r="M251" i="15"/>
  <c r="M249" i="15"/>
  <c r="O150" i="14"/>
  <c r="D230" i="14"/>
  <c r="C264" i="14"/>
  <c r="I48" i="18"/>
  <c r="L24" i="14"/>
  <c r="K58" i="14"/>
  <c r="K69" i="14" s="1"/>
  <c r="J216" i="18"/>
  <c r="J145" i="25" s="1"/>
  <c r="J146" i="25"/>
  <c r="J251" i="18"/>
  <c r="J242" i="18"/>
  <c r="BR74" i="10"/>
  <c r="BR79" i="10" s="1"/>
  <c r="G170" i="14"/>
  <c r="G192" i="14" s="1"/>
  <c r="G89" i="14"/>
  <c r="L128" i="14"/>
  <c r="K162" i="14"/>
  <c r="AF45" i="12"/>
  <c r="AG45" i="12" s="1"/>
  <c r="AH45" i="12" s="1"/>
  <c r="H190" i="6"/>
  <c r="N64" i="10"/>
  <c r="CU64" i="10"/>
  <c r="DL22" i="10" s="1"/>
  <c r="I183" i="14"/>
  <c r="H194" i="14"/>
  <c r="K180" i="17"/>
  <c r="K179" i="17"/>
  <c r="M228" i="18" s="1"/>
  <c r="M157" i="25" s="1"/>
  <c r="N247" i="15"/>
  <c r="N249" i="15"/>
  <c r="N251" i="15"/>
  <c r="N250" i="15"/>
  <c r="N248" i="15"/>
  <c r="L23" i="14"/>
  <c r="K22" i="14"/>
  <c r="K57" i="14"/>
  <c r="K68" i="14" s="1"/>
  <c r="K90" i="14" s="1"/>
  <c r="L44" i="15"/>
  <c r="L50" i="15" s="1"/>
  <c r="L81" i="15"/>
  <c r="L68" i="15"/>
  <c r="L74" i="15" s="1"/>
  <c r="M38" i="15"/>
  <c r="F192" i="9"/>
  <c r="AV192" i="9" s="1"/>
  <c r="AU192" i="9"/>
  <c r="J189" i="6"/>
  <c r="AR44" i="12"/>
  <c r="AS44" i="12" s="1"/>
  <c r="K76" i="14"/>
  <c r="K98" i="14" s="1"/>
  <c r="L31" i="14"/>
  <c r="K65" i="14"/>
  <c r="AN109" i="9"/>
  <c r="AK109" i="9"/>
  <c r="AL109" i="9" s="1"/>
  <c r="AI110" i="9"/>
  <c r="M103" i="18"/>
  <c r="M63" i="25" s="1"/>
  <c r="M132" i="18"/>
  <c r="M56" i="25"/>
  <c r="M154" i="18"/>
  <c r="N254" i="14"/>
  <c r="O254" i="14" s="1"/>
  <c r="AN79" i="10"/>
  <c r="D63" i="15"/>
  <c r="D43" i="14"/>
  <c r="D38" i="14"/>
  <c r="D36" i="14"/>
  <c r="D59" i="15"/>
  <c r="C20" i="17"/>
  <c r="D61" i="15"/>
  <c r="D62" i="15"/>
  <c r="D42" i="14"/>
  <c r="D37" i="14"/>
  <c r="C23" i="17"/>
  <c r="D60" i="15"/>
  <c r="D34" i="14"/>
  <c r="D39" i="14"/>
  <c r="D41" i="14"/>
  <c r="C24" i="17"/>
  <c r="D35" i="14"/>
  <c r="D40" i="14"/>
  <c r="BX75" i="10"/>
  <c r="BY75" i="10" s="1"/>
  <c r="BY70" i="10"/>
  <c r="BY79" i="10" s="1"/>
  <c r="N43" i="25"/>
  <c r="O52" i="18"/>
  <c r="C95" i="15"/>
  <c r="I124" i="22"/>
  <c r="D41" i="10"/>
  <c r="D42" i="10" s="1"/>
  <c r="D43" i="10" s="1"/>
  <c r="C42" i="10"/>
  <c r="M21" i="13"/>
  <c r="N22" i="13"/>
  <c r="J96" i="13"/>
  <c r="G93" i="13"/>
  <c r="E91" i="13"/>
  <c r="L20" i="13"/>
  <c r="I95" i="13"/>
  <c r="C89" i="13"/>
  <c r="F92" i="13"/>
  <c r="H94" i="13"/>
  <c r="K19" i="13"/>
  <c r="K31" i="13" s="1"/>
  <c r="K14" i="18" s="1"/>
  <c r="K6" i="25" s="1"/>
  <c r="D90" i="13"/>
  <c r="N149" i="14"/>
  <c r="O149" i="14" s="1"/>
  <c r="BW13" i="9"/>
  <c r="BI17" i="9"/>
  <c r="K170" i="17"/>
  <c r="K62" i="14"/>
  <c r="K73" i="14" s="1"/>
  <c r="K95" i="14" s="1"/>
  <c r="L28" i="14"/>
  <c r="D93" i="15"/>
  <c r="E93" i="15" s="1"/>
  <c r="F93" i="15" s="1"/>
  <c r="G93" i="15" s="1"/>
  <c r="H93" i="15" s="1"/>
  <c r="I93" i="15" s="1"/>
  <c r="J93" i="15" s="1"/>
  <c r="K93" i="15" s="1"/>
  <c r="L93" i="15" s="1"/>
  <c r="M93" i="15" s="1"/>
  <c r="N93" i="15" s="1"/>
  <c r="N249" i="14"/>
  <c r="O249" i="14" s="1"/>
  <c r="AC201" i="9"/>
  <c r="AM200" i="9"/>
  <c r="M153" i="17"/>
  <c r="N154" i="17"/>
  <c r="B169" i="28" s="1"/>
  <c r="D63" i="28"/>
  <c r="G63" i="28"/>
  <c r="G73" i="28" s="1"/>
  <c r="B63" i="28"/>
  <c r="F63" i="28" s="1"/>
  <c r="A63" i="28"/>
  <c r="Y115" i="9"/>
  <c r="O116" i="9"/>
  <c r="AW107" i="9"/>
  <c r="AA42" i="10"/>
  <c r="AB41" i="10"/>
  <c r="AB42" i="10" s="1"/>
  <c r="AB43" i="10" s="1"/>
  <c r="M129" i="25"/>
  <c r="I34" i="25"/>
  <c r="O180" i="14"/>
  <c r="I209" i="14"/>
  <c r="F208" i="14"/>
  <c r="F212" i="14" s="1"/>
  <c r="C228" i="14" s="1"/>
  <c r="E208" i="14"/>
  <c r="E212" i="14" s="1"/>
  <c r="C227" i="14" s="1"/>
  <c r="V20" i="9"/>
  <c r="BJ64" i="10"/>
  <c r="D38" i="26"/>
  <c r="O38" i="25"/>
  <c r="B33" i="23"/>
  <c r="X45" i="12"/>
  <c r="Y45" i="12" s="1"/>
  <c r="W45" i="12"/>
  <c r="G202" i="15"/>
  <c r="I197" i="14"/>
  <c r="D201" i="15"/>
  <c r="D205" i="15" s="1"/>
  <c r="D206" i="15" s="1"/>
  <c r="F43" i="12"/>
  <c r="E43" i="12"/>
  <c r="F202" i="15"/>
  <c r="K161" i="14"/>
  <c r="L127" i="14"/>
  <c r="AI41" i="10"/>
  <c r="AK39" i="10"/>
  <c r="AK41" i="10" s="1"/>
  <c r="K130" i="18"/>
  <c r="K90" i="25" s="1"/>
  <c r="C268" i="14"/>
  <c r="C279" i="14" s="1"/>
  <c r="D234" i="14"/>
  <c r="K201" i="9"/>
  <c r="A202" i="9"/>
  <c r="F92" i="10"/>
  <c r="K217" i="18"/>
  <c r="K188" i="18"/>
  <c r="K110" i="25"/>
  <c r="K239" i="18"/>
  <c r="J56" i="14"/>
  <c r="J29" i="16" s="1"/>
  <c r="J30" i="16" s="1"/>
  <c r="CF41" i="10"/>
  <c r="CF42" i="10" s="1"/>
  <c r="CF43" i="10" s="1"/>
  <c r="CE42" i="10"/>
  <c r="L43" i="12"/>
  <c r="M43" i="12" s="1"/>
  <c r="K43" i="12"/>
  <c r="M192" i="6"/>
  <c r="BJ47" i="12"/>
  <c r="BK47" i="12" s="1"/>
  <c r="G14" i="17"/>
  <c r="H12" i="22"/>
  <c r="I12" i="22" s="1"/>
  <c r="M31" i="17"/>
  <c r="N32" i="17"/>
  <c r="B25" i="28" s="1"/>
  <c r="I269" i="15"/>
  <c r="J275" i="15"/>
  <c r="J262" i="15"/>
  <c r="J268" i="15" s="1"/>
  <c r="J238" i="15"/>
  <c r="J244" i="15" s="1"/>
  <c r="K232" i="15"/>
  <c r="L42" i="15"/>
  <c r="L48" i="15" s="1"/>
  <c r="L66" i="15"/>
  <c r="L72" i="15" s="1"/>
  <c r="M36" i="15"/>
  <c r="L79" i="15"/>
  <c r="K145" i="14"/>
  <c r="L146" i="14"/>
  <c r="BH44" i="10"/>
  <c r="BI43" i="10"/>
  <c r="K163" i="15"/>
  <c r="K169" i="15" s="1"/>
  <c r="L133" i="15"/>
  <c r="K139" i="15"/>
  <c r="K145" i="15" s="1"/>
  <c r="K176" i="15"/>
  <c r="AV42" i="12"/>
  <c r="AU42" i="12"/>
  <c r="L30" i="14"/>
  <c r="K64" i="14"/>
  <c r="K75" i="14" s="1"/>
  <c r="K97" i="14" s="1"/>
  <c r="K176" i="14" s="1"/>
  <c r="M25" i="11"/>
  <c r="O25" i="11" s="1"/>
  <c r="K26" i="11"/>
  <c r="L26" i="11"/>
  <c r="C17" i="25"/>
  <c r="F192" i="14"/>
  <c r="BA28" i="9"/>
  <c r="BN25" i="9" s="1"/>
  <c r="J168" i="15"/>
  <c r="G14" i="25"/>
  <c r="E98" i="10"/>
  <c r="D103" i="10"/>
  <c r="L192" i="9"/>
  <c r="I192" i="9"/>
  <c r="AX192" i="9"/>
  <c r="G193" i="9"/>
  <c r="Q108" i="9"/>
  <c r="V108" i="9"/>
  <c r="I80" i="14"/>
  <c r="H91" i="14"/>
  <c r="L157" i="18"/>
  <c r="L166" i="18"/>
  <c r="L181" i="18" s="1"/>
  <c r="AM31" i="9"/>
  <c r="AC32" i="9"/>
  <c r="AH44" i="12"/>
  <c r="D101" i="31"/>
  <c r="L75" i="10"/>
  <c r="M75" i="10" s="1"/>
  <c r="M70" i="10"/>
  <c r="I30" i="16"/>
  <c r="K160" i="14"/>
  <c r="L126" i="14"/>
  <c r="AP3" i="11"/>
  <c r="AP13" i="11" s="1"/>
  <c r="E27" i="11"/>
  <c r="J68" i="14"/>
  <c r="J90" i="14" s="1"/>
  <c r="J169" i="14" s="1"/>
  <c r="J191" i="14" s="1"/>
  <c r="B182" i="28"/>
  <c r="F18" i="21"/>
  <c r="D191" i="31"/>
  <c r="B74" i="2"/>
  <c r="BA44" i="10"/>
  <c r="BA46" i="10" s="1"/>
  <c r="AY46" i="10"/>
  <c r="AU43" i="12"/>
  <c r="AV43" i="12"/>
  <c r="AW43" i="12" s="1"/>
  <c r="AF109" i="9"/>
  <c r="K66" i="14"/>
  <c r="K77" i="14" s="1"/>
  <c r="K99" i="14" s="1"/>
  <c r="K178" i="14" s="1"/>
  <c r="K200" i="14" s="1"/>
  <c r="L32" i="14"/>
  <c r="AE193" i="9"/>
  <c r="AJ193" i="9"/>
  <c r="BQ39" i="10"/>
  <c r="BQ41" i="10" s="1"/>
  <c r="BO41" i="10"/>
  <c r="L169" i="17"/>
  <c r="L170" i="17" s="1"/>
  <c r="M48" i="16"/>
  <c r="J34" i="10"/>
  <c r="CW34" i="10"/>
  <c r="AZ79" i="10"/>
  <c r="H41" i="16"/>
  <c r="I8" i="13"/>
  <c r="C80" i="13"/>
  <c r="D81" i="13"/>
  <c r="E4" i="13"/>
  <c r="E16" i="13" s="1"/>
  <c r="E13" i="18" s="1"/>
  <c r="L11" i="13"/>
  <c r="N13" i="13"/>
  <c r="M12" i="13"/>
  <c r="K10" i="13"/>
  <c r="J9" i="13"/>
  <c r="G6" i="13"/>
  <c r="F5" i="13"/>
  <c r="E32" i="13"/>
  <c r="H7" i="13"/>
  <c r="M101" i="17"/>
  <c r="N112" i="18" s="1"/>
  <c r="N78" i="17"/>
  <c r="B87" i="28" s="1"/>
  <c r="H44" i="12"/>
  <c r="I44" i="12" s="1"/>
  <c r="J44" i="12" s="1"/>
  <c r="D189" i="6"/>
  <c r="D191" i="9"/>
  <c r="AT191" i="9" s="1"/>
  <c r="AS191" i="9"/>
  <c r="BN46" i="12"/>
  <c r="BO46" i="12" s="1"/>
  <c r="BM46" i="12"/>
  <c r="I77" i="22"/>
  <c r="D226" i="14"/>
  <c r="C260" i="14"/>
  <c r="I44" i="18"/>
  <c r="AX34" i="10"/>
  <c r="J40" i="15"/>
  <c r="K34" i="15"/>
  <c r="K78" i="15"/>
  <c r="L35" i="15"/>
  <c r="K41" i="15"/>
  <c r="K65" i="15"/>
  <c r="I243" i="15"/>
  <c r="J243" i="15" s="1"/>
  <c r="C265" i="14"/>
  <c r="D231" i="14"/>
  <c r="H212" i="18"/>
  <c r="H141" i="25" s="1"/>
  <c r="H142" i="25"/>
  <c r="E187" i="6"/>
  <c r="N42" i="12"/>
  <c r="O42" i="12" s="1"/>
  <c r="K45" i="18"/>
  <c r="CV59" i="10"/>
  <c r="DK27" i="10" s="1"/>
  <c r="J45" i="17" s="1"/>
  <c r="N27" i="18"/>
  <c r="BH75" i="10"/>
  <c r="BI75" i="10" s="1"/>
  <c r="BI70" i="10"/>
  <c r="K60" i="14"/>
  <c r="K71" i="14" s="1"/>
  <c r="K93" i="14" s="1"/>
  <c r="L26" i="14"/>
  <c r="J48" i="13"/>
  <c r="J23" i="18" s="1"/>
  <c r="K45" i="15"/>
  <c r="K51" i="15" s="1"/>
  <c r="K69" i="15"/>
  <c r="K75" i="15" s="1"/>
  <c r="L39" i="15"/>
  <c r="K82" i="15"/>
  <c r="T46" i="12"/>
  <c r="U46" i="12" s="1"/>
  <c r="F191" i="6"/>
  <c r="L122" i="18"/>
  <c r="L82" i="25" s="1"/>
  <c r="M248" i="14"/>
  <c r="N248" i="14" s="1"/>
  <c r="O248" i="14" s="1"/>
  <c r="AN42" i="12"/>
  <c r="H45" i="17"/>
  <c r="AW33" i="12"/>
  <c r="AW34" i="12" s="1"/>
  <c r="AV34" i="12"/>
  <c r="M37" i="18"/>
  <c r="N31" i="17"/>
  <c r="I271" i="15"/>
  <c r="I50" i="16" s="1"/>
  <c r="I234" i="15"/>
  <c r="CK22" i="12"/>
  <c r="CO31" i="12"/>
  <c r="CL34" i="10"/>
  <c r="E201" i="15"/>
  <c r="E205" i="15" s="1"/>
  <c r="E206" i="15" s="1"/>
  <c r="L246" i="15"/>
  <c r="C208" i="14"/>
  <c r="C212" i="14" s="1"/>
  <c r="R19" i="9"/>
  <c r="AT19" i="9" s="1"/>
  <c r="D44" i="17"/>
  <c r="K175" i="14" l="1"/>
  <c r="K197" i="14" s="1"/>
  <c r="U39" i="10"/>
  <c r="U41" i="10" s="1"/>
  <c r="S41" i="10"/>
  <c r="AX46" i="12"/>
  <c r="AY46" i="12" s="1"/>
  <c r="AZ46" i="12" s="1"/>
  <c r="K191" i="6"/>
  <c r="M79" i="10"/>
  <c r="BA45" i="12"/>
  <c r="BB45" i="12"/>
  <c r="BC45" i="12" s="1"/>
  <c r="BS45" i="12"/>
  <c r="BT45" i="12"/>
  <c r="BU45" i="12" s="1"/>
  <c r="O93" i="15"/>
  <c r="N191" i="6"/>
  <c r="BP46" i="12"/>
  <c r="BQ46" i="12" s="1"/>
  <c r="BR46" i="12" s="1"/>
  <c r="N117" i="18"/>
  <c r="N83" i="17"/>
  <c r="B91" i="28" s="1"/>
  <c r="L91" i="28" s="1"/>
  <c r="U38" i="10"/>
  <c r="CZ34" i="10" s="1"/>
  <c r="N149" i="17"/>
  <c r="B165" i="28" s="1"/>
  <c r="L165" i="28" s="1"/>
  <c r="N202" i="18"/>
  <c r="O252" i="14"/>
  <c r="O91" i="15"/>
  <c r="AD69" i="10"/>
  <c r="AC79" i="10"/>
  <c r="AF79" i="10" s="1"/>
  <c r="BK14" i="11"/>
  <c r="BK15" i="11" s="1"/>
  <c r="Z24" i="11"/>
  <c r="Y24" i="11" s="1"/>
  <c r="M115" i="18"/>
  <c r="M75" i="25" s="1"/>
  <c r="I172" i="15"/>
  <c r="I167" i="15" s="1"/>
  <c r="J129" i="18" s="1"/>
  <c r="J89" i="25" s="1"/>
  <c r="I161" i="15"/>
  <c r="J128" i="18" s="1"/>
  <c r="N81" i="17"/>
  <c r="B90" i="28" s="1"/>
  <c r="L90" i="28" s="1"/>
  <c r="M102" i="17"/>
  <c r="U26" i="11"/>
  <c r="W26" i="11" s="1"/>
  <c r="Z26" i="11" s="1"/>
  <c r="Y26" i="11" s="1"/>
  <c r="T26" i="11"/>
  <c r="V25" i="11"/>
  <c r="X25" i="11" s="1"/>
  <c r="K172" i="14"/>
  <c r="K173" i="14"/>
  <c r="K174" i="14"/>
  <c r="H206" i="15"/>
  <c r="H221" i="15" s="1"/>
  <c r="J234" i="15"/>
  <c r="AD79" i="10"/>
  <c r="L189" i="6"/>
  <c r="BD44" i="12"/>
  <c r="BE44" i="12" s="1"/>
  <c r="BF44" i="12" s="1"/>
  <c r="K136" i="15"/>
  <c r="J131" i="15"/>
  <c r="J142" i="15"/>
  <c r="J166" i="15"/>
  <c r="J179" i="15"/>
  <c r="J174" i="15" s="1"/>
  <c r="J39" i="16" s="1"/>
  <c r="J41" i="16" s="1"/>
  <c r="I148" i="15"/>
  <c r="I143" i="15" s="1"/>
  <c r="I137" i="15"/>
  <c r="M168" i="17"/>
  <c r="N200" i="18" s="1"/>
  <c r="N147" i="17"/>
  <c r="B164" i="28" s="1"/>
  <c r="L164" i="28" s="1"/>
  <c r="K177" i="14"/>
  <c r="BX44" i="10"/>
  <c r="N27" i="16"/>
  <c r="O27" i="16" s="1"/>
  <c r="N30" i="18"/>
  <c r="N40" i="17"/>
  <c r="BG43" i="12"/>
  <c r="BH43" i="12"/>
  <c r="BI43" i="12" s="1"/>
  <c r="CN41" i="10"/>
  <c r="CN42" i="10" s="1"/>
  <c r="CN43" i="10" s="1"/>
  <c r="CM42" i="10"/>
  <c r="G126" i="28"/>
  <c r="D126" i="28"/>
  <c r="E126" i="28" s="1"/>
  <c r="B126" i="28"/>
  <c r="F126" i="28" s="1"/>
  <c r="A126" i="28"/>
  <c r="O92" i="15"/>
  <c r="K171" i="14"/>
  <c r="K193" i="14" s="1"/>
  <c r="BY42" i="10"/>
  <c r="CC39" i="10" s="1"/>
  <c r="BW43" i="10"/>
  <c r="BW44" i="10" s="1"/>
  <c r="M39" i="10"/>
  <c r="M41" i="10" s="1"/>
  <c r="K41" i="10"/>
  <c r="W25" i="11"/>
  <c r="BL13" i="11"/>
  <c r="K196" i="14"/>
  <c r="CB79" i="10"/>
  <c r="K198" i="14"/>
  <c r="J127" i="18"/>
  <c r="J87" i="25" s="1"/>
  <c r="J88" i="25"/>
  <c r="J80" i="14"/>
  <c r="I91" i="14"/>
  <c r="CG42" i="10"/>
  <c r="CE43" i="10"/>
  <c r="CE44" i="10" s="1"/>
  <c r="D37" i="26"/>
  <c r="B136" i="31"/>
  <c r="B135" i="31" s="1"/>
  <c r="F38" i="26"/>
  <c r="B9" i="2"/>
  <c r="Z20" i="9"/>
  <c r="S21" i="9" s="1"/>
  <c r="U21" i="9"/>
  <c r="W20" i="9"/>
  <c r="X20" i="9" s="1"/>
  <c r="AC42" i="10"/>
  <c r="AA43" i="10"/>
  <c r="AA44" i="10" s="1"/>
  <c r="O117" i="9"/>
  <c r="Y116" i="9"/>
  <c r="D88" i="15"/>
  <c r="AG110" i="9"/>
  <c r="AH109" i="9"/>
  <c r="I39" i="25"/>
  <c r="I46" i="18"/>
  <c r="D45" i="12"/>
  <c r="J258" i="15"/>
  <c r="J265" i="15"/>
  <c r="J264" i="15" s="1"/>
  <c r="K214" i="18" s="1"/>
  <c r="K143" i="25" s="1"/>
  <c r="K15" i="25"/>
  <c r="BD79" i="10"/>
  <c r="BT46" i="12"/>
  <c r="BS46" i="12"/>
  <c r="L104" i="28"/>
  <c r="CD39" i="10"/>
  <c r="K239" i="15"/>
  <c r="K245" i="15" s="1"/>
  <c r="K276" i="15"/>
  <c r="K263" i="15"/>
  <c r="L233" i="15"/>
  <c r="G189" i="6"/>
  <c r="Z44" i="12"/>
  <c r="AA44" i="12" s="1"/>
  <c r="L96" i="28"/>
  <c r="I264" i="15"/>
  <c r="M131" i="14"/>
  <c r="L165" i="14"/>
  <c r="I189" i="6"/>
  <c r="AL44" i="12"/>
  <c r="AM44" i="12" s="1"/>
  <c r="AD21" i="9"/>
  <c r="O26" i="16"/>
  <c r="AX20" i="9"/>
  <c r="N126" i="25"/>
  <c r="O197" i="18"/>
  <c r="C288" i="14"/>
  <c r="C299" i="14" s="1"/>
  <c r="N92" i="25"/>
  <c r="O132" i="18"/>
  <c r="C97" i="25"/>
  <c r="M212" i="14"/>
  <c r="M220" i="14" s="1"/>
  <c r="C225" i="14"/>
  <c r="J15" i="25"/>
  <c r="BJ69" i="10"/>
  <c r="BI79" i="10"/>
  <c r="K36" i="25"/>
  <c r="P42" i="12"/>
  <c r="BV42" i="12"/>
  <c r="E231" i="14"/>
  <c r="D265" i="14"/>
  <c r="D276" i="14" s="1"/>
  <c r="K40" i="15"/>
  <c r="L87" i="28"/>
  <c r="D13" i="17"/>
  <c r="E6" i="22"/>
  <c r="E5" i="25"/>
  <c r="E12" i="18"/>
  <c r="DF21" i="10"/>
  <c r="BP41" i="10"/>
  <c r="BP42" i="10" s="1"/>
  <c r="BP43" i="10" s="1"/>
  <c r="BO42" i="10"/>
  <c r="AF193" i="9"/>
  <c r="L160" i="14"/>
  <c r="M126" i="14"/>
  <c r="I31" i="16"/>
  <c r="J31" i="16" s="1"/>
  <c r="N69" i="10"/>
  <c r="CU69" i="10"/>
  <c r="DM22" i="10" s="1"/>
  <c r="M34" i="13" s="1"/>
  <c r="L188" i="18"/>
  <c r="L117" i="25" s="1"/>
  <c r="L110" i="25"/>
  <c r="L239" i="18"/>
  <c r="L217" i="18"/>
  <c r="R108" i="9"/>
  <c r="E193" i="9"/>
  <c r="BB192" i="9"/>
  <c r="AW42" i="12"/>
  <c r="N37" i="18"/>
  <c r="N28" i="25" s="1"/>
  <c r="M193" i="6"/>
  <c r="BJ48" i="12"/>
  <c r="BK48" i="12" s="1"/>
  <c r="BL48" i="12" s="1"/>
  <c r="CG43" i="10"/>
  <c r="CF44" i="10"/>
  <c r="K251" i="18"/>
  <c r="K146" i="25"/>
  <c r="K216" i="18"/>
  <c r="K145" i="25" s="1"/>
  <c r="K202" i="9"/>
  <c r="A203" i="9"/>
  <c r="D227" i="14"/>
  <c r="C261" i="14"/>
  <c r="C272" i="14" s="1"/>
  <c r="E63" i="28"/>
  <c r="E73" i="28" s="1"/>
  <c r="D73" i="28"/>
  <c r="AM201" i="9"/>
  <c r="AC202" i="9"/>
  <c r="BJ17" i="9"/>
  <c r="O43" i="25"/>
  <c r="B38" i="23"/>
  <c r="B4" i="2"/>
  <c r="D35" i="18"/>
  <c r="D85" i="15"/>
  <c r="D87" i="15"/>
  <c r="AT44" i="12"/>
  <c r="L34" i="13"/>
  <c r="M24" i="14"/>
  <c r="L69" i="14"/>
  <c r="L58" i="14"/>
  <c r="M27" i="14"/>
  <c r="L61" i="14"/>
  <c r="L72" i="14" s="1"/>
  <c r="L94" i="14" s="1"/>
  <c r="BM39" i="10"/>
  <c r="K43" i="18"/>
  <c r="AS106" i="9"/>
  <c r="D106" i="9"/>
  <c r="AT106" i="9" s="1"/>
  <c r="AD42" i="12"/>
  <c r="AC42" i="12"/>
  <c r="AV20" i="9"/>
  <c r="K116" i="9"/>
  <c r="A117" i="9"/>
  <c r="N55" i="13"/>
  <c r="G126" i="13"/>
  <c r="D123" i="13"/>
  <c r="C122" i="13"/>
  <c r="M54" i="13"/>
  <c r="F125" i="13"/>
  <c r="K52" i="13"/>
  <c r="K63" i="13" s="1"/>
  <c r="K24" i="18" s="1"/>
  <c r="J51" i="13"/>
  <c r="J63" i="13" s="1"/>
  <c r="J24" i="18" s="1"/>
  <c r="J22" i="18" s="1"/>
  <c r="L53" i="13"/>
  <c r="I128" i="13"/>
  <c r="E124" i="13"/>
  <c r="H127" i="13"/>
  <c r="J64" i="13"/>
  <c r="D267" i="14"/>
  <c r="D278" i="14" s="1"/>
  <c r="E233" i="14"/>
  <c r="Y44" i="12"/>
  <c r="L177" i="15"/>
  <c r="L140" i="15"/>
  <c r="L146" i="15" s="1"/>
  <c r="L164" i="15"/>
  <c r="L170" i="15" s="1"/>
  <c r="M134" i="15"/>
  <c r="K47" i="15"/>
  <c r="J46" i="15"/>
  <c r="L231" i="15"/>
  <c r="K261" i="15"/>
  <c r="K267" i="15" s="1"/>
  <c r="K274" i="15"/>
  <c r="K237" i="15"/>
  <c r="BF39" i="10"/>
  <c r="L178" i="28"/>
  <c r="S32" i="12"/>
  <c r="BZ32" i="12" s="1"/>
  <c r="CL26" i="12" s="1"/>
  <c r="BY32" i="12"/>
  <c r="CL23" i="12" s="1"/>
  <c r="M49" i="13" s="1"/>
  <c r="BA200" i="9"/>
  <c r="K157" i="14"/>
  <c r="M125" i="14"/>
  <c r="L159" i="14"/>
  <c r="G184" i="14"/>
  <c r="F195" i="14"/>
  <c r="F190" i="14" s="1"/>
  <c r="AC43" i="12"/>
  <c r="AD43" i="12"/>
  <c r="AE43" i="12" s="1"/>
  <c r="L170" i="28"/>
  <c r="J213" i="18"/>
  <c r="O202" i="9"/>
  <c r="Y201" i="9"/>
  <c r="L45" i="18"/>
  <c r="L36" i="25" s="1"/>
  <c r="I240" i="15"/>
  <c r="J241" i="15"/>
  <c r="Q33" i="12"/>
  <c r="R33" i="12"/>
  <c r="P34" i="12"/>
  <c r="BW33" i="12"/>
  <c r="AY20" i="9"/>
  <c r="J20" i="9"/>
  <c r="K260" i="15"/>
  <c r="K266" i="15" s="1"/>
  <c r="K236" i="15"/>
  <c r="K242" i="15" s="1"/>
  <c r="K273" i="15"/>
  <c r="L230" i="15"/>
  <c r="L17" i="13"/>
  <c r="D260" i="14"/>
  <c r="E226" i="14"/>
  <c r="N72" i="25"/>
  <c r="O112" i="18"/>
  <c r="AI194" i="9"/>
  <c r="AN193" i="9"/>
  <c r="AK193" i="9"/>
  <c r="AL193" i="9" s="1"/>
  <c r="AY192" i="9"/>
  <c r="J192" i="9"/>
  <c r="AZ192" i="9" s="1"/>
  <c r="L130" i="18"/>
  <c r="L90" i="25" s="1"/>
  <c r="B24" i="28"/>
  <c r="K117" i="25"/>
  <c r="G43" i="12"/>
  <c r="D44" i="10"/>
  <c r="BZ74" i="10"/>
  <c r="D33" i="14"/>
  <c r="P79" i="10"/>
  <c r="K168" i="15"/>
  <c r="BA115" i="9"/>
  <c r="M159" i="17"/>
  <c r="N160" i="17"/>
  <c r="B175" i="28" s="1"/>
  <c r="M28" i="25"/>
  <c r="O37" i="18"/>
  <c r="T47" i="12"/>
  <c r="U47" i="12" s="1"/>
  <c r="V47" i="12" s="1"/>
  <c r="F192" i="6"/>
  <c r="L45" i="15"/>
  <c r="L51" i="15" s="1"/>
  <c r="L82" i="15"/>
  <c r="M39" i="15"/>
  <c r="L69" i="15"/>
  <c r="L75" i="15" s="1"/>
  <c r="BJ74" i="10"/>
  <c r="BJ79" i="10" s="1"/>
  <c r="M35" i="15"/>
  <c r="L41" i="15"/>
  <c r="L34" i="15"/>
  <c r="L65" i="15"/>
  <c r="L78" i="15"/>
  <c r="L77" i="15" s="1"/>
  <c r="L28" i="16" s="1"/>
  <c r="C180" i="31"/>
  <c r="D7" i="21"/>
  <c r="AZ46" i="10"/>
  <c r="AZ47" i="10" s="1"/>
  <c r="AZ48" i="10" s="1"/>
  <c r="AY47" i="10"/>
  <c r="H27" i="11"/>
  <c r="G27" i="11" s="1"/>
  <c r="AP4" i="11"/>
  <c r="AP14" i="11" s="1"/>
  <c r="D137" i="18" s="1"/>
  <c r="D97" i="25" s="1"/>
  <c r="N74" i="10"/>
  <c r="CU74" i="10"/>
  <c r="AJ44" i="12"/>
  <c r="AI44" i="12"/>
  <c r="AW193" i="9"/>
  <c r="E103" i="10"/>
  <c r="D108" i="10"/>
  <c r="N26" i="11"/>
  <c r="BA8" i="11"/>
  <c r="M79" i="15"/>
  <c r="M42" i="15"/>
  <c r="M48" i="15" s="1"/>
  <c r="N36" i="15"/>
  <c r="M66" i="15"/>
  <c r="M72" i="15" s="1"/>
  <c r="K262" i="15"/>
  <c r="K268" i="15" s="1"/>
  <c r="L232" i="15"/>
  <c r="K275" i="15"/>
  <c r="K238" i="15"/>
  <c r="K244" i="15" s="1"/>
  <c r="BA201" i="9"/>
  <c r="C290" i="14"/>
  <c r="C301" i="14" s="1"/>
  <c r="L161" i="14"/>
  <c r="M127" i="14"/>
  <c r="C262" i="14"/>
  <c r="C273" i="14" s="1"/>
  <c r="D228" i="14"/>
  <c r="L169" i="28"/>
  <c r="B168" i="28"/>
  <c r="F7" i="21"/>
  <c r="D180" i="31"/>
  <c r="D34" i="18"/>
  <c r="D86" i="15"/>
  <c r="M157" i="18"/>
  <c r="M166" i="18"/>
  <c r="M181" i="18" s="1"/>
  <c r="M31" i="14"/>
  <c r="L65" i="14"/>
  <c r="L76" i="14" s="1"/>
  <c r="L98" i="14" s="1"/>
  <c r="AR45" i="12"/>
  <c r="AS45" i="12" s="1"/>
  <c r="AT45" i="12" s="1"/>
  <c r="J190" i="6"/>
  <c r="M44" i="15"/>
  <c r="M50" i="15" s="1"/>
  <c r="M81" i="15"/>
  <c r="M68" i="15"/>
  <c r="M74" i="15" s="1"/>
  <c r="N38" i="15"/>
  <c r="L22" i="14"/>
  <c r="M23" i="14"/>
  <c r="L57" i="14"/>
  <c r="L68" i="14" s="1"/>
  <c r="L90" i="14" s="1"/>
  <c r="D264" i="14"/>
  <c r="D275" i="14" s="1"/>
  <c r="E230" i="14"/>
  <c r="AZ9" i="11"/>
  <c r="AZ10" i="11" s="1"/>
  <c r="Q25" i="11"/>
  <c r="P25" i="11" s="1"/>
  <c r="AS42" i="10"/>
  <c r="AQ43" i="10"/>
  <c r="AQ44" i="10" s="1"/>
  <c r="L163" i="14"/>
  <c r="M129" i="14"/>
  <c r="J34" i="25"/>
  <c r="J42" i="18"/>
  <c r="J33" i="25" s="1"/>
  <c r="BW12" i="9"/>
  <c r="G51" i="18" s="1"/>
  <c r="BG17" i="9"/>
  <c r="L229" i="15"/>
  <c r="K235" i="15"/>
  <c r="K272" i="15"/>
  <c r="K259" i="15"/>
  <c r="K228" i="15"/>
  <c r="L95" i="28"/>
  <c r="B94" i="28"/>
  <c r="E35" i="22"/>
  <c r="J14" i="17"/>
  <c r="H188" i="14"/>
  <c r="G199" i="14"/>
  <c r="L180" i="17"/>
  <c r="L179" i="17"/>
  <c r="N228" i="18" s="1"/>
  <c r="N157" i="25" s="1"/>
  <c r="BV34" i="10"/>
  <c r="L167" i="14"/>
  <c r="M133" i="14"/>
  <c r="C35" i="22"/>
  <c r="H14" i="17"/>
  <c r="I15" i="25"/>
  <c r="I22" i="18"/>
  <c r="L63" i="14"/>
  <c r="L74" i="14" s="1"/>
  <c r="L96" i="14" s="1"/>
  <c r="M29" i="14"/>
  <c r="C32" i="25"/>
  <c r="M25" i="14"/>
  <c r="L59" i="14"/>
  <c r="L70" i="14" s="1"/>
  <c r="L92" i="14" s="1"/>
  <c r="L158" i="14"/>
  <c r="L123" i="14"/>
  <c r="M124" i="14"/>
  <c r="L178" i="15"/>
  <c r="L165" i="15"/>
  <c r="L171" i="15" s="1"/>
  <c r="L141" i="15"/>
  <c r="L147" i="15" s="1"/>
  <c r="M135" i="15"/>
  <c r="F44" i="12"/>
  <c r="E44" i="12"/>
  <c r="BV18" i="9"/>
  <c r="N37" i="15"/>
  <c r="M67" i="15"/>
  <c r="M73" i="15" s="1"/>
  <c r="M43" i="15"/>
  <c r="M49" i="15" s="1"/>
  <c r="M80" i="15"/>
  <c r="CK23" i="12"/>
  <c r="L44" i="14"/>
  <c r="M45" i="14"/>
  <c r="E21" i="9"/>
  <c r="BB20" i="9"/>
  <c r="M169" i="17"/>
  <c r="N48" i="16"/>
  <c r="N167" i="17"/>
  <c r="F39" i="3"/>
  <c r="A38" i="3"/>
  <c r="B29" i="11"/>
  <c r="D28" i="11"/>
  <c r="F28" i="11" s="1"/>
  <c r="AE6" i="11"/>
  <c r="AE7" i="11" s="1"/>
  <c r="C29" i="11"/>
  <c r="N166" i="18"/>
  <c r="N181" i="18" s="1"/>
  <c r="BA29" i="9"/>
  <c r="BN26" i="9" s="1"/>
  <c r="C274" i="14"/>
  <c r="K215" i="18"/>
  <c r="K144" i="25" s="1"/>
  <c r="K71" i="15"/>
  <c r="K70" i="15" s="1"/>
  <c r="K64" i="15"/>
  <c r="L44" i="12"/>
  <c r="M44" i="12" s="1"/>
  <c r="K44" i="12"/>
  <c r="W108" i="9"/>
  <c r="X108" i="9" s="1"/>
  <c r="U109" i="9"/>
  <c r="Z108" i="9"/>
  <c r="BL47" i="12"/>
  <c r="E234" i="14"/>
  <c r="D268" i="14"/>
  <c r="D58" i="15"/>
  <c r="D84" i="15"/>
  <c r="M131" i="18"/>
  <c r="M91" i="25" s="1"/>
  <c r="M92" i="25"/>
  <c r="AJ45" i="12"/>
  <c r="AK45" i="12" s="1"/>
  <c r="AI45" i="12"/>
  <c r="C289" i="14"/>
  <c r="C40" i="18"/>
  <c r="CL22" i="12"/>
  <c r="M17" i="13" s="1"/>
  <c r="CO32" i="12"/>
  <c r="AP42" i="12"/>
  <c r="AO42" i="12"/>
  <c r="V46" i="12"/>
  <c r="M26" i="14"/>
  <c r="L60" i="14"/>
  <c r="L71" i="14" s="1"/>
  <c r="L93" i="14" s="1"/>
  <c r="N18" i="25"/>
  <c r="O27" i="18"/>
  <c r="N43" i="12"/>
  <c r="O43" i="12" s="1"/>
  <c r="E188" i="6"/>
  <c r="C276" i="14"/>
  <c r="K243" i="15"/>
  <c r="K77" i="15"/>
  <c r="K28" i="16" s="1"/>
  <c r="I35" i="25"/>
  <c r="C271" i="14"/>
  <c r="H45" i="12"/>
  <c r="I45" i="12" s="1"/>
  <c r="J45" i="12" s="1"/>
  <c r="D190" i="6"/>
  <c r="M103" i="17"/>
  <c r="N37" i="16"/>
  <c r="N101" i="17"/>
  <c r="M32" i="14"/>
  <c r="L66" i="14"/>
  <c r="L77" i="14" s="1"/>
  <c r="L99" i="14" s="1"/>
  <c r="L178" i="14" s="1"/>
  <c r="L200" i="14" s="1"/>
  <c r="D94" i="31"/>
  <c r="AM32" i="9"/>
  <c r="AC33" i="9"/>
  <c r="H170" i="14"/>
  <c r="H89" i="14"/>
  <c r="F97" i="10"/>
  <c r="L27" i="11"/>
  <c r="AO11" i="11"/>
  <c r="AO12" i="11" s="1"/>
  <c r="M26" i="11"/>
  <c r="O26" i="11" s="1"/>
  <c r="K27" i="11"/>
  <c r="L64" i="14"/>
  <c r="L75" i="14" s="1"/>
  <c r="L97" i="14" s="1"/>
  <c r="M30" i="14"/>
  <c r="L139" i="15"/>
  <c r="L145" i="15" s="1"/>
  <c r="L163" i="15"/>
  <c r="L169" i="15" s="1"/>
  <c r="M133" i="15"/>
  <c r="L176" i="15"/>
  <c r="M146" i="14"/>
  <c r="L145" i="14"/>
  <c r="AJ41" i="10"/>
  <c r="AJ42" i="10" s="1"/>
  <c r="AJ43" i="10" s="1"/>
  <c r="AI42" i="10"/>
  <c r="I42" i="18"/>
  <c r="AC43" i="10"/>
  <c r="AB44" i="10"/>
  <c r="N206" i="18"/>
  <c r="N153" i="17"/>
  <c r="L62" i="14"/>
  <c r="L73" i="14" s="1"/>
  <c r="L95" i="14" s="1"/>
  <c r="M28" i="14"/>
  <c r="E42" i="10"/>
  <c r="C43" i="10"/>
  <c r="C44" i="10" s="1"/>
  <c r="BZ69" i="10"/>
  <c r="D31" i="18"/>
  <c r="C46" i="17"/>
  <c r="C15" i="17"/>
  <c r="K56" i="14"/>
  <c r="K29" i="16" s="1"/>
  <c r="N246" i="15"/>
  <c r="J183" i="14"/>
  <c r="I194" i="14"/>
  <c r="AF46" i="12"/>
  <c r="AG46" i="12" s="1"/>
  <c r="AH46" i="12" s="1"/>
  <c r="H191" i="6"/>
  <c r="M128" i="14"/>
  <c r="L162" i="14"/>
  <c r="C275" i="14"/>
  <c r="M246" i="15"/>
  <c r="L175" i="15"/>
  <c r="M132" i="15"/>
  <c r="L162" i="15"/>
  <c r="L138" i="15"/>
  <c r="AO5" i="11"/>
  <c r="C191" i="6"/>
  <c r="B46" i="12"/>
  <c r="C46" i="12" s="1"/>
  <c r="BI44" i="10"/>
  <c r="BI46" i="10" s="1"/>
  <c r="BG46" i="10"/>
  <c r="AS43" i="10"/>
  <c r="AR44" i="10"/>
  <c r="AQ33" i="12"/>
  <c r="AQ34" i="12" s="1"/>
  <c r="AP34" i="12"/>
  <c r="I191" i="14"/>
  <c r="N36" i="18"/>
  <c r="N25" i="17"/>
  <c r="AR20" i="9"/>
  <c r="C20" i="9"/>
  <c r="J271" i="15"/>
  <c r="J50" i="16" s="1"/>
  <c r="V194" i="9"/>
  <c r="Q194" i="9"/>
  <c r="O94" i="15"/>
  <c r="M87" i="17"/>
  <c r="K144" i="15"/>
  <c r="M132" i="14"/>
  <c r="L166" i="14"/>
  <c r="M93" i="17"/>
  <c r="N94" i="17"/>
  <c r="B101" i="28" s="1"/>
  <c r="L136" i="25"/>
  <c r="M130" i="14"/>
  <c r="L164" i="14"/>
  <c r="D89" i="15"/>
  <c r="D40" i="18" s="1"/>
  <c r="E90" i="15"/>
  <c r="CV64" i="10"/>
  <c r="DL27" i="10" s="1"/>
  <c r="K45" i="17" s="1"/>
  <c r="I212" i="18"/>
  <c r="I141" i="25" s="1"/>
  <c r="I142" i="25"/>
  <c r="Y30" i="9"/>
  <c r="O31" i="9"/>
  <c r="AE33" i="12"/>
  <c r="AE34" i="12" s="1"/>
  <c r="AD34" i="12"/>
  <c r="K169" i="14"/>
  <c r="K191" i="14" s="1"/>
  <c r="AP34" i="10"/>
  <c r="CK26" i="12"/>
  <c r="AP43" i="12"/>
  <c r="AQ43" i="12" s="1"/>
  <c r="AO43" i="12"/>
  <c r="M42" i="12"/>
  <c r="AM116" i="9"/>
  <c r="AC117" i="9"/>
  <c r="AU107" i="9"/>
  <c r="B107" i="9"/>
  <c r="H28" i="18"/>
  <c r="AW21" i="9"/>
  <c r="G17" i="17"/>
  <c r="L161" i="28"/>
  <c r="AQ3" i="11"/>
  <c r="AQ13" i="11" s="1"/>
  <c r="E28" i="11"/>
  <c r="D266" i="14"/>
  <c r="E232" i="14"/>
  <c r="N63" i="25"/>
  <c r="O103" i="18"/>
  <c r="O63" i="25" s="1"/>
  <c r="A31" i="9"/>
  <c r="K30" i="9"/>
  <c r="D263" i="14"/>
  <c r="D274" i="14" s="1"/>
  <c r="E229" i="14"/>
  <c r="L247" i="14"/>
  <c r="K246" i="14"/>
  <c r="D192" i="9"/>
  <c r="AT192" i="9" s="1"/>
  <c r="AS192" i="9"/>
  <c r="CY39" i="10" l="1"/>
  <c r="DA34" i="10"/>
  <c r="DF23" i="10" s="1"/>
  <c r="N77" i="25"/>
  <c r="O117" i="18"/>
  <c r="BP47" i="12"/>
  <c r="BQ47" i="12" s="1"/>
  <c r="BR47" i="12" s="1"/>
  <c r="N192" i="6"/>
  <c r="K192" i="6"/>
  <c r="AX47" i="12"/>
  <c r="AY47" i="12" s="1"/>
  <c r="AZ47" i="12" s="1"/>
  <c r="BB46" i="12"/>
  <c r="BC46" i="12" s="1"/>
  <c r="BA46" i="12"/>
  <c r="N131" i="25"/>
  <c r="O202" i="18"/>
  <c r="T41" i="10"/>
  <c r="T42" i="10" s="1"/>
  <c r="T43" i="10" s="1"/>
  <c r="S42" i="10"/>
  <c r="N129" i="25"/>
  <c r="O200" i="18"/>
  <c r="K30" i="16"/>
  <c r="CX34" i="10"/>
  <c r="BW46" i="10"/>
  <c r="BY44" i="10"/>
  <c r="BY46" i="10" s="1"/>
  <c r="CM43" i="10"/>
  <c r="CM44" i="10" s="1"/>
  <c r="CO42" i="10"/>
  <c r="CS39" i="10" s="1"/>
  <c r="CT39" i="10" s="1"/>
  <c r="L136" i="15"/>
  <c r="K142" i="15"/>
  <c r="K166" i="15"/>
  <c r="K131" i="15"/>
  <c r="K179" i="15"/>
  <c r="K174" i="15" s="1"/>
  <c r="K39" i="16" s="1"/>
  <c r="N38" i="16"/>
  <c r="O38" i="16" s="1"/>
  <c r="N115" i="18"/>
  <c r="N102" i="17"/>
  <c r="L175" i="14"/>
  <c r="L174" i="14"/>
  <c r="L196" i="14" s="1"/>
  <c r="Z25" i="11"/>
  <c r="Y25" i="11" s="1"/>
  <c r="BL14" i="11"/>
  <c r="BL15" i="11" s="1"/>
  <c r="CN44" i="10"/>
  <c r="O30" i="18"/>
  <c r="N21" i="25"/>
  <c r="N49" i="16"/>
  <c r="O49" i="16" s="1"/>
  <c r="N168" i="17"/>
  <c r="J172" i="15"/>
  <c r="J167" i="15" s="1"/>
  <c r="K129" i="18" s="1"/>
  <c r="K89" i="25" s="1"/>
  <c r="J161" i="15"/>
  <c r="K128" i="18" s="1"/>
  <c r="BH44" i="12"/>
  <c r="BI44" i="12" s="1"/>
  <c r="BG44" i="12"/>
  <c r="K234" i="15"/>
  <c r="L177" i="14"/>
  <c r="L41" i="10"/>
  <c r="L42" i="10" s="1"/>
  <c r="L43" i="10" s="1"/>
  <c r="K42" i="10"/>
  <c r="J148" i="15"/>
  <c r="J143" i="15" s="1"/>
  <c r="J137" i="15"/>
  <c r="L190" i="6"/>
  <c r="BD45" i="12"/>
  <c r="BE45" i="12" s="1"/>
  <c r="BF45" i="12" s="1"/>
  <c r="V26" i="11"/>
  <c r="X26" i="11" s="1"/>
  <c r="T27" i="11"/>
  <c r="U27" i="11"/>
  <c r="W27" i="11" s="1"/>
  <c r="Z27" i="11" s="1"/>
  <c r="Y27" i="11" s="1"/>
  <c r="BA16" i="11"/>
  <c r="BA17" i="11" s="1"/>
  <c r="L169" i="14"/>
  <c r="L173" i="14"/>
  <c r="L171" i="14"/>
  <c r="L193" i="14" s="1"/>
  <c r="L176" i="14"/>
  <c r="L198" i="14" s="1"/>
  <c r="BY43" i="10"/>
  <c r="L191" i="14"/>
  <c r="J14" i="25"/>
  <c r="DF24" i="10"/>
  <c r="L172" i="14"/>
  <c r="K16" i="25"/>
  <c r="K22" i="18"/>
  <c r="L197" i="14"/>
  <c r="E266" i="14"/>
  <c r="F232" i="14"/>
  <c r="H107" i="9"/>
  <c r="AR107" i="9"/>
  <c r="C107" i="9"/>
  <c r="M162" i="14"/>
  <c r="N128" i="14"/>
  <c r="K28" i="11"/>
  <c r="M27" i="11"/>
  <c r="O27" i="11" s="1"/>
  <c r="L28" i="11"/>
  <c r="AP11" i="11"/>
  <c r="AP12" i="11" s="1"/>
  <c r="H192" i="14"/>
  <c r="W46" i="12"/>
  <c r="X46" i="12"/>
  <c r="BN47" i="12"/>
  <c r="BM47" i="12"/>
  <c r="C285" i="14"/>
  <c r="C296" i="14" s="1"/>
  <c r="C30" i="11"/>
  <c r="D29" i="11"/>
  <c r="F29" i="11" s="1"/>
  <c r="B30" i="11"/>
  <c r="AF6" i="11"/>
  <c r="AF7" i="11" s="1"/>
  <c r="N29" i="14"/>
  <c r="M63" i="14"/>
  <c r="M74" i="14" s="1"/>
  <c r="M96" i="14" s="1"/>
  <c r="K265" i="15"/>
  <c r="K258" i="15"/>
  <c r="E264" i="14"/>
  <c r="E275" i="14" s="1"/>
  <c r="F230" i="14"/>
  <c r="N127" i="14"/>
  <c r="M161" i="14"/>
  <c r="AG194" i="9"/>
  <c r="AD194" i="9" s="1"/>
  <c r="AH193" i="9"/>
  <c r="A118" i="9"/>
  <c r="K117" i="9"/>
  <c r="BN48" i="12"/>
  <c r="BO48" i="12" s="1"/>
  <c r="BM48" i="12"/>
  <c r="BP44" i="10"/>
  <c r="L246" i="14"/>
  <c r="M247" i="14"/>
  <c r="H28" i="11"/>
  <c r="G28" i="11" s="1"/>
  <c r="AQ4" i="11"/>
  <c r="AQ14" i="11" s="1"/>
  <c r="E137" i="18" s="1"/>
  <c r="E97" i="25" s="1"/>
  <c r="L144" i="15"/>
  <c r="B47" i="12"/>
  <c r="C47" i="12" s="1"/>
  <c r="C192" i="6"/>
  <c r="AJ46" i="12"/>
  <c r="AK46" i="12" s="1"/>
  <c r="AI46" i="12"/>
  <c r="M62" i="14"/>
  <c r="M73" i="14" s="1"/>
  <c r="M95" i="14" s="1"/>
  <c r="N28" i="14"/>
  <c r="AJ44" i="10"/>
  <c r="M145" i="14"/>
  <c r="N146" i="14"/>
  <c r="BB8" i="11"/>
  <c r="N27" i="11"/>
  <c r="M104" i="17"/>
  <c r="N104" i="17" s="1"/>
  <c r="N103" i="17"/>
  <c r="E189" i="6"/>
  <c r="N44" i="12"/>
  <c r="O44" i="12" s="1"/>
  <c r="D289" i="14"/>
  <c r="E289" i="14" s="1"/>
  <c r="F289" i="14" s="1"/>
  <c r="G289" i="14" s="1"/>
  <c r="H289" i="14" s="1"/>
  <c r="I289" i="14" s="1"/>
  <c r="J289" i="14" s="1"/>
  <c r="K289" i="14" s="1"/>
  <c r="L289" i="14" s="1"/>
  <c r="M289" i="14" s="1"/>
  <c r="N289" i="14" s="1"/>
  <c r="T108" i="9"/>
  <c r="S109" i="9"/>
  <c r="M170" i="17"/>
  <c r="N170" i="17" s="1"/>
  <c r="N169" i="17"/>
  <c r="M59" i="14"/>
  <c r="M70" i="14" s="1"/>
  <c r="M92" i="14" s="1"/>
  <c r="N25" i="14"/>
  <c r="I188" i="14"/>
  <c r="H199" i="14"/>
  <c r="L94" i="28"/>
  <c r="G21" i="22"/>
  <c r="G42" i="25"/>
  <c r="L56" i="14"/>
  <c r="L29" i="16" s="1"/>
  <c r="L30" i="16" s="1"/>
  <c r="L31" i="16" s="1"/>
  <c r="N44" i="15"/>
  <c r="O44" i="15" s="1"/>
  <c r="N68" i="15"/>
  <c r="N81" i="15"/>
  <c r="O81" i="15" s="1"/>
  <c r="O38" i="15"/>
  <c r="D25" i="25"/>
  <c r="E228" i="14"/>
  <c r="D262" i="14"/>
  <c r="D273" i="14"/>
  <c r="F102" i="10"/>
  <c r="N79" i="10"/>
  <c r="L40" i="15"/>
  <c r="O28" i="25"/>
  <c r="B23" i="23"/>
  <c r="N207" i="18"/>
  <c r="N159" i="17"/>
  <c r="D271" i="14"/>
  <c r="AZ20" i="9"/>
  <c r="S33" i="12"/>
  <c r="R34" i="12"/>
  <c r="BY33" i="12"/>
  <c r="Y202" i="9"/>
  <c r="O203" i="9"/>
  <c r="J126" i="13"/>
  <c r="L128" i="13"/>
  <c r="M51" i="13"/>
  <c r="I125" i="13"/>
  <c r="D120" i="13"/>
  <c r="H124" i="13"/>
  <c r="E121" i="13"/>
  <c r="C119" i="13"/>
  <c r="G123" i="13"/>
  <c r="N52" i="13"/>
  <c r="K127" i="13"/>
  <c r="F122" i="13"/>
  <c r="K46" i="15"/>
  <c r="L47" i="15"/>
  <c r="K42" i="18"/>
  <c r="K33" i="25" s="1"/>
  <c r="K34" i="25"/>
  <c r="D26" i="25"/>
  <c r="A204" i="9"/>
  <c r="K203" i="9"/>
  <c r="L242" i="18"/>
  <c r="L251" i="18"/>
  <c r="C104" i="13"/>
  <c r="L113" i="13"/>
  <c r="H109" i="13"/>
  <c r="I110" i="13"/>
  <c r="M64" i="13"/>
  <c r="K112" i="13"/>
  <c r="D105" i="13"/>
  <c r="M36" i="13"/>
  <c r="G108" i="13"/>
  <c r="N37" i="13"/>
  <c r="F107" i="13"/>
  <c r="E106" i="13"/>
  <c r="J111" i="13"/>
  <c r="BQ42" i="10"/>
  <c r="BO43" i="10"/>
  <c r="BO44" i="10" s="1"/>
  <c r="E4" i="25"/>
  <c r="D225" i="14"/>
  <c r="C224" i="14"/>
  <c r="C259" i="14"/>
  <c r="C270" i="14" s="1"/>
  <c r="C33" i="23"/>
  <c r="O92" i="25"/>
  <c r="I190" i="6"/>
  <c r="AL45" i="12"/>
  <c r="AM45" i="12" s="1"/>
  <c r="AN45" i="12" s="1"/>
  <c r="M233" i="15"/>
  <c r="L263" i="15"/>
  <c r="L269" i="15" s="1"/>
  <c r="L239" i="15"/>
  <c r="L245" i="15" s="1"/>
  <c r="L276" i="15"/>
  <c r="AG39" i="10"/>
  <c r="CG44" i="10"/>
  <c r="CG46" i="10" s="1"/>
  <c r="CE46" i="10"/>
  <c r="I170" i="14"/>
  <c r="I192" i="14" s="1"/>
  <c r="I89" i="14"/>
  <c r="BA30" i="9"/>
  <c r="BN27" i="9" s="1"/>
  <c r="N121" i="18"/>
  <c r="N87" i="17"/>
  <c r="C46" i="10"/>
  <c r="E44" i="10"/>
  <c r="E46" i="10" s="1"/>
  <c r="D191" i="6"/>
  <c r="H46" i="12"/>
  <c r="I46" i="12" s="1"/>
  <c r="J46" i="12" s="1"/>
  <c r="P43" i="12"/>
  <c r="BV43" i="12"/>
  <c r="L96" i="13"/>
  <c r="C87" i="13"/>
  <c r="H92" i="13"/>
  <c r="D88" i="13"/>
  <c r="M19" i="13"/>
  <c r="F90" i="13"/>
  <c r="N20" i="13"/>
  <c r="K95" i="13"/>
  <c r="J94" i="13"/>
  <c r="G91" i="13"/>
  <c r="I93" i="13"/>
  <c r="E89" i="13"/>
  <c r="D83" i="15"/>
  <c r="L43" i="18"/>
  <c r="M178" i="15"/>
  <c r="M165" i="15"/>
  <c r="M171" i="15" s="1"/>
  <c r="M141" i="15"/>
  <c r="M147" i="15" s="1"/>
  <c r="N135" i="15"/>
  <c r="M22" i="14"/>
  <c r="M57" i="14"/>
  <c r="M68" i="14" s="1"/>
  <c r="M90" i="14" s="1"/>
  <c r="N23" i="14"/>
  <c r="J191" i="6"/>
  <c r="AR46" i="12"/>
  <c r="AS46" i="12" s="1"/>
  <c r="AT46" i="12" s="1"/>
  <c r="L168" i="28"/>
  <c r="Q34" i="12"/>
  <c r="BX33" i="12"/>
  <c r="J142" i="25"/>
  <c r="D261" i="14"/>
  <c r="D272" i="14" s="1"/>
  <c r="E227" i="14"/>
  <c r="J214" i="18"/>
  <c r="J143" i="25" s="1"/>
  <c r="K80" i="14"/>
  <c r="J91" i="14"/>
  <c r="K31" i="9"/>
  <c r="A32" i="9"/>
  <c r="AM117" i="9"/>
  <c r="AC118" i="9"/>
  <c r="E89" i="15"/>
  <c r="E40" i="18" s="1"/>
  <c r="F90" i="15"/>
  <c r="N130" i="14"/>
  <c r="M164" i="14"/>
  <c r="L101" i="28"/>
  <c r="B100" i="28"/>
  <c r="N132" i="14"/>
  <c r="M166" i="14"/>
  <c r="R194" i="9"/>
  <c r="N27" i="25"/>
  <c r="O36" i="18"/>
  <c r="AP5" i="11"/>
  <c r="AO15" i="11"/>
  <c r="L168" i="15"/>
  <c r="K183" i="14"/>
  <c r="J194" i="14"/>
  <c r="I33" i="25"/>
  <c r="AC34" i="9"/>
  <c r="AM33" i="9"/>
  <c r="N32" i="14"/>
  <c r="M66" i="14"/>
  <c r="M77" i="14" s="1"/>
  <c r="M99" i="14" s="1"/>
  <c r="L45" i="12"/>
  <c r="K45" i="12"/>
  <c r="B13" i="23"/>
  <c r="O18" i="25"/>
  <c r="C300" i="14"/>
  <c r="D33" i="15"/>
  <c r="D76" i="15" s="1"/>
  <c r="E268" i="14"/>
  <c r="F234" i="14"/>
  <c r="L44" i="18"/>
  <c r="AR3" i="11"/>
  <c r="AR13" i="11" s="1"/>
  <c r="E29" i="11"/>
  <c r="AU21" i="9"/>
  <c r="B21" i="9"/>
  <c r="M45" i="18"/>
  <c r="M36" i="25" s="1"/>
  <c r="L157" i="14"/>
  <c r="L40" i="16" s="1"/>
  <c r="I14" i="25"/>
  <c r="M167" i="14"/>
  <c r="N133" i="14"/>
  <c r="K271" i="15"/>
  <c r="K50" i="16" s="1"/>
  <c r="AV45" i="12"/>
  <c r="AW45" i="12" s="1"/>
  <c r="AU45" i="12"/>
  <c r="M110" i="25"/>
  <c r="M217" i="18"/>
  <c r="M188" i="18"/>
  <c r="M117" i="25" s="1"/>
  <c r="M239" i="18"/>
  <c r="M232" i="15"/>
  <c r="L262" i="15"/>
  <c r="L268" i="15" s="1"/>
  <c r="L275" i="15"/>
  <c r="L238" i="15"/>
  <c r="L244" i="15" s="1"/>
  <c r="N79" i="15"/>
  <c r="O79" i="15" s="1"/>
  <c r="N42" i="15"/>
  <c r="O42" i="15" s="1"/>
  <c r="N66" i="15"/>
  <c r="O36" i="15"/>
  <c r="AK44" i="12"/>
  <c r="AZ49" i="10"/>
  <c r="L71" i="15"/>
  <c r="L70" i="15" s="1"/>
  <c r="M44" i="18" s="1"/>
  <c r="M35" i="25" s="1"/>
  <c r="L64" i="15"/>
  <c r="T48" i="12"/>
  <c r="U48" i="12" s="1"/>
  <c r="F193" i="6"/>
  <c r="D67" i="14"/>
  <c r="D78" i="14"/>
  <c r="D21" i="14"/>
  <c r="D55" i="14" s="1"/>
  <c r="D16" i="22" s="1"/>
  <c r="E43" i="10"/>
  <c r="L236" i="15"/>
  <c r="L242" i="15" s="1"/>
  <c r="M230" i="15"/>
  <c r="L260" i="15"/>
  <c r="L266" i="15" s="1"/>
  <c r="L273" i="15"/>
  <c r="CM22" i="12"/>
  <c r="CO33" i="12"/>
  <c r="BW34" i="12"/>
  <c r="CO34" i="12" s="1"/>
  <c r="J240" i="15"/>
  <c r="K241" i="15"/>
  <c r="H184" i="14"/>
  <c r="G195" i="14"/>
  <c r="K40" i="16"/>
  <c r="L261" i="15"/>
  <c r="L267" i="15" s="1"/>
  <c r="M231" i="15"/>
  <c r="L237" i="15"/>
  <c r="L243" i="15" s="1"/>
  <c r="L274" i="15"/>
  <c r="D300" i="14"/>
  <c r="I14" i="17"/>
  <c r="D35" i="22"/>
  <c r="BA116" i="9"/>
  <c r="M61" i="14"/>
  <c r="M72" i="14" s="1"/>
  <c r="M94" i="14" s="1"/>
  <c r="M173" i="14" s="1"/>
  <c r="N27" i="14"/>
  <c r="M58" i="14"/>
  <c r="M69" i="14" s="1"/>
  <c r="N24" i="14"/>
  <c r="M194" i="6"/>
  <c r="BJ49" i="12"/>
  <c r="BK49" i="12" s="1"/>
  <c r="BL49" i="12" s="1"/>
  <c r="L146" i="25"/>
  <c r="E19" i="22"/>
  <c r="R42" i="12"/>
  <c r="Q42" i="12"/>
  <c r="BW42" i="12"/>
  <c r="BL79" i="10"/>
  <c r="D13" i="23"/>
  <c r="O126" i="25"/>
  <c r="AE21" i="9"/>
  <c r="AJ21" i="9"/>
  <c r="M165" i="14"/>
  <c r="N131" i="14"/>
  <c r="AB44" i="12"/>
  <c r="E45" i="12"/>
  <c r="F45" i="12"/>
  <c r="I37" i="25"/>
  <c r="AC44" i="10"/>
  <c r="AC46" i="10" s="1"/>
  <c r="AA46" i="10"/>
  <c r="CK39" i="10"/>
  <c r="D15" i="22"/>
  <c r="K31" i="16"/>
  <c r="L32" i="16" s="1"/>
  <c r="N217" i="18"/>
  <c r="N239" i="18"/>
  <c r="N188" i="18"/>
  <c r="N110" i="25"/>
  <c r="N45" i="14"/>
  <c r="M44" i="14"/>
  <c r="L49" i="13"/>
  <c r="L64" i="13" s="1"/>
  <c r="L259" i="15"/>
  <c r="L272" i="15"/>
  <c r="M229" i="15"/>
  <c r="L235" i="15"/>
  <c r="L228" i="15"/>
  <c r="M163" i="14"/>
  <c r="N129" i="14"/>
  <c r="AW39" i="10"/>
  <c r="N31" i="14"/>
  <c r="M65" i="14"/>
  <c r="M76" i="14" s="1"/>
  <c r="M98" i="14" s="1"/>
  <c r="M177" i="14" s="1"/>
  <c r="C284" i="14"/>
  <c r="K88" i="25"/>
  <c r="K127" i="18"/>
  <c r="K87" i="25" s="1"/>
  <c r="BA47" i="10"/>
  <c r="AY48" i="10"/>
  <c r="AY49" i="10" s="1"/>
  <c r="M41" i="15"/>
  <c r="N35" i="15"/>
  <c r="M78" i="15"/>
  <c r="M65" i="15"/>
  <c r="M34" i="15"/>
  <c r="BW16" i="9"/>
  <c r="BL17" i="9"/>
  <c r="N125" i="14"/>
  <c r="M159" i="14"/>
  <c r="M140" i="15"/>
  <c r="M146" i="15" s="1"/>
  <c r="M177" i="15"/>
  <c r="M164" i="15"/>
  <c r="M170" i="15" s="1"/>
  <c r="N134" i="15"/>
  <c r="AE42" i="12"/>
  <c r="M37" i="13"/>
  <c r="I111" i="13"/>
  <c r="J112" i="13"/>
  <c r="L36" i="13"/>
  <c r="L48" i="13" s="1"/>
  <c r="L23" i="18" s="1"/>
  <c r="K113" i="13"/>
  <c r="F108" i="13"/>
  <c r="G109" i="13"/>
  <c r="C105" i="13"/>
  <c r="E107" i="13"/>
  <c r="N38" i="13"/>
  <c r="H110" i="13"/>
  <c r="D106" i="13"/>
  <c r="N126" i="14"/>
  <c r="M160" i="14"/>
  <c r="M171" i="14" s="1"/>
  <c r="M193" i="14" s="1"/>
  <c r="K269" i="15"/>
  <c r="Y117" i="9"/>
  <c r="O118" i="9"/>
  <c r="F37" i="26"/>
  <c r="C136" i="31"/>
  <c r="C135" i="31" s="1"/>
  <c r="H38" i="26"/>
  <c r="F229" i="14"/>
  <c r="E263" i="14"/>
  <c r="E274" i="14" s="1"/>
  <c r="BI18" i="9"/>
  <c r="BJ18" i="9" s="1"/>
  <c r="BX13" i="9"/>
  <c r="L215" i="18"/>
  <c r="L144" i="25" s="1"/>
  <c r="D277" i="14"/>
  <c r="H19" i="25"/>
  <c r="Y31" i="9"/>
  <c r="O32" i="9"/>
  <c r="D31" i="25"/>
  <c r="N122" i="18"/>
  <c r="N93" i="17"/>
  <c r="Z194" i="9"/>
  <c r="U195" i="9"/>
  <c r="W194" i="9"/>
  <c r="X194" i="9" s="1"/>
  <c r="D20" i="9"/>
  <c r="AT20" i="9" s="1"/>
  <c r="AS20" i="9"/>
  <c r="BH46" i="10"/>
  <c r="BH47" i="10" s="1"/>
  <c r="BH48" i="10" s="1"/>
  <c r="BG47" i="10"/>
  <c r="D46" i="12"/>
  <c r="M175" i="15"/>
  <c r="M138" i="15"/>
  <c r="M162" i="15"/>
  <c r="N132" i="15"/>
  <c r="C286" i="14"/>
  <c r="C297" i="14" s="1"/>
  <c r="AF47" i="12"/>
  <c r="AG47" i="12" s="1"/>
  <c r="AH47" i="12" s="1"/>
  <c r="H192" i="6"/>
  <c r="D22" i="25"/>
  <c r="D26" i="18"/>
  <c r="CV69" i="10"/>
  <c r="DM27" i="10" s="1"/>
  <c r="L45" i="17" s="1"/>
  <c r="I39" i="10"/>
  <c r="N135" i="25"/>
  <c r="O206" i="18"/>
  <c r="AK42" i="10"/>
  <c r="AI43" i="10"/>
  <c r="AI44" i="10" s="1"/>
  <c r="M130" i="18"/>
  <c r="M90" i="25" s="1"/>
  <c r="M176" i="15"/>
  <c r="M163" i="15"/>
  <c r="M169" i="15" s="1"/>
  <c r="M139" i="15"/>
  <c r="M145" i="15" s="1"/>
  <c r="N133" i="15"/>
  <c r="M64" i="14"/>
  <c r="M75" i="14" s="1"/>
  <c r="M97" i="14" s="1"/>
  <c r="N30" i="14"/>
  <c r="O37" i="16"/>
  <c r="C282" i="14"/>
  <c r="C293" i="14" s="1"/>
  <c r="C287" i="14"/>
  <c r="C298" i="14" s="1"/>
  <c r="N26" i="14"/>
  <c r="M60" i="14"/>
  <c r="M71" i="14" s="1"/>
  <c r="M93" i="14" s="1"/>
  <c r="AQ42" i="12"/>
  <c r="C39" i="18"/>
  <c r="C31" i="25"/>
  <c r="D279" i="14"/>
  <c r="O48" i="16"/>
  <c r="N80" i="15"/>
  <c r="O80" i="15" s="1"/>
  <c r="N43" i="15"/>
  <c r="O43" i="15" s="1"/>
  <c r="N67" i="15"/>
  <c r="O37" i="15"/>
  <c r="G44" i="12"/>
  <c r="N124" i="14"/>
  <c r="M123" i="14"/>
  <c r="M158" i="14"/>
  <c r="M169" i="14" s="1"/>
  <c r="M191" i="14" s="1"/>
  <c r="BH17" i="9"/>
  <c r="AS44" i="10"/>
  <c r="AS46" i="10" s="1"/>
  <c r="AQ46" i="10"/>
  <c r="D290" i="14"/>
  <c r="E290" i="14" s="1"/>
  <c r="F290" i="14" s="1"/>
  <c r="G290" i="14" s="1"/>
  <c r="H290" i="14" s="1"/>
  <c r="I290" i="14" s="1"/>
  <c r="J290" i="14" s="1"/>
  <c r="K290" i="14" s="1"/>
  <c r="L290" i="14" s="1"/>
  <c r="M290" i="14" s="1"/>
  <c r="N290" i="14" s="1"/>
  <c r="BA9" i="11"/>
  <c r="BA10" i="11" s="1"/>
  <c r="Q26" i="11"/>
  <c r="P26" i="11" s="1"/>
  <c r="D113" i="10"/>
  <c r="E108" i="10"/>
  <c r="DN22" i="10"/>
  <c r="CU79" i="10"/>
  <c r="N39" i="15"/>
  <c r="M45" i="15"/>
  <c r="M51" i="15" s="1"/>
  <c r="M69" i="15"/>
  <c r="M75" i="15" s="1"/>
  <c r="M82" i="15"/>
  <c r="X47" i="12"/>
  <c r="Y47" i="12" s="1"/>
  <c r="W47" i="12"/>
  <c r="L175" i="28"/>
  <c r="B174" i="28"/>
  <c r="BZ79" i="10"/>
  <c r="CV74" i="10"/>
  <c r="C13" i="23"/>
  <c r="O72" i="25"/>
  <c r="E260" i="14"/>
  <c r="E271" i="14" s="1"/>
  <c r="F226" i="14"/>
  <c r="F91" i="13"/>
  <c r="G92" i="13"/>
  <c r="I94" i="13"/>
  <c r="D89" i="13"/>
  <c r="E90" i="13"/>
  <c r="J95" i="13"/>
  <c r="C88" i="13"/>
  <c r="M20" i="13"/>
  <c r="L19" i="13"/>
  <c r="L31" i="13" s="1"/>
  <c r="L14" i="18" s="1"/>
  <c r="L6" i="25" s="1"/>
  <c r="N21" i="13"/>
  <c r="H93" i="13"/>
  <c r="K96" i="13"/>
  <c r="F233" i="14"/>
  <c r="E267" i="14"/>
  <c r="E278" i="14" s="1"/>
  <c r="J16" i="25"/>
  <c r="BN39" i="10"/>
  <c r="K41" i="16"/>
  <c r="AV44" i="12"/>
  <c r="AU44" i="12"/>
  <c r="AM202" i="9"/>
  <c r="BA202" i="9" s="1"/>
  <c r="AC203" i="9"/>
  <c r="C283" i="14"/>
  <c r="C294" i="14" s="1"/>
  <c r="B193" i="9"/>
  <c r="AU193" i="9"/>
  <c r="F2" i="13"/>
  <c r="E63" i="15"/>
  <c r="D23" i="17"/>
  <c r="E62" i="15"/>
  <c r="E59" i="15"/>
  <c r="E38" i="14"/>
  <c r="E60" i="15"/>
  <c r="E36" i="14"/>
  <c r="D20" i="17"/>
  <c r="E43" i="14"/>
  <c r="E34" i="14"/>
  <c r="E39" i="14"/>
  <c r="E61" i="15"/>
  <c r="E41" i="14"/>
  <c r="E42" i="14"/>
  <c r="E37" i="14"/>
  <c r="D24" i="17"/>
  <c r="E35" i="14"/>
  <c r="E40" i="14"/>
  <c r="F231" i="14"/>
  <c r="E265" i="14"/>
  <c r="E276" i="14" s="1"/>
  <c r="D288" i="14"/>
  <c r="E288" i="14" s="1"/>
  <c r="F288" i="14" s="1"/>
  <c r="G288" i="14" s="1"/>
  <c r="H288" i="14" s="1"/>
  <c r="I288" i="14" s="1"/>
  <c r="J288" i="14" s="1"/>
  <c r="K288" i="14" s="1"/>
  <c r="L288" i="14" s="1"/>
  <c r="M288" i="14" s="1"/>
  <c r="N288" i="14" s="1"/>
  <c r="AN44" i="12"/>
  <c r="G190" i="6"/>
  <c r="Z45" i="12"/>
  <c r="AA45" i="12" s="1"/>
  <c r="AB45" i="12" s="1"/>
  <c r="BU46" i="12"/>
  <c r="K213" i="18"/>
  <c r="AD110" i="9"/>
  <c r="P21" i="9"/>
  <c r="F13" i="22"/>
  <c r="BB47" i="12" l="1"/>
  <c r="BC47" i="12" s="1"/>
  <c r="BA47" i="12"/>
  <c r="AX48" i="12"/>
  <c r="AY48" i="12" s="1"/>
  <c r="AZ48" i="12" s="1"/>
  <c r="K193" i="6"/>
  <c r="U42" i="10"/>
  <c r="Y39" i="10" s="1"/>
  <c r="Z39" i="10" s="1"/>
  <c r="S43" i="10"/>
  <c r="S44" i="10" s="1"/>
  <c r="N193" i="6"/>
  <c r="BP48" i="12"/>
  <c r="BQ48" i="12" s="1"/>
  <c r="BR48" i="12" s="1"/>
  <c r="T44" i="10"/>
  <c r="BT47" i="12"/>
  <c r="BU47" i="12" s="1"/>
  <c r="BS47" i="12"/>
  <c r="CO43" i="10"/>
  <c r="D18" i="23"/>
  <c r="O131" i="25"/>
  <c r="O77" i="25"/>
  <c r="C18" i="23"/>
  <c r="M174" i="14"/>
  <c r="M196" i="14" s="1"/>
  <c r="M176" i="14"/>
  <c r="M198" i="14" s="1"/>
  <c r="L234" i="15"/>
  <c r="M172" i="14"/>
  <c r="N50" i="15"/>
  <c r="O50" i="15" s="1"/>
  <c r="L191" i="6"/>
  <c r="BD46" i="12"/>
  <c r="BE46" i="12" s="1"/>
  <c r="BF46" i="12" s="1"/>
  <c r="L44" i="10"/>
  <c r="L142" i="15"/>
  <c r="L137" i="15" s="1"/>
  <c r="L131" i="15"/>
  <c r="L179" i="15"/>
  <c r="L174" i="15" s="1"/>
  <c r="L39" i="16" s="1"/>
  <c r="L41" i="16" s="1"/>
  <c r="M136" i="15"/>
  <c r="L166" i="15"/>
  <c r="BW47" i="10"/>
  <c r="BX46" i="10"/>
  <c r="BX47" i="10" s="1"/>
  <c r="BX48" i="10" s="1"/>
  <c r="BX49" i="10" s="1"/>
  <c r="O289" i="14"/>
  <c r="V27" i="11"/>
  <c r="X27" i="11" s="1"/>
  <c r="BB16" i="11"/>
  <c r="BB17" i="11" s="1"/>
  <c r="T28" i="11"/>
  <c r="U28" i="11"/>
  <c r="W28" i="11" s="1"/>
  <c r="Z28" i="11" s="1"/>
  <c r="Y28" i="11" s="1"/>
  <c r="D16" i="23"/>
  <c r="O129" i="25"/>
  <c r="M77" i="15"/>
  <c r="M28" i="16" s="1"/>
  <c r="AK43" i="10"/>
  <c r="O21" i="25"/>
  <c r="B16" i="23"/>
  <c r="N75" i="25"/>
  <c r="O115" i="18"/>
  <c r="K172" i="15"/>
  <c r="K167" i="15" s="1"/>
  <c r="L129" i="18" s="1"/>
  <c r="L89" i="25" s="1"/>
  <c r="K161" i="15"/>
  <c r="L128" i="18" s="1"/>
  <c r="CO44" i="10"/>
  <c r="CO46" i="10" s="1"/>
  <c r="CM46" i="10"/>
  <c r="BH45" i="12"/>
  <c r="BI45" i="12" s="1"/>
  <c r="BG45" i="12"/>
  <c r="M42" i="10"/>
  <c r="Q39" i="10" s="1"/>
  <c r="R39" i="10" s="1"/>
  <c r="K43" i="10"/>
  <c r="K44" i="10" s="1"/>
  <c r="K148" i="15"/>
  <c r="K137" i="15"/>
  <c r="F35" i="22"/>
  <c r="K14" i="17"/>
  <c r="M178" i="14"/>
  <c r="M200" i="14" s="1"/>
  <c r="E300" i="14"/>
  <c r="M175" i="14"/>
  <c r="M197" i="14" s="1"/>
  <c r="E86" i="15"/>
  <c r="E58" i="15"/>
  <c r="E84" i="15"/>
  <c r="AO39" i="10"/>
  <c r="G229" i="14"/>
  <c r="F263" i="14"/>
  <c r="F274" i="14" s="1"/>
  <c r="N160" i="14"/>
  <c r="O160" i="14" s="1"/>
  <c r="O126" i="14"/>
  <c r="N251" i="18"/>
  <c r="BJ50" i="12"/>
  <c r="BK50" i="12" s="1"/>
  <c r="BL50" i="12" s="1"/>
  <c r="M195" i="6"/>
  <c r="M237" i="15"/>
  <c r="M261" i="15"/>
  <c r="M267" i="15" s="1"/>
  <c r="N231" i="15"/>
  <c r="M274" i="15"/>
  <c r="H21" i="9"/>
  <c r="C21" i="9"/>
  <c r="AR21" i="9"/>
  <c r="AH39" i="10"/>
  <c r="A205" i="9"/>
  <c r="K204" i="9"/>
  <c r="N74" i="15"/>
  <c r="O74" i="15" s="1"/>
  <c r="O68" i="15"/>
  <c r="P44" i="12"/>
  <c r="BV44" i="12"/>
  <c r="AS3" i="11"/>
  <c r="AS13" i="11" s="1"/>
  <c r="E30" i="11"/>
  <c r="E85" i="15"/>
  <c r="AM203" i="9"/>
  <c r="AC204" i="9"/>
  <c r="Q21" i="9"/>
  <c r="V21" i="9"/>
  <c r="G191" i="6"/>
  <c r="Z46" i="12"/>
  <c r="AA46" i="12" s="1"/>
  <c r="AB46" i="12" s="1"/>
  <c r="O288" i="14"/>
  <c r="F265" i="14"/>
  <c r="G231" i="14"/>
  <c r="E88" i="15"/>
  <c r="D283" i="14"/>
  <c r="E283" i="14" s="1"/>
  <c r="F283" i="14" s="1"/>
  <c r="G283" i="14" s="1"/>
  <c r="H283" i="14" s="1"/>
  <c r="I283" i="14" s="1"/>
  <c r="J283" i="14" s="1"/>
  <c r="K283" i="14" s="1"/>
  <c r="L283" i="14" s="1"/>
  <c r="M283" i="14" s="1"/>
  <c r="N283" i="14" s="1"/>
  <c r="G226" i="14"/>
  <c r="F260" i="14"/>
  <c r="F271" i="14" s="1"/>
  <c r="D118" i="10"/>
  <c r="E113" i="10"/>
  <c r="O290" i="14"/>
  <c r="AQ47" i="10"/>
  <c r="AR46" i="10"/>
  <c r="AR47" i="10" s="1"/>
  <c r="AR48" i="10" s="1"/>
  <c r="D301" i="14"/>
  <c r="C38" i="18"/>
  <c r="C30" i="25"/>
  <c r="N139" i="15"/>
  <c r="O139" i="15" s="1"/>
  <c r="N163" i="15"/>
  <c r="N176" i="15"/>
  <c r="O176" i="15" s="1"/>
  <c r="O133" i="15"/>
  <c r="D17" i="25"/>
  <c r="M168" i="15"/>
  <c r="F46" i="12"/>
  <c r="E46" i="12"/>
  <c r="N82" i="25"/>
  <c r="O122" i="18"/>
  <c r="L15" i="25"/>
  <c r="N177" i="15"/>
  <c r="O177" i="15" s="1"/>
  <c r="N164" i="15"/>
  <c r="N140" i="15"/>
  <c r="O140" i="15" s="1"/>
  <c r="O134" i="15"/>
  <c r="BA49" i="10"/>
  <c r="BA51" i="10" s="1"/>
  <c r="AY51" i="10"/>
  <c r="AX39" i="10"/>
  <c r="L271" i="15"/>
  <c r="L50" i="16" s="1"/>
  <c r="N45" i="18"/>
  <c r="N117" i="25"/>
  <c r="O188" i="18"/>
  <c r="O117" i="25" s="1"/>
  <c r="CL39" i="10"/>
  <c r="N165" i="14"/>
  <c r="O165" i="14" s="1"/>
  <c r="O131" i="14"/>
  <c r="AF21" i="9"/>
  <c r="S42" i="12"/>
  <c r="BY42" i="12"/>
  <c r="BN49" i="12"/>
  <c r="BO49" i="12" s="1"/>
  <c r="BM49" i="12"/>
  <c r="N61" i="14"/>
  <c r="O61" i="14" s="1"/>
  <c r="O27" i="14"/>
  <c r="D41" i="18"/>
  <c r="M43" i="18"/>
  <c r="N72" i="15"/>
  <c r="O72" i="15" s="1"/>
  <c r="O66" i="15"/>
  <c r="E279" i="14"/>
  <c r="E301" i="14" s="1"/>
  <c r="N166" i="14"/>
  <c r="O166" i="14" s="1"/>
  <c r="O132" i="14"/>
  <c r="AM118" i="9"/>
  <c r="AC119" i="9"/>
  <c r="J170" i="14"/>
  <c r="J192" i="14" s="1"/>
  <c r="J89" i="14"/>
  <c r="J192" i="6"/>
  <c r="AR47" i="12"/>
  <c r="AS47" i="12" s="1"/>
  <c r="L34" i="25"/>
  <c r="L42" i="18"/>
  <c r="L33" i="25" s="1"/>
  <c r="R43" i="12"/>
  <c r="Q43" i="12"/>
  <c r="BX43" i="12" s="1"/>
  <c r="CC44" i="12" s="1"/>
  <c r="BW43" i="12"/>
  <c r="N81" i="25"/>
  <c r="O121" i="18"/>
  <c r="BU39" i="10"/>
  <c r="Y203" i="9"/>
  <c r="BA203" i="9" s="1"/>
  <c r="O204" i="9"/>
  <c r="S34" i="12"/>
  <c r="BZ33" i="12"/>
  <c r="N130" i="18"/>
  <c r="N90" i="25" s="1"/>
  <c r="N247" i="14"/>
  <c r="M246" i="14"/>
  <c r="BQ43" i="10"/>
  <c r="BA117" i="9"/>
  <c r="AJ194" i="9"/>
  <c r="AE194" i="9"/>
  <c r="N161" i="14"/>
  <c r="O161" i="14" s="1"/>
  <c r="O127" i="14"/>
  <c r="L213" i="18"/>
  <c r="L29" i="11"/>
  <c r="K29" i="11"/>
  <c r="AQ11" i="11"/>
  <c r="AQ12" i="11" s="1"/>
  <c r="M28" i="11"/>
  <c r="O28" i="11" s="1"/>
  <c r="D107" i="9"/>
  <c r="AT107" i="9" s="1"/>
  <c r="AS107" i="9"/>
  <c r="E277" i="14"/>
  <c r="E299" i="14" s="1"/>
  <c r="H193" i="6"/>
  <c r="AF48" i="12"/>
  <c r="AG48" i="12" s="1"/>
  <c r="Y118" i="9"/>
  <c r="O119" i="9"/>
  <c r="L258" i="15"/>
  <c r="L265" i="15"/>
  <c r="L264" i="15" s="1"/>
  <c r="M214" i="18" s="1"/>
  <c r="M143" i="25" s="1"/>
  <c r="C58" i="17"/>
  <c r="N58" i="14"/>
  <c r="O58" i="14" s="1"/>
  <c r="O24" i="14"/>
  <c r="G190" i="14"/>
  <c r="M216" i="18"/>
  <c r="M145" i="25" s="1"/>
  <c r="M146" i="25"/>
  <c r="L183" i="14"/>
  <c r="M183" i="14" s="1"/>
  <c r="N183" i="14" s="1"/>
  <c r="O183" i="14" s="1"/>
  <c r="K194" i="14"/>
  <c r="L80" i="14"/>
  <c r="K91" i="14"/>
  <c r="N57" i="14"/>
  <c r="N68" i="14" s="1"/>
  <c r="N22" i="14"/>
  <c r="O23" i="14"/>
  <c r="L14" i="17"/>
  <c r="G35" i="22"/>
  <c r="BM17" i="9"/>
  <c r="BW17" i="9"/>
  <c r="BW18" i="9" s="1"/>
  <c r="M144" i="15"/>
  <c r="K118" i="9"/>
  <c r="A119" i="9"/>
  <c r="K264" i="15"/>
  <c r="L214" i="18" s="1"/>
  <c r="L143" i="25" s="1"/>
  <c r="E44" i="17"/>
  <c r="AP44" i="12"/>
  <c r="AO44" i="12"/>
  <c r="E87" i="15"/>
  <c r="I7" i="13"/>
  <c r="D80" i="13"/>
  <c r="C79" i="13"/>
  <c r="N12" i="13"/>
  <c r="M11" i="13"/>
  <c r="F4" i="13"/>
  <c r="F16" i="13" s="1"/>
  <c r="F13" i="18" s="1"/>
  <c r="F32" i="13"/>
  <c r="E81" i="13"/>
  <c r="G5" i="13"/>
  <c r="L10" i="13"/>
  <c r="H6" i="13"/>
  <c r="J8" i="13"/>
  <c r="K9" i="13"/>
  <c r="DN27" i="10"/>
  <c r="CV79" i="10"/>
  <c r="N69" i="15"/>
  <c r="N45" i="15"/>
  <c r="O45" i="15" s="1"/>
  <c r="N82" i="15"/>
  <c r="O82" i="15" s="1"/>
  <c r="O39" i="15"/>
  <c r="N34" i="13"/>
  <c r="DO22" i="10"/>
  <c r="DO28" i="10" s="1"/>
  <c r="N60" i="14"/>
  <c r="O60" i="14" s="1"/>
  <c r="O26" i="14"/>
  <c r="D282" i="14"/>
  <c r="E282" i="14" s="1"/>
  <c r="F282" i="14" s="1"/>
  <c r="G282" i="14" s="1"/>
  <c r="H282" i="14" s="1"/>
  <c r="I282" i="14" s="1"/>
  <c r="J282" i="14" s="1"/>
  <c r="K282" i="14" s="1"/>
  <c r="L282" i="14" s="1"/>
  <c r="M282" i="14" s="1"/>
  <c r="N282" i="14" s="1"/>
  <c r="O135" i="25"/>
  <c r="D22" i="23"/>
  <c r="AJ47" i="12"/>
  <c r="AI47" i="12"/>
  <c r="BI47" i="10"/>
  <c r="BG48" i="10"/>
  <c r="BG49" i="10" s="1"/>
  <c r="H37" i="26"/>
  <c r="D136" i="31"/>
  <c r="D135" i="31" s="1"/>
  <c r="N41" i="15"/>
  <c r="N34" i="15"/>
  <c r="N78" i="15"/>
  <c r="N65" i="15"/>
  <c r="O35" i="15"/>
  <c r="BE44" i="10"/>
  <c r="N65" i="14"/>
  <c r="O65" i="14" s="1"/>
  <c r="O31" i="14"/>
  <c r="N163" i="14"/>
  <c r="O163" i="14" s="1"/>
  <c r="O129" i="14"/>
  <c r="N146" i="25"/>
  <c r="O217" i="18"/>
  <c r="AB46" i="10"/>
  <c r="AB47" i="10" s="1"/>
  <c r="AB48" i="10" s="1"/>
  <c r="AA47" i="10"/>
  <c r="CO42" i="12"/>
  <c r="CB42" i="12"/>
  <c r="I184" i="14"/>
  <c r="H195" i="14"/>
  <c r="H190" i="14" s="1"/>
  <c r="T49" i="12"/>
  <c r="U49" i="12" s="1"/>
  <c r="V49" i="12" s="1"/>
  <c r="F194" i="6"/>
  <c r="BA48" i="10"/>
  <c r="M242" i="18"/>
  <c r="M251" i="18"/>
  <c r="BG18" i="9"/>
  <c r="BH18" i="9" s="1"/>
  <c r="BX12" i="9"/>
  <c r="H51" i="18" s="1"/>
  <c r="L35" i="25"/>
  <c r="N66" i="14"/>
  <c r="O66" i="14" s="1"/>
  <c r="O32" i="14"/>
  <c r="AQ5" i="11"/>
  <c r="AP15" i="11"/>
  <c r="F89" i="15"/>
  <c r="G90" i="15"/>
  <c r="A33" i="9"/>
  <c r="K32" i="9"/>
  <c r="F227" i="14"/>
  <c r="E261" i="14"/>
  <c r="J212" i="18"/>
  <c r="J141" i="25" s="1"/>
  <c r="M56" i="14"/>
  <c r="M29" i="16" s="1"/>
  <c r="M30" i="16" s="1"/>
  <c r="M31" i="16" s="1"/>
  <c r="N178" i="15"/>
  <c r="O178" i="15" s="1"/>
  <c r="N165" i="15"/>
  <c r="N141" i="15"/>
  <c r="O141" i="15" s="1"/>
  <c r="O135" i="15"/>
  <c r="D95" i="15"/>
  <c r="M31" i="13"/>
  <c r="M14" i="18" s="1"/>
  <c r="M6" i="25" s="1"/>
  <c r="L46" i="12"/>
  <c r="M46" i="12" s="1"/>
  <c r="K46" i="12"/>
  <c r="D46" i="10"/>
  <c r="D47" i="10" s="1"/>
  <c r="D48" i="10" s="1"/>
  <c r="C47" i="10"/>
  <c r="AO45" i="12"/>
  <c r="AP45" i="12"/>
  <c r="AQ45" i="12" s="1"/>
  <c r="C258" i="14"/>
  <c r="D224" i="14"/>
  <c r="E225" i="14"/>
  <c r="D259" i="14"/>
  <c r="D258" i="14" s="1"/>
  <c r="D51" i="16" s="1"/>
  <c r="D52" i="16" s="1"/>
  <c r="BQ44" i="10"/>
  <c r="BQ46" i="10" s="1"/>
  <c r="BO46" i="10"/>
  <c r="M48" i="13"/>
  <c r="M23" i="18" s="1"/>
  <c r="M47" i="15"/>
  <c r="L46" i="15"/>
  <c r="CM23" i="12"/>
  <c r="BY34" i="12"/>
  <c r="D293" i="14"/>
  <c r="N59" i="14"/>
  <c r="O59" i="14" s="1"/>
  <c r="O25" i="14"/>
  <c r="N45" i="12"/>
  <c r="O45" i="12" s="1"/>
  <c r="E190" i="6"/>
  <c r="N62" i="14"/>
  <c r="O62" i="14" s="1"/>
  <c r="O28" i="14"/>
  <c r="C193" i="6"/>
  <c r="B48" i="12"/>
  <c r="C48" i="12" s="1"/>
  <c r="D285" i="14"/>
  <c r="N28" i="11"/>
  <c r="BC8" i="11"/>
  <c r="N162" i="14"/>
  <c r="O162" i="14" s="1"/>
  <c r="O128" i="14"/>
  <c r="I107" i="9"/>
  <c r="AX107" i="9"/>
  <c r="G108" i="9"/>
  <c r="AW108" i="9" s="1"/>
  <c r="L107" i="9"/>
  <c r="K14" i="25"/>
  <c r="N49" i="15"/>
  <c r="O49" i="15" s="1"/>
  <c r="E35" i="18"/>
  <c r="E31" i="18"/>
  <c r="D46" i="17"/>
  <c r="D15" i="17"/>
  <c r="AW44" i="12"/>
  <c r="N158" i="14"/>
  <c r="N123" i="14"/>
  <c r="O124" i="14"/>
  <c r="N64" i="14"/>
  <c r="O64" i="14" s="1"/>
  <c r="N75" i="14"/>
  <c r="O30" i="14"/>
  <c r="J39" i="10"/>
  <c r="N146" i="15"/>
  <c r="O146" i="15" s="1"/>
  <c r="D284" i="14"/>
  <c r="E284" i="14" s="1"/>
  <c r="F284" i="14" s="1"/>
  <c r="G284" i="14" s="1"/>
  <c r="H284" i="14" s="1"/>
  <c r="I284" i="14" s="1"/>
  <c r="J284" i="14" s="1"/>
  <c r="K284" i="14" s="1"/>
  <c r="L284" i="14" s="1"/>
  <c r="M284" i="14" s="1"/>
  <c r="N284" i="14" s="1"/>
  <c r="N44" i="14"/>
  <c r="O45" i="14"/>
  <c r="M243" i="15"/>
  <c r="AC35" i="9"/>
  <c r="AM34" i="9"/>
  <c r="O27" i="25"/>
  <c r="B22" i="23"/>
  <c r="CF46" i="10"/>
  <c r="CF47" i="10" s="1"/>
  <c r="CF48" i="10" s="1"/>
  <c r="CE47" i="10"/>
  <c r="N233" i="15"/>
  <c r="M263" i="15"/>
  <c r="M269" i="15" s="1"/>
  <c r="M239" i="15"/>
  <c r="M245" i="15" s="1"/>
  <c r="M276" i="15"/>
  <c r="J188" i="14"/>
  <c r="I199" i="14"/>
  <c r="BB9" i="11"/>
  <c r="BB10" i="11" s="1"/>
  <c r="Q27" i="11"/>
  <c r="P27" i="11" s="1"/>
  <c r="M215" i="18"/>
  <c r="M144" i="25" s="1"/>
  <c r="F264" i="14"/>
  <c r="F275" i="14" s="1"/>
  <c r="G230" i="14"/>
  <c r="Y46" i="12"/>
  <c r="AE110" i="9"/>
  <c r="AJ110" i="9"/>
  <c r="K142" i="25"/>
  <c r="K212" i="18"/>
  <c r="K141" i="25" s="1"/>
  <c r="AC45" i="12"/>
  <c r="AD45" i="12"/>
  <c r="AE45" i="12" s="1"/>
  <c r="E33" i="14"/>
  <c r="E34" i="18"/>
  <c r="C193" i="9"/>
  <c r="H193" i="9"/>
  <c r="AR193" i="9"/>
  <c r="F278" i="14"/>
  <c r="F300" i="14" s="1"/>
  <c r="F267" i="14"/>
  <c r="G233" i="14"/>
  <c r="L174" i="28"/>
  <c r="F107" i="10"/>
  <c r="M157" i="14"/>
  <c r="M40" i="16" s="1"/>
  <c r="N73" i="15"/>
  <c r="O73" i="15" s="1"/>
  <c r="O67" i="15"/>
  <c r="D287" i="14"/>
  <c r="AK44" i="10"/>
  <c r="AK46" i="10" s="1"/>
  <c r="AI46" i="10"/>
  <c r="D286" i="14"/>
  <c r="N162" i="15"/>
  <c r="N138" i="15"/>
  <c r="N175" i="15"/>
  <c r="O132" i="15"/>
  <c r="BH49" i="10"/>
  <c r="BI48" i="10"/>
  <c r="BK17" i="9"/>
  <c r="BW14" i="9"/>
  <c r="S195" i="9"/>
  <c r="P195" i="9" s="1"/>
  <c r="T194" i="9"/>
  <c r="Y32" i="9"/>
  <c r="O33" i="9"/>
  <c r="D299" i="14"/>
  <c r="N159" i="14"/>
  <c r="O159" i="14" s="1"/>
  <c r="O125" i="14"/>
  <c r="M71" i="15"/>
  <c r="M70" i="15" s="1"/>
  <c r="N44" i="18" s="1"/>
  <c r="N35" i="25" s="1"/>
  <c r="M64" i="15"/>
  <c r="M40" i="15"/>
  <c r="C295" i="14"/>
  <c r="M228" i="15"/>
  <c r="M235" i="15"/>
  <c r="M272" i="15"/>
  <c r="M259" i="15"/>
  <c r="N229" i="15"/>
  <c r="D121" i="13"/>
  <c r="J127" i="13"/>
  <c r="N53" i="13"/>
  <c r="C120" i="13"/>
  <c r="F123" i="13"/>
  <c r="K128" i="13"/>
  <c r="H125" i="13"/>
  <c r="M52" i="13"/>
  <c r="M63" i="13" s="1"/>
  <c r="M24" i="18" s="1"/>
  <c r="M16" i="25" s="1"/>
  <c r="G124" i="13"/>
  <c r="L51" i="13"/>
  <c r="L63" i="13" s="1"/>
  <c r="L24" i="18" s="1"/>
  <c r="L22" i="18" s="1"/>
  <c r="E122" i="13"/>
  <c r="I126" i="13"/>
  <c r="L48" i="18"/>
  <c r="O32" i="16"/>
  <c r="G45" i="12"/>
  <c r="AC44" i="12"/>
  <c r="AD44" i="12"/>
  <c r="AN21" i="9"/>
  <c r="AI22" i="9"/>
  <c r="AK21" i="9"/>
  <c r="AL21" i="9" s="1"/>
  <c r="BX42" i="12"/>
  <c r="K240" i="15"/>
  <c r="L241" i="15"/>
  <c r="N17" i="13"/>
  <c r="CN22" i="12"/>
  <c r="CN25" i="12" s="1"/>
  <c r="Q88" i="13" s="1"/>
  <c r="N230" i="15"/>
  <c r="M273" i="15"/>
  <c r="M236" i="15"/>
  <c r="M242" i="15" s="1"/>
  <c r="M260" i="15"/>
  <c r="M266" i="15" s="1"/>
  <c r="V48" i="12"/>
  <c r="M238" i="15"/>
  <c r="M244" i="15" s="1"/>
  <c r="M262" i="15"/>
  <c r="M268" i="15" s="1"/>
  <c r="M275" i="15"/>
  <c r="N232" i="15"/>
  <c r="N167" i="14"/>
  <c r="O167" i="14" s="1"/>
  <c r="O133" i="14"/>
  <c r="AR4" i="11"/>
  <c r="AR14" i="11" s="1"/>
  <c r="F137" i="18" s="1"/>
  <c r="F97" i="25" s="1"/>
  <c r="H29" i="11"/>
  <c r="G29" i="11" s="1"/>
  <c r="F268" i="14"/>
  <c r="F279" i="14"/>
  <c r="F301" i="14" s="1"/>
  <c r="G234" i="14"/>
  <c r="M45" i="12"/>
  <c r="L100" i="28"/>
  <c r="N164" i="14"/>
  <c r="O164" i="14" s="1"/>
  <c r="O130" i="14"/>
  <c r="E31" i="25"/>
  <c r="BA31" i="9"/>
  <c r="BN28" i="9" s="1"/>
  <c r="D294" i="14"/>
  <c r="CM24" i="12"/>
  <c r="CN24" i="12" s="1"/>
  <c r="BX34" i="12"/>
  <c r="AV46" i="12"/>
  <c r="AW46" i="12" s="1"/>
  <c r="AU46" i="12"/>
  <c r="H47" i="12"/>
  <c r="I47" i="12" s="1"/>
  <c r="J47" i="12" s="1"/>
  <c r="D192" i="6"/>
  <c r="I191" i="6"/>
  <c r="AL46" i="12"/>
  <c r="AM46" i="12" s="1"/>
  <c r="C281" i="14"/>
  <c r="C292" i="14" s="1"/>
  <c r="L127" i="18"/>
  <c r="L87" i="25" s="1"/>
  <c r="L88" i="25"/>
  <c r="N136" i="25"/>
  <c r="O207" i="18"/>
  <c r="E262" i="14"/>
  <c r="E273" i="14" s="1"/>
  <c r="E295" i="14" s="1"/>
  <c r="F228" i="14"/>
  <c r="P109" i="9"/>
  <c r="N145" i="14"/>
  <c r="O146" i="14"/>
  <c r="D47" i="12"/>
  <c r="N63" i="14"/>
  <c r="O63" i="14" s="1"/>
  <c r="N74" i="14"/>
  <c r="O29" i="14"/>
  <c r="C31" i="11"/>
  <c r="AG6" i="11"/>
  <c r="AG7" i="11" s="1"/>
  <c r="D30" i="11"/>
  <c r="F30" i="11" s="1"/>
  <c r="B31" i="11"/>
  <c r="BO47" i="12"/>
  <c r="F266" i="14"/>
  <c r="F277" i="14" s="1"/>
  <c r="G232" i="14"/>
  <c r="N48" i="15"/>
  <c r="O48" i="15" s="1"/>
  <c r="L194" i="14"/>
  <c r="BT48" i="12" l="1"/>
  <c r="BU48" i="12" s="1"/>
  <c r="BS48" i="12"/>
  <c r="BP49" i="12"/>
  <c r="BQ49" i="12" s="1"/>
  <c r="BR49" i="12" s="1"/>
  <c r="N194" i="6"/>
  <c r="O284" i="14"/>
  <c r="U44" i="10"/>
  <c r="U46" i="10" s="1"/>
  <c r="S46" i="10"/>
  <c r="AX49" i="12"/>
  <c r="AY49" i="12" s="1"/>
  <c r="AZ49" i="12" s="1"/>
  <c r="K194" i="6"/>
  <c r="BA48" i="12"/>
  <c r="BB48" i="12"/>
  <c r="BC48" i="12" s="1"/>
  <c r="U43" i="10"/>
  <c r="L148" i="15"/>
  <c r="K143" i="15"/>
  <c r="BW48" i="10"/>
  <c r="BY47" i="10"/>
  <c r="CC44" i="10" s="1"/>
  <c r="BH46" i="12"/>
  <c r="BI46" i="12" s="1"/>
  <c r="BG46" i="12"/>
  <c r="S89" i="13"/>
  <c r="N70" i="14"/>
  <c r="O44" i="18"/>
  <c r="M44" i="10"/>
  <c r="M46" i="10" s="1"/>
  <c r="K46" i="10"/>
  <c r="L172" i="15"/>
  <c r="L167" i="15" s="1"/>
  <c r="M129" i="18" s="1"/>
  <c r="M89" i="25" s="1"/>
  <c r="L161" i="15"/>
  <c r="M128" i="18" s="1"/>
  <c r="BD47" i="12"/>
  <c r="BE47" i="12" s="1"/>
  <c r="BF47" i="12" s="1"/>
  <c r="L192" i="6"/>
  <c r="M234" i="15"/>
  <c r="CM47" i="10"/>
  <c r="CN46" i="10"/>
  <c r="CN47" i="10" s="1"/>
  <c r="CN48" i="10" s="1"/>
  <c r="C16" i="23"/>
  <c r="O75" i="25"/>
  <c r="M142" i="15"/>
  <c r="M137" i="15" s="1"/>
  <c r="M166" i="15"/>
  <c r="M131" i="15"/>
  <c r="M179" i="15"/>
  <c r="M174" i="15" s="1"/>
  <c r="M39" i="16" s="1"/>
  <c r="N136" i="15"/>
  <c r="M43" i="10"/>
  <c r="CZ39" i="10" s="1"/>
  <c r="N72" i="14"/>
  <c r="U29" i="11"/>
  <c r="W29" i="11" s="1"/>
  <c r="Z29" i="11" s="1"/>
  <c r="Y29" i="11" s="1"/>
  <c r="V28" i="11"/>
  <c r="X28" i="11" s="1"/>
  <c r="BC16" i="11"/>
  <c r="BC17" i="11" s="1"/>
  <c r="T29" i="11"/>
  <c r="F299" i="14"/>
  <c r="L14" i="25"/>
  <c r="C291" i="14"/>
  <c r="F47" i="12"/>
  <c r="E47" i="12"/>
  <c r="AE44" i="12"/>
  <c r="T91" i="13"/>
  <c r="W94" i="13"/>
  <c r="Z96" i="13"/>
  <c r="A34" i="9"/>
  <c r="K33" i="9"/>
  <c r="BF44" i="10"/>
  <c r="O34" i="15"/>
  <c r="N90" i="14"/>
  <c r="O68" i="14"/>
  <c r="BV39" i="10"/>
  <c r="N94" i="14"/>
  <c r="O94" i="14" s="1"/>
  <c r="O72" i="14"/>
  <c r="CB43" i="12"/>
  <c r="N170" i="15"/>
  <c r="O170" i="15" s="1"/>
  <c r="O164" i="15"/>
  <c r="F293" i="14"/>
  <c r="W21" i="9"/>
  <c r="X21" i="9" s="1"/>
  <c r="U22" i="9"/>
  <c r="Z21" i="9"/>
  <c r="AS4" i="11"/>
  <c r="AS14" i="11" s="1"/>
  <c r="G137" i="18" s="1"/>
  <c r="G97" i="25" s="1"/>
  <c r="H30" i="11"/>
  <c r="G30" i="11" s="1"/>
  <c r="I21" i="9"/>
  <c r="G22" i="9"/>
  <c r="AX21" i="9"/>
  <c r="L21" i="9"/>
  <c r="N261" i="15"/>
  <c r="N274" i="15"/>
  <c r="O274" i="15" s="1"/>
  <c r="N237" i="15"/>
  <c r="O237" i="15" s="1"/>
  <c r="O231" i="15"/>
  <c r="BN50" i="12"/>
  <c r="BM50" i="12"/>
  <c r="G263" i="14"/>
  <c r="G274" i="14" s="1"/>
  <c r="H229" i="14"/>
  <c r="E83" i="15"/>
  <c r="C32" i="11"/>
  <c r="D31" i="11"/>
  <c r="F31" i="11" s="1"/>
  <c r="AH6" i="11"/>
  <c r="AH7" i="11" s="1"/>
  <c r="B32" i="11"/>
  <c r="Q109" i="9"/>
  <c r="V109" i="9"/>
  <c r="AL47" i="12"/>
  <c r="AM47" i="12" s="1"/>
  <c r="AN47" i="12" s="1"/>
  <c r="I192" i="6"/>
  <c r="L47" i="12"/>
  <c r="K47" i="12"/>
  <c r="X48" i="12"/>
  <c r="W48" i="12"/>
  <c r="N19" i="13"/>
  <c r="N31" i="13" s="1"/>
  <c r="N14" i="18" s="1"/>
  <c r="I92" i="13"/>
  <c r="W92" i="13" s="1"/>
  <c r="J93" i="13"/>
  <c r="X93" i="13" s="1"/>
  <c r="F89" i="13"/>
  <c r="T89" i="13" s="1"/>
  <c r="G90" i="13"/>
  <c r="U90" i="13" s="1"/>
  <c r="C86" i="13"/>
  <c r="Q86" i="13" s="1"/>
  <c r="D87" i="13"/>
  <c r="R87" i="13" s="1"/>
  <c r="M96" i="13"/>
  <c r="AA96" i="13" s="1"/>
  <c r="E88" i="13"/>
  <c r="S88" i="13" s="1"/>
  <c r="K94" i="13"/>
  <c r="Y94" i="13" s="1"/>
  <c r="L95" i="13"/>
  <c r="Z95" i="13" s="1"/>
  <c r="H91" i="13"/>
  <c r="V91" i="13" s="1"/>
  <c r="O17" i="13"/>
  <c r="CB44" i="12"/>
  <c r="Q195" i="9"/>
  <c r="V195" i="9"/>
  <c r="O175" i="15"/>
  <c r="N168" i="15"/>
  <c r="O162" i="15"/>
  <c r="S90" i="13"/>
  <c r="E25" i="25"/>
  <c r="AN110" i="9"/>
  <c r="AK110" i="9"/>
  <c r="AL110" i="9" s="1"/>
  <c r="AI111" i="9"/>
  <c r="T90" i="13"/>
  <c r="CY44" i="10"/>
  <c r="DA39" i="10"/>
  <c r="DG23" i="10" s="1"/>
  <c r="O123" i="14"/>
  <c r="V93" i="13"/>
  <c r="E15" i="22"/>
  <c r="E26" i="25"/>
  <c r="AY107" i="9"/>
  <c r="J107" i="9"/>
  <c r="AZ107" i="9" s="1"/>
  <c r="E285" i="14"/>
  <c r="D296" i="14"/>
  <c r="N73" i="14"/>
  <c r="F225" i="14"/>
  <c r="E224" i="14"/>
  <c r="E259" i="14"/>
  <c r="E258" i="14" s="1"/>
  <c r="E51" i="16" s="1"/>
  <c r="E52" i="16" s="1"/>
  <c r="E272" i="14"/>
  <c r="G89" i="15"/>
  <c r="G40" i="18" s="1"/>
  <c r="H90" i="15"/>
  <c r="AR5" i="11"/>
  <c r="AQ15" i="11"/>
  <c r="T50" i="12"/>
  <c r="U50" i="12" s="1"/>
  <c r="F195" i="6"/>
  <c r="J184" i="14"/>
  <c r="I195" i="14"/>
  <c r="I190" i="14" s="1"/>
  <c r="D33" i="23"/>
  <c r="O146" i="25"/>
  <c r="N76" i="14"/>
  <c r="BM44" i="10"/>
  <c r="O282" i="14"/>
  <c r="N75" i="15"/>
  <c r="O75" i="15" s="1"/>
  <c r="O69" i="15"/>
  <c r="X95" i="13"/>
  <c r="F6" i="22"/>
  <c r="E13" i="17"/>
  <c r="Q79" i="13"/>
  <c r="U91" i="13"/>
  <c r="N56" i="14"/>
  <c r="O57" i="14"/>
  <c r="N69" i="14"/>
  <c r="M213" i="18"/>
  <c r="E293" i="14"/>
  <c r="AR11" i="11"/>
  <c r="AR12" i="11" s="1"/>
  <c r="M29" i="11"/>
  <c r="O29" i="11" s="1"/>
  <c r="L30" i="11"/>
  <c r="K30" i="11"/>
  <c r="D32" i="25"/>
  <c r="D39" i="18"/>
  <c r="BZ42" i="12"/>
  <c r="G46" i="12"/>
  <c r="F112" i="10"/>
  <c r="G271" i="14"/>
  <c r="G293" i="14" s="1"/>
  <c r="H226" i="14"/>
  <c r="G260" i="14"/>
  <c r="R21" i="9"/>
  <c r="A206" i="9"/>
  <c r="K205" i="9"/>
  <c r="Q87" i="13"/>
  <c r="AP39" i="10"/>
  <c r="E33" i="15"/>
  <c r="E76" i="15" s="1"/>
  <c r="N145" i="15"/>
  <c r="O145" i="15" s="1"/>
  <c r="N147" i="15"/>
  <c r="O147" i="15" s="1"/>
  <c r="AT3" i="11"/>
  <c r="AT13" i="11" s="1"/>
  <c r="E31" i="11"/>
  <c r="F262" i="14"/>
  <c r="G228" i="14"/>
  <c r="AN46" i="12"/>
  <c r="N272" i="15"/>
  <c r="N259" i="15"/>
  <c r="N235" i="15"/>
  <c r="N228" i="15"/>
  <c r="O229" i="15"/>
  <c r="G107" i="13"/>
  <c r="M113" i="13"/>
  <c r="F106" i="13"/>
  <c r="L112" i="13"/>
  <c r="H108" i="13"/>
  <c r="E105" i="13"/>
  <c r="C103" i="13"/>
  <c r="K111" i="13"/>
  <c r="N36" i="13"/>
  <c r="N48" i="13" s="1"/>
  <c r="N23" i="18" s="1"/>
  <c r="D104" i="13"/>
  <c r="J110" i="13"/>
  <c r="I109" i="13"/>
  <c r="O34" i="13"/>
  <c r="U92" i="13"/>
  <c r="N246" i="14"/>
  <c r="O247" i="14"/>
  <c r="CO43" i="12"/>
  <c r="CC42" i="12"/>
  <c r="D83" i="13" s="1"/>
  <c r="AR48" i="12"/>
  <c r="AS48" i="12" s="1"/>
  <c r="AT48" i="12" s="1"/>
  <c r="J193" i="6"/>
  <c r="N96" i="14"/>
  <c r="O96" i="14" s="1"/>
  <c r="O74" i="14"/>
  <c r="R88" i="13"/>
  <c r="L240" i="15"/>
  <c r="M241" i="15"/>
  <c r="AG22" i="9"/>
  <c r="AD22" i="9" s="1"/>
  <c r="AH21" i="9"/>
  <c r="L39" i="25"/>
  <c r="L46" i="18"/>
  <c r="O48" i="18"/>
  <c r="L16" i="25"/>
  <c r="M258" i="15"/>
  <c r="M265" i="15"/>
  <c r="M264" i="15" s="1"/>
  <c r="N214" i="18" s="1"/>
  <c r="N143" i="25" s="1"/>
  <c r="Y33" i="9"/>
  <c r="O34" i="9"/>
  <c r="E286" i="14"/>
  <c r="D297" i="14"/>
  <c r="AJ46" i="10"/>
  <c r="AJ47" i="10" s="1"/>
  <c r="AJ48" i="10" s="1"/>
  <c r="AI47" i="10"/>
  <c r="E287" i="14"/>
  <c r="D298" i="14"/>
  <c r="H233" i="14"/>
  <c r="G267" i="14"/>
  <c r="G278" i="14" s="1"/>
  <c r="G300" i="14" s="1"/>
  <c r="I193" i="9"/>
  <c r="L193" i="9"/>
  <c r="G194" i="9"/>
  <c r="AW194" i="9" s="1"/>
  <c r="AX193" i="9"/>
  <c r="AF110" i="9"/>
  <c r="H230" i="14"/>
  <c r="G264" i="14"/>
  <c r="G275" i="14" s="1"/>
  <c r="N263" i="15"/>
  <c r="N239" i="15"/>
  <c r="O239" i="15" s="1"/>
  <c r="N276" i="15"/>
  <c r="O276" i="15" s="1"/>
  <c r="O233" i="15"/>
  <c r="AM35" i="9"/>
  <c r="AC36" i="9"/>
  <c r="N97" i="14"/>
  <c r="O97" i="14" s="1"/>
  <c r="O75" i="14"/>
  <c r="D48" i="17"/>
  <c r="E108" i="9"/>
  <c r="F107" i="9"/>
  <c r="AV107" i="9" s="1"/>
  <c r="BB107" i="9"/>
  <c r="BC9" i="11"/>
  <c r="BC10" i="11" s="1"/>
  <c r="Q28" i="11"/>
  <c r="P28" i="11" s="1"/>
  <c r="D48" i="12"/>
  <c r="N92" i="14"/>
  <c r="O92" i="14" s="1"/>
  <c r="O70" i="14"/>
  <c r="N49" i="13"/>
  <c r="N64" i="13" s="1"/>
  <c r="CN23" i="12"/>
  <c r="CN27" i="12" s="1"/>
  <c r="Y128" i="13" s="1"/>
  <c r="N47" i="15"/>
  <c r="M46" i="15"/>
  <c r="X94" i="13"/>
  <c r="F261" i="14"/>
  <c r="F272" i="14" s="1"/>
  <c r="F294" i="14" s="1"/>
  <c r="G227" i="14"/>
  <c r="F40" i="18"/>
  <c r="X49" i="12"/>
  <c r="Y49" i="12" s="1"/>
  <c r="W49" i="12"/>
  <c r="C83" i="13"/>
  <c r="AC47" i="10"/>
  <c r="AA48" i="10"/>
  <c r="AA49" i="10" s="1"/>
  <c r="N64" i="15"/>
  <c r="N71" i="15"/>
  <c r="O65" i="15"/>
  <c r="N40" i="15"/>
  <c r="O40" i="15" s="1"/>
  <c r="O41" i="15"/>
  <c r="M41" i="16"/>
  <c r="F5" i="25"/>
  <c r="F12" i="18"/>
  <c r="R80" i="13"/>
  <c r="N144" i="15"/>
  <c r="K170" i="14"/>
  <c r="K192" i="14" s="1"/>
  <c r="K89" i="14"/>
  <c r="Y119" i="9"/>
  <c r="O120" i="9"/>
  <c r="AH48" i="12"/>
  <c r="BD8" i="11"/>
  <c r="N29" i="11"/>
  <c r="L142" i="25"/>
  <c r="L212" i="18"/>
  <c r="L141" i="25" s="1"/>
  <c r="AF194" i="9"/>
  <c r="CM26" i="12"/>
  <c r="CN26" i="12" s="1"/>
  <c r="BZ34" i="12"/>
  <c r="C22" i="23"/>
  <c r="O81" i="25"/>
  <c r="S43" i="12"/>
  <c r="BZ43" i="12" s="1"/>
  <c r="CC46" i="12" s="1"/>
  <c r="BY43" i="12"/>
  <c r="CC43" i="12" s="1"/>
  <c r="D115" i="13" s="1"/>
  <c r="M42" i="18"/>
  <c r="M33" i="25" s="1"/>
  <c r="M34" i="25"/>
  <c r="CX39" i="10"/>
  <c r="N36" i="25"/>
  <c r="O45" i="18"/>
  <c r="AZ51" i="10"/>
  <c r="AZ52" i="10" s="1"/>
  <c r="AZ53" i="10" s="1"/>
  <c r="AY52" i="10"/>
  <c r="C23" i="23"/>
  <c r="O82" i="25"/>
  <c r="N169" i="15"/>
  <c r="O169" i="15" s="1"/>
  <c r="O163" i="15"/>
  <c r="CD44" i="10"/>
  <c r="C29" i="25"/>
  <c r="AR49" i="10"/>
  <c r="E118" i="10"/>
  <c r="D123" i="10"/>
  <c r="R89" i="13"/>
  <c r="G265" i="14"/>
  <c r="G276" i="14" s="1"/>
  <c r="H231" i="14"/>
  <c r="AC46" i="12"/>
  <c r="AD46" i="12"/>
  <c r="AE46" i="12" s="1"/>
  <c r="AC205" i="9"/>
  <c r="AM204" i="9"/>
  <c r="N51" i="15"/>
  <c r="O51" i="15" s="1"/>
  <c r="D281" i="14"/>
  <c r="E281" i="14" s="1"/>
  <c r="F281" i="14" s="1"/>
  <c r="G281" i="14" s="1"/>
  <c r="H281" i="14" s="1"/>
  <c r="I281" i="14" s="1"/>
  <c r="J281" i="14" s="1"/>
  <c r="K281" i="14" s="1"/>
  <c r="L281" i="14" s="1"/>
  <c r="M281" i="14" s="1"/>
  <c r="N281" i="14" s="1"/>
  <c r="H48" i="12"/>
  <c r="I48" i="12" s="1"/>
  <c r="J48" i="12" s="1"/>
  <c r="D193" i="6"/>
  <c r="R96" i="13"/>
  <c r="Q95" i="13"/>
  <c r="Q96" i="13"/>
  <c r="R95" i="13"/>
  <c r="R94" i="13"/>
  <c r="Q94" i="13"/>
  <c r="T96" i="13"/>
  <c r="S96" i="13"/>
  <c r="S95" i="13"/>
  <c r="Q93" i="13"/>
  <c r="T94" i="13"/>
  <c r="S94" i="13"/>
  <c r="Q81" i="13"/>
  <c r="Q91" i="13"/>
  <c r="Q92" i="13"/>
  <c r="U95" i="13"/>
  <c r="S93" i="13"/>
  <c r="R93" i="13"/>
  <c r="R92" i="13"/>
  <c r="T95" i="13"/>
  <c r="U96" i="13"/>
  <c r="V96" i="13"/>
  <c r="R81" i="13"/>
  <c r="Q89" i="13"/>
  <c r="W95" i="13"/>
  <c r="S92" i="13"/>
  <c r="R90" i="13"/>
  <c r="R91" i="13"/>
  <c r="T92" i="13"/>
  <c r="W96" i="13"/>
  <c r="V95" i="13"/>
  <c r="V94" i="13"/>
  <c r="Q90" i="13"/>
  <c r="S91" i="13"/>
  <c r="X96" i="13"/>
  <c r="U93" i="13"/>
  <c r="U94" i="13"/>
  <c r="T93" i="13"/>
  <c r="Q80" i="13"/>
  <c r="W126" i="13"/>
  <c r="N43" i="18"/>
  <c r="K188" i="14"/>
  <c r="J199" i="14"/>
  <c r="CF49" i="10"/>
  <c r="P45" i="12"/>
  <c r="BV45" i="12"/>
  <c r="BP46" i="10"/>
  <c r="BP47" i="10" s="1"/>
  <c r="BP48" i="10" s="1"/>
  <c r="BO47" i="10"/>
  <c r="D49" i="10"/>
  <c r="B30" i="23"/>
  <c r="O35" i="25"/>
  <c r="AK47" i="12"/>
  <c r="S81" i="13"/>
  <c r="BA118" i="9"/>
  <c r="O205" i="9"/>
  <c r="Y204" i="9"/>
  <c r="W93" i="13"/>
  <c r="H232" i="14"/>
  <c r="G266" i="14"/>
  <c r="G277" i="14" s="1"/>
  <c r="F65" i="26"/>
  <c r="C162" i="31" s="1"/>
  <c r="C215" i="18"/>
  <c r="O145" i="14"/>
  <c r="O136" i="25"/>
  <c r="D23" i="23"/>
  <c r="Y95" i="13"/>
  <c r="H234" i="14"/>
  <c r="G268" i="14"/>
  <c r="G279" i="14" s="1"/>
  <c r="N238" i="15"/>
  <c r="O238" i="15" s="1"/>
  <c r="N262" i="15"/>
  <c r="N275" i="15"/>
  <c r="O275" i="15" s="1"/>
  <c r="O232" i="15"/>
  <c r="N260" i="15"/>
  <c r="N236" i="15"/>
  <c r="O236" i="15" s="1"/>
  <c r="N273" i="15"/>
  <c r="O273" i="15" s="1"/>
  <c r="O230" i="15"/>
  <c r="U124" i="13"/>
  <c r="T123" i="13"/>
  <c r="R121" i="13"/>
  <c r="M271" i="15"/>
  <c r="M50" i="16" s="1"/>
  <c r="O138" i="15"/>
  <c r="D193" i="9"/>
  <c r="AT193" i="9" s="1"/>
  <c r="AS193" i="9"/>
  <c r="E78" i="14"/>
  <c r="E67" i="14"/>
  <c r="E21" i="14"/>
  <c r="E55" i="14" s="1"/>
  <c r="E16" i="22" s="1"/>
  <c r="CG47" i="10"/>
  <c r="CE48" i="10"/>
  <c r="CE49" i="10" s="1"/>
  <c r="C130" i="18"/>
  <c r="D65" i="26"/>
  <c r="B162" i="31" s="1"/>
  <c r="O44" i="14"/>
  <c r="CW39" i="10"/>
  <c r="N157" i="14"/>
  <c r="O158" i="14"/>
  <c r="E22" i="25"/>
  <c r="E26" i="18"/>
  <c r="N173" i="14"/>
  <c r="C194" i="6"/>
  <c r="B49" i="12"/>
  <c r="C49" i="12" s="1"/>
  <c r="E191" i="6"/>
  <c r="N46" i="12"/>
  <c r="O46" i="12" s="1"/>
  <c r="M15" i="25"/>
  <c r="M22" i="18"/>
  <c r="D270" i="14"/>
  <c r="C51" i="16"/>
  <c r="E47" i="10"/>
  <c r="C48" i="10"/>
  <c r="C49" i="10" s="1"/>
  <c r="N171" i="15"/>
  <c r="O171" i="15" s="1"/>
  <c r="O165" i="15"/>
  <c r="BA32" i="9"/>
  <c r="BN29" i="9" s="1"/>
  <c r="M127" i="18"/>
  <c r="M87" i="25" s="1"/>
  <c r="M88" i="25"/>
  <c r="N77" i="14"/>
  <c r="H42" i="25"/>
  <c r="H21" i="22"/>
  <c r="AB49" i="10"/>
  <c r="AC48" i="10"/>
  <c r="N77" i="15"/>
  <c r="N28" i="16" s="1"/>
  <c r="O78" i="15"/>
  <c r="O77" i="15" s="1"/>
  <c r="BI49" i="10"/>
  <c r="BI51" i="10" s="1"/>
  <c r="BG51" i="10"/>
  <c r="N71" i="14"/>
  <c r="C53" i="18"/>
  <c r="D53" i="18"/>
  <c r="E53" i="18"/>
  <c r="M45" i="17"/>
  <c r="N45" i="17" s="1"/>
  <c r="DO27" i="10"/>
  <c r="AQ44" i="12"/>
  <c r="K119" i="9"/>
  <c r="A120" i="9"/>
  <c r="D295" i="14"/>
  <c r="O22" i="14"/>
  <c r="M80" i="14"/>
  <c r="L91" i="14"/>
  <c r="AF49" i="12"/>
  <c r="AG49" i="12" s="1"/>
  <c r="AH49" i="12" s="1"/>
  <c r="H194" i="6"/>
  <c r="AN194" i="9"/>
  <c r="AK194" i="9"/>
  <c r="AL194" i="9" s="1"/>
  <c r="AI195" i="9"/>
  <c r="N215" i="18"/>
  <c r="N144" i="25" s="1"/>
  <c r="V92" i="13"/>
  <c r="AT47" i="12"/>
  <c r="AC120" i="9"/>
  <c r="AM119" i="9"/>
  <c r="N176" i="14"/>
  <c r="AS47" i="10"/>
  <c r="AQ48" i="10"/>
  <c r="AQ49" i="10" s="1"/>
  <c r="Y96" i="13"/>
  <c r="O283" i="14"/>
  <c r="F276" i="14"/>
  <c r="Z47" i="12"/>
  <c r="AA47" i="12" s="1"/>
  <c r="G192" i="6"/>
  <c r="Q44" i="12"/>
  <c r="R44" i="12"/>
  <c r="BW44" i="12"/>
  <c r="AS21" i="9"/>
  <c r="D21" i="9"/>
  <c r="BJ51" i="12"/>
  <c r="BK51" i="12" s="1"/>
  <c r="BL51" i="12" s="1"/>
  <c r="M196" i="6"/>
  <c r="M194" i="14"/>
  <c r="BA49" i="12" l="1"/>
  <c r="BB49" i="12"/>
  <c r="BC49" i="12" s="1"/>
  <c r="S47" i="10"/>
  <c r="T46" i="10"/>
  <c r="T47" i="10" s="1"/>
  <c r="T48" i="10" s="1"/>
  <c r="N195" i="6"/>
  <c r="BP50" i="12"/>
  <c r="BQ50" i="12" s="1"/>
  <c r="BR50" i="12" s="1"/>
  <c r="O281" i="14"/>
  <c r="BS49" i="12"/>
  <c r="BT49" i="12"/>
  <c r="BU49" i="12" s="1"/>
  <c r="AX50" i="12"/>
  <c r="AY50" i="12" s="1"/>
  <c r="AZ50" i="12" s="1"/>
  <c r="K195" i="6"/>
  <c r="Q120" i="13"/>
  <c r="T30" i="11"/>
  <c r="U30" i="11"/>
  <c r="W30" i="11" s="1"/>
  <c r="Z30" i="11" s="1"/>
  <c r="Y30" i="11" s="1"/>
  <c r="V29" i="11"/>
  <c r="X29" i="11" s="1"/>
  <c r="BD16" i="11"/>
  <c r="BD17" i="11" s="1"/>
  <c r="BD48" i="12"/>
  <c r="BE48" i="12" s="1"/>
  <c r="BF48" i="12" s="1"/>
  <c r="L193" i="6"/>
  <c r="L46" i="10"/>
  <c r="L47" i="10" s="1"/>
  <c r="L48" i="10" s="1"/>
  <c r="K47" i="10"/>
  <c r="BW49" i="10"/>
  <c r="BY48" i="10"/>
  <c r="N242" i="15"/>
  <c r="O242" i="15" s="1"/>
  <c r="M172" i="15"/>
  <c r="M167" i="15" s="1"/>
  <c r="N129" i="18" s="1"/>
  <c r="N89" i="25" s="1"/>
  <c r="M161" i="15"/>
  <c r="N128" i="18" s="1"/>
  <c r="CN49" i="10"/>
  <c r="BH47" i="12"/>
  <c r="BI47" i="12" s="1"/>
  <c r="BG47" i="12"/>
  <c r="E48" i="10"/>
  <c r="N179" i="15"/>
  <c r="N142" i="15"/>
  <c r="N131" i="15"/>
  <c r="O131" i="15" s="1"/>
  <c r="O136" i="15"/>
  <c r="N166" i="15"/>
  <c r="CO47" i="10"/>
  <c r="CS44" i="10" s="1"/>
  <c r="CT44" i="10" s="1"/>
  <c r="CM48" i="10"/>
  <c r="CM49" i="10" s="1"/>
  <c r="M148" i="15"/>
  <c r="L143" i="15"/>
  <c r="G301" i="14"/>
  <c r="G299" i="14"/>
  <c r="BN51" i="12"/>
  <c r="BO51" i="12" s="1"/>
  <c r="BM51" i="12"/>
  <c r="N80" i="14"/>
  <c r="O80" i="14" s="1"/>
  <c r="M91" i="14"/>
  <c r="BH51" i="10"/>
  <c r="BH52" i="10" s="1"/>
  <c r="BH53" i="10" s="1"/>
  <c r="BG52" i="10"/>
  <c r="D292" i="14"/>
  <c r="E17" i="25"/>
  <c r="CG48" i="10"/>
  <c r="BA52" i="10"/>
  <c r="AY53" i="10"/>
  <c r="AY54" i="10" s="1"/>
  <c r="C85" i="13"/>
  <c r="I91" i="13"/>
  <c r="N96" i="13"/>
  <c r="G89" i="13"/>
  <c r="F88" i="13"/>
  <c r="J92" i="13"/>
  <c r="M95" i="13"/>
  <c r="E87" i="13"/>
  <c r="K93" i="13"/>
  <c r="H90" i="13"/>
  <c r="D86" i="13"/>
  <c r="L94" i="13"/>
  <c r="H267" i="14"/>
  <c r="H278" i="14" s="1"/>
  <c r="H300" i="14" s="1"/>
  <c r="I233" i="14"/>
  <c r="H65" i="26"/>
  <c r="D162" i="31" s="1"/>
  <c r="O246" i="14"/>
  <c r="M30" i="11"/>
  <c r="O30" i="11" s="1"/>
  <c r="AS11" i="11"/>
  <c r="AS12" i="11" s="1"/>
  <c r="K31" i="11"/>
  <c r="L31" i="11"/>
  <c r="D58" i="17"/>
  <c r="AL48" i="12"/>
  <c r="AM48" i="12" s="1"/>
  <c r="I193" i="6"/>
  <c r="C44" i="25"/>
  <c r="B52" i="17"/>
  <c r="S44" i="12"/>
  <c r="BY44" i="12"/>
  <c r="CD43" i="12" s="1"/>
  <c r="E115" i="13" s="1"/>
  <c r="N93" i="14"/>
  <c r="O71" i="14"/>
  <c r="M14" i="25"/>
  <c r="CK44" i="10"/>
  <c r="H266" i="14"/>
  <c r="H277" i="14" s="1"/>
  <c r="I232" i="14"/>
  <c r="N42" i="18"/>
  <c r="N34" i="25"/>
  <c r="O43" i="18"/>
  <c r="K48" i="12"/>
  <c r="L48" i="12"/>
  <c r="M48" i="12" s="1"/>
  <c r="I231" i="14"/>
  <c r="H265" i="14"/>
  <c r="H276" i="14" s="1"/>
  <c r="F117" i="10"/>
  <c r="O36" i="25"/>
  <c r="B31" i="23"/>
  <c r="M126" i="13"/>
  <c r="C194" i="13"/>
  <c r="E118" i="13"/>
  <c r="D117" i="13"/>
  <c r="L125" i="13"/>
  <c r="H121" i="13"/>
  <c r="K124" i="13"/>
  <c r="G120" i="13"/>
  <c r="J123" i="13"/>
  <c r="N127" i="13"/>
  <c r="I122" i="13"/>
  <c r="F119" i="13"/>
  <c r="N70" i="15"/>
  <c r="O71" i="15"/>
  <c r="Q128" i="13"/>
  <c r="Q127" i="13"/>
  <c r="R128" i="13"/>
  <c r="T128" i="13"/>
  <c r="R126" i="13"/>
  <c r="Q125" i="13"/>
  <c r="S127" i="13"/>
  <c r="S128" i="13"/>
  <c r="R127" i="13"/>
  <c r="Q126" i="13"/>
  <c r="T126" i="13"/>
  <c r="V128" i="13"/>
  <c r="R124" i="13"/>
  <c r="S125" i="13"/>
  <c r="Q123" i="13"/>
  <c r="U127" i="13"/>
  <c r="S126" i="13"/>
  <c r="R125" i="13"/>
  <c r="U128" i="13"/>
  <c r="Q124" i="13"/>
  <c r="T127" i="13"/>
  <c r="S123" i="13"/>
  <c r="V126" i="13"/>
  <c r="R122" i="13"/>
  <c r="W127" i="13"/>
  <c r="T124" i="13"/>
  <c r="X128" i="13"/>
  <c r="Q121" i="13"/>
  <c r="U125" i="13"/>
  <c r="W128" i="13"/>
  <c r="S124" i="13"/>
  <c r="Q122" i="13"/>
  <c r="T125" i="13"/>
  <c r="R123" i="13"/>
  <c r="U126" i="13"/>
  <c r="V127" i="13"/>
  <c r="Y127" i="13"/>
  <c r="Q119" i="13"/>
  <c r="Z128" i="13"/>
  <c r="X126" i="13"/>
  <c r="V124" i="13"/>
  <c r="W125" i="13"/>
  <c r="S121" i="13"/>
  <c r="U123" i="13"/>
  <c r="T122" i="13"/>
  <c r="R120" i="13"/>
  <c r="F48" i="12"/>
  <c r="E48" i="12"/>
  <c r="AC37" i="9"/>
  <c r="AM36" i="9"/>
  <c r="AJ49" i="10"/>
  <c r="N213" i="18"/>
  <c r="N15" i="25"/>
  <c r="O23" i="18"/>
  <c r="O15" i="25" s="1"/>
  <c r="N265" i="15"/>
  <c r="N258" i="15"/>
  <c r="O259" i="15"/>
  <c r="F273" i="14"/>
  <c r="M212" i="18"/>
  <c r="M141" i="25" s="1"/>
  <c r="M142" i="25"/>
  <c r="F19" i="22"/>
  <c r="BN44" i="10"/>
  <c r="V50" i="12"/>
  <c r="E270" i="14"/>
  <c r="E292" i="14" s="1"/>
  <c r="F285" i="14"/>
  <c r="E296" i="14"/>
  <c r="AH110" i="9"/>
  <c r="AG111" i="9"/>
  <c r="O168" i="15"/>
  <c r="Z195" i="9"/>
  <c r="U196" i="9"/>
  <c r="W195" i="9"/>
  <c r="X195" i="9" s="1"/>
  <c r="V125" i="13"/>
  <c r="Y48" i="12"/>
  <c r="BO50" i="12"/>
  <c r="H17" i="17"/>
  <c r="AW22" i="9"/>
  <c r="I28" i="18"/>
  <c r="O90" i="14"/>
  <c r="N169" i="14"/>
  <c r="A35" i="9"/>
  <c r="K34" i="9"/>
  <c r="C52" i="17"/>
  <c r="D44" i="25"/>
  <c r="P46" i="12"/>
  <c r="BV46" i="12"/>
  <c r="N40" i="16"/>
  <c r="O40" i="16" s="1"/>
  <c r="O157" i="14"/>
  <c r="CG49" i="10"/>
  <c r="CG51" i="10" s="1"/>
  <c r="CE51" i="10"/>
  <c r="BD9" i="11"/>
  <c r="BD10" i="11" s="1"/>
  <c r="Q29" i="11"/>
  <c r="P29" i="11" s="1"/>
  <c r="B108" i="9"/>
  <c r="AU108" i="9"/>
  <c r="N269" i="15"/>
  <c r="O269" i="15" s="1"/>
  <c r="O263" i="15"/>
  <c r="E194" i="9"/>
  <c r="BB193" i="9"/>
  <c r="F193" i="9"/>
  <c r="AV193" i="9" s="1"/>
  <c r="F286" i="14"/>
  <c r="E297" i="14"/>
  <c r="L37" i="25"/>
  <c r="O46" i="18"/>
  <c r="AV48" i="12"/>
  <c r="AW48" i="12" s="1"/>
  <c r="AU48" i="12"/>
  <c r="H35" i="22"/>
  <c r="M14" i="17"/>
  <c r="N14" i="17" s="1"/>
  <c r="O64" i="13"/>
  <c r="A207" i="9"/>
  <c r="K206" i="9"/>
  <c r="N98" i="14"/>
  <c r="O76" i="14"/>
  <c r="G31" i="25"/>
  <c r="R109" i="9"/>
  <c r="AU3" i="11"/>
  <c r="AU13" i="11" s="1"/>
  <c r="E32" i="11"/>
  <c r="T21" i="9"/>
  <c r="S22" i="9"/>
  <c r="P22" i="9" s="1"/>
  <c r="CO44" i="12"/>
  <c r="CD42" i="12"/>
  <c r="AU47" i="12"/>
  <c r="AV47" i="12"/>
  <c r="K120" i="9"/>
  <c r="A121" i="9"/>
  <c r="AT21" i="9"/>
  <c r="Z48" i="12"/>
  <c r="AA48" i="12" s="1"/>
  <c r="AB48" i="12" s="1"/>
  <c r="G193" i="6"/>
  <c r="AW44" i="10"/>
  <c r="AX44" i="10" s="1"/>
  <c r="AG195" i="9"/>
  <c r="AD195" i="9" s="1"/>
  <c r="AH194" i="9"/>
  <c r="BA119" i="9"/>
  <c r="E95" i="15"/>
  <c r="C52" i="16"/>
  <c r="D49" i="12"/>
  <c r="O173" i="14"/>
  <c r="O130" i="18"/>
  <c r="C90" i="25"/>
  <c r="E41" i="18"/>
  <c r="N268" i="15"/>
  <c r="O268" i="15" s="1"/>
  <c r="O262" i="15"/>
  <c r="BJ52" i="12"/>
  <c r="BK52" i="12" s="1"/>
  <c r="BL52" i="12" s="1"/>
  <c r="M197" i="6"/>
  <c r="BK18" i="9"/>
  <c r="BX14" i="9"/>
  <c r="BX44" i="12"/>
  <c r="AB47" i="12"/>
  <c r="N198" i="14"/>
  <c r="O198" i="14" s="1"/>
  <c r="O176" i="14"/>
  <c r="AC121" i="9"/>
  <c r="AM120" i="9"/>
  <c r="AF50" i="12"/>
  <c r="AG50" i="12" s="1"/>
  <c r="AH50" i="12" s="1"/>
  <c r="H195" i="6"/>
  <c r="L89" i="14"/>
  <c r="L170" i="14"/>
  <c r="L192" i="14" s="1"/>
  <c r="D52" i="17"/>
  <c r="E44" i="25"/>
  <c r="N99" i="14"/>
  <c r="O77" i="14"/>
  <c r="E49" i="10"/>
  <c r="E51" i="10" s="1"/>
  <c r="C51" i="10"/>
  <c r="C195" i="6"/>
  <c r="B50" i="12"/>
  <c r="C50" i="12" s="1"/>
  <c r="N243" i="15"/>
  <c r="O243" i="15" s="1"/>
  <c r="N266" i="15"/>
  <c r="O266" i="15" s="1"/>
  <c r="O260" i="15"/>
  <c r="I234" i="14"/>
  <c r="H268" i="14"/>
  <c r="H279" i="14" s="1"/>
  <c r="C144" i="25"/>
  <c r="O215" i="18"/>
  <c r="BQ47" i="10"/>
  <c r="BO48" i="10"/>
  <c r="BO49" i="10" s="1"/>
  <c r="R45" i="12"/>
  <c r="Q45" i="12"/>
  <c r="BX45" i="12" s="1"/>
  <c r="CE44" i="12" s="1"/>
  <c r="BW45" i="12"/>
  <c r="L188" i="14"/>
  <c r="K199" i="14"/>
  <c r="N171" i="14"/>
  <c r="AS48" i="10"/>
  <c r="AJ48" i="12"/>
  <c r="AI48" i="12"/>
  <c r="C128" i="18"/>
  <c r="O64" i="15"/>
  <c r="B31" i="28" s="1"/>
  <c r="AG44" i="10"/>
  <c r="G261" i="14"/>
  <c r="G272" i="14"/>
  <c r="G294" i="14" s="1"/>
  <c r="H227" i="14"/>
  <c r="J125" i="13"/>
  <c r="X125" i="13" s="1"/>
  <c r="K126" i="13"/>
  <c r="Y126" i="13" s="1"/>
  <c r="I124" i="13"/>
  <c r="W124" i="13" s="1"/>
  <c r="M128" i="13"/>
  <c r="AA128" i="13" s="1"/>
  <c r="N51" i="13"/>
  <c r="N63" i="13" s="1"/>
  <c r="N24" i="18" s="1"/>
  <c r="D119" i="13"/>
  <c r="R119" i="13" s="1"/>
  <c r="H123" i="13"/>
  <c r="V123" i="13" s="1"/>
  <c r="C118" i="13"/>
  <c r="Q118" i="13" s="1"/>
  <c r="E120" i="13"/>
  <c r="S120" i="13" s="1"/>
  <c r="L127" i="13"/>
  <c r="Z127" i="13" s="1"/>
  <c r="F121" i="13"/>
  <c r="T121" i="13" s="1"/>
  <c r="G122" i="13"/>
  <c r="U122" i="13" s="1"/>
  <c r="O49" i="13"/>
  <c r="H264" i="14"/>
  <c r="H275" i="14"/>
  <c r="I230" i="14"/>
  <c r="X127" i="13"/>
  <c r="O39" i="25"/>
  <c r="B34" i="23"/>
  <c r="AE22" i="9"/>
  <c r="AJ22" i="9"/>
  <c r="AR49" i="12"/>
  <c r="AS49" i="12" s="1"/>
  <c r="J194" i="6"/>
  <c r="O228" i="15"/>
  <c r="N271" i="15"/>
  <c r="N50" i="16" s="1"/>
  <c r="O272" i="15"/>
  <c r="O271" i="15" s="1"/>
  <c r="G262" i="14"/>
  <c r="G273" i="14" s="1"/>
  <c r="G295" i="14" s="1"/>
  <c r="H228" i="14"/>
  <c r="I226" i="14"/>
  <c r="H260" i="14"/>
  <c r="H271" i="14" s="1"/>
  <c r="H293" i="14" s="1"/>
  <c r="CB46" i="12"/>
  <c r="N91" i="14"/>
  <c r="O69" i="14"/>
  <c r="H89" i="15"/>
  <c r="I90" i="15"/>
  <c r="F259" i="14"/>
  <c r="F258" i="14" s="1"/>
  <c r="F51" i="16" s="1"/>
  <c r="F52" i="16" s="1"/>
  <c r="G225" i="14"/>
  <c r="F224" i="14"/>
  <c r="R195" i="9"/>
  <c r="S122" i="13"/>
  <c r="B6" i="28"/>
  <c r="N6" i="25"/>
  <c r="O14" i="18"/>
  <c r="O6" i="25" s="1"/>
  <c r="M47" i="12"/>
  <c r="Z109" i="9"/>
  <c r="W109" i="9"/>
  <c r="X109" i="9" s="1"/>
  <c r="U110" i="9"/>
  <c r="N267" i="15"/>
  <c r="O267" i="15" s="1"/>
  <c r="O261" i="15"/>
  <c r="AY21" i="9"/>
  <c r="J21" i="9"/>
  <c r="AZ21" i="9" s="1"/>
  <c r="C115" i="13"/>
  <c r="AS49" i="10"/>
  <c r="AS51" i="10" s="1"/>
  <c r="AQ51" i="10"/>
  <c r="AI49" i="12"/>
  <c r="AJ49" i="12"/>
  <c r="AK49" i="12" s="1"/>
  <c r="O28" i="16"/>
  <c r="BP49" i="10"/>
  <c r="BQ48" i="10"/>
  <c r="DG24" i="10"/>
  <c r="O121" i="9"/>
  <c r="Y120" i="9"/>
  <c r="F287" i="14"/>
  <c r="G287" i="14" s="1"/>
  <c r="H287" i="14" s="1"/>
  <c r="I287" i="14" s="1"/>
  <c r="J287" i="14" s="1"/>
  <c r="K287" i="14" s="1"/>
  <c r="L287" i="14" s="1"/>
  <c r="M287" i="14" s="1"/>
  <c r="N287" i="14" s="1"/>
  <c r="E298" i="14"/>
  <c r="N241" i="15"/>
  <c r="M240" i="15"/>
  <c r="K184" i="14"/>
  <c r="J195" i="14"/>
  <c r="J190" i="14" s="1"/>
  <c r="N95" i="14"/>
  <c r="O73" i="14"/>
  <c r="G13" i="22"/>
  <c r="BB21" i="9"/>
  <c r="E22" i="9"/>
  <c r="F21" i="9"/>
  <c r="G47" i="12"/>
  <c r="I44" i="10"/>
  <c r="N47" i="12"/>
  <c r="O47" i="12" s="1"/>
  <c r="E192" i="6"/>
  <c r="DG21" i="10"/>
  <c r="Y205" i="9"/>
  <c r="O206" i="9"/>
  <c r="H49" i="12"/>
  <c r="I49" i="12" s="1"/>
  <c r="J49" i="12" s="1"/>
  <c r="D194" i="6"/>
  <c r="AC206" i="9"/>
  <c r="AM205" i="9"/>
  <c r="D128" i="10"/>
  <c r="E123" i="10"/>
  <c r="C54" i="18"/>
  <c r="AZ54" i="10"/>
  <c r="BA53" i="10"/>
  <c r="O144" i="15"/>
  <c r="F4" i="25"/>
  <c r="AC49" i="10"/>
  <c r="AC51" i="10" s="1"/>
  <c r="AA51" i="10"/>
  <c r="F31" i="25"/>
  <c r="O47" i="15"/>
  <c r="O46" i="15" s="1"/>
  <c r="N46" i="15"/>
  <c r="D49" i="17"/>
  <c r="D50" i="17"/>
  <c r="AY193" i="9"/>
  <c r="J193" i="9"/>
  <c r="AZ193" i="9" s="1"/>
  <c r="AK47" i="10"/>
  <c r="AI48" i="10"/>
  <c r="AI49" i="10" s="1"/>
  <c r="O35" i="9"/>
  <c r="Y34" i="9"/>
  <c r="L93" i="13"/>
  <c r="E86" i="13"/>
  <c r="N95" i="13"/>
  <c r="K92" i="13"/>
  <c r="M94" i="13"/>
  <c r="G88" i="13"/>
  <c r="J91" i="13"/>
  <c r="I90" i="13"/>
  <c r="C162" i="13"/>
  <c r="F87" i="13"/>
  <c r="H89" i="13"/>
  <c r="D85" i="13"/>
  <c r="N234" i="15"/>
  <c r="O234" i="15" s="1"/>
  <c r="O235" i="15"/>
  <c r="AO46" i="12"/>
  <c r="AP46" i="12"/>
  <c r="AT4" i="11"/>
  <c r="AT14" i="11" s="1"/>
  <c r="H137" i="18" s="1"/>
  <c r="H31" i="11"/>
  <c r="G31" i="11" s="1"/>
  <c r="D30" i="25"/>
  <c r="D38" i="18"/>
  <c r="N30" i="11"/>
  <c r="BE8" i="11"/>
  <c r="N29" i="16"/>
  <c r="O29" i="16" s="1"/>
  <c r="O56" i="14"/>
  <c r="E23" i="17"/>
  <c r="F39" i="14"/>
  <c r="F41" i="14"/>
  <c r="F34" i="14"/>
  <c r="F59" i="15"/>
  <c r="F36" i="14"/>
  <c r="F62" i="15"/>
  <c r="F43" i="14"/>
  <c r="F63" i="15"/>
  <c r="F42" i="14"/>
  <c r="F60" i="15"/>
  <c r="E20" i="17"/>
  <c r="F38" i="14"/>
  <c r="F61" i="15"/>
  <c r="F37" i="14"/>
  <c r="E24" i="17"/>
  <c r="F40" i="14"/>
  <c r="F35" i="14"/>
  <c r="T51" i="12"/>
  <c r="U51" i="12" s="1"/>
  <c r="V51" i="12" s="1"/>
  <c r="F196" i="6"/>
  <c r="AS5" i="11"/>
  <c r="AR15" i="11"/>
  <c r="E294" i="14"/>
  <c r="N175" i="14"/>
  <c r="AO47" i="12"/>
  <c r="AP47" i="12"/>
  <c r="AQ47" i="12" s="1"/>
  <c r="C33" i="11"/>
  <c r="D32" i="11"/>
  <c r="F32" i="11" s="1"/>
  <c r="AI6" i="11"/>
  <c r="AI7" i="11" s="1"/>
  <c r="B33" i="11"/>
  <c r="N244" i="15"/>
  <c r="O244" i="15" s="1"/>
  <c r="H263" i="14"/>
  <c r="H274" i="14" s="1"/>
  <c r="I229" i="14"/>
  <c r="BA204" i="9"/>
  <c r="N88" i="25"/>
  <c r="N127" i="18"/>
  <c r="N87" i="25" s="1"/>
  <c r="BA33" i="9"/>
  <c r="BN30" i="9" s="1"/>
  <c r="N245" i="15"/>
  <c r="O245" i="15" s="1"/>
  <c r="BT50" i="12" l="1"/>
  <c r="BU50" i="12" s="1"/>
  <c r="BS50" i="12"/>
  <c r="BP51" i="12"/>
  <c r="BQ51" i="12" s="1"/>
  <c r="BR51" i="12" s="1"/>
  <c r="N196" i="6"/>
  <c r="T49" i="10"/>
  <c r="U48" i="10"/>
  <c r="AX51" i="12"/>
  <c r="AY51" i="12" s="1"/>
  <c r="K196" i="6"/>
  <c r="U47" i="10"/>
  <c r="Y44" i="10" s="1"/>
  <c r="Z44" i="10" s="1"/>
  <c r="S48" i="10"/>
  <c r="S49" i="10" s="1"/>
  <c r="F270" i="14"/>
  <c r="F292" i="14" s="1"/>
  <c r="BA50" i="12"/>
  <c r="BB50" i="12"/>
  <c r="BC50" i="12" s="1"/>
  <c r="G298" i="14"/>
  <c r="AK48" i="10"/>
  <c r="N148" i="15"/>
  <c r="M143" i="15"/>
  <c r="BD49" i="12"/>
  <c r="BE49" i="12" s="1"/>
  <c r="BF49" i="12" s="1"/>
  <c r="L194" i="6"/>
  <c r="BA205" i="9"/>
  <c r="CO49" i="10"/>
  <c r="CO51" i="10" s="1"/>
  <c r="CM51" i="10"/>
  <c r="BY49" i="10"/>
  <c r="BY51" i="10" s="1"/>
  <c r="BW51" i="10"/>
  <c r="BH48" i="12"/>
  <c r="BI48" i="12" s="1"/>
  <c r="BG48" i="12"/>
  <c r="V30" i="11"/>
  <c r="X30" i="11" s="1"/>
  <c r="T31" i="11"/>
  <c r="BE16" i="11"/>
  <c r="BE17" i="11" s="1"/>
  <c r="U31" i="11"/>
  <c r="W31" i="11" s="1"/>
  <c r="Z31" i="11" s="1"/>
  <c r="Y31" i="11" s="1"/>
  <c r="N89" i="14"/>
  <c r="O142" i="15"/>
  <c r="N137" i="15"/>
  <c r="O137" i="15" s="1"/>
  <c r="M47" i="10"/>
  <c r="Q44" i="10" s="1"/>
  <c r="R44" i="10" s="1"/>
  <c r="K48" i="10"/>
  <c r="K49" i="10" s="1"/>
  <c r="N161" i="15"/>
  <c r="N172" i="15"/>
  <c r="O166" i="15"/>
  <c r="O179" i="15"/>
  <c r="O174" i="15" s="1"/>
  <c r="N174" i="15"/>
  <c r="N39" i="16" s="1"/>
  <c r="O39" i="16" s="1"/>
  <c r="CO48" i="10"/>
  <c r="L49" i="10"/>
  <c r="M48" i="10"/>
  <c r="H301" i="14"/>
  <c r="H298" i="14"/>
  <c r="H299" i="14"/>
  <c r="N197" i="14"/>
  <c r="O197" i="14" s="1"/>
  <c r="O175" i="14"/>
  <c r="F85" i="15"/>
  <c r="H40" i="18"/>
  <c r="D50" i="12"/>
  <c r="AD47" i="12"/>
  <c r="AC47" i="12"/>
  <c r="I35" i="22"/>
  <c r="CF51" i="10"/>
  <c r="CF52" i="10" s="1"/>
  <c r="CF53" i="10" s="1"/>
  <c r="CE52" i="10"/>
  <c r="N191" i="14"/>
  <c r="O169" i="14"/>
  <c r="C129" i="18"/>
  <c r="O70" i="15"/>
  <c r="B18" i="2"/>
  <c r="B39" i="2" s="1"/>
  <c r="CL44" i="10"/>
  <c r="BH54" i="10"/>
  <c r="O287" i="14"/>
  <c r="AQ46" i="12"/>
  <c r="C34" i="11"/>
  <c r="AJ6" i="11"/>
  <c r="AJ7" i="11" s="1"/>
  <c r="D33" i="11"/>
  <c r="F33" i="11" s="1"/>
  <c r="B34" i="11"/>
  <c r="F88" i="15"/>
  <c r="AM206" i="9"/>
  <c r="AC207" i="9"/>
  <c r="N240" i="15"/>
  <c r="O241" i="15"/>
  <c r="O240" i="15" s="1"/>
  <c r="AR51" i="10"/>
  <c r="AR52" i="10" s="1"/>
  <c r="AR53" i="10" s="1"/>
  <c r="AQ52" i="10"/>
  <c r="T109" i="9"/>
  <c r="S110" i="9"/>
  <c r="P110" i="9" s="1"/>
  <c r="J226" i="14"/>
  <c r="I260" i="14"/>
  <c r="I271" i="14" s="1"/>
  <c r="I293" i="14" s="1"/>
  <c r="AN22" i="9"/>
  <c r="AI23" i="9"/>
  <c r="AK22" i="9"/>
  <c r="AL22" i="9" s="1"/>
  <c r="N16" i="25"/>
  <c r="O24" i="18"/>
  <c r="O16" i="25" s="1"/>
  <c r="D64" i="26"/>
  <c r="AK48" i="12"/>
  <c r="M188" i="14"/>
  <c r="L199" i="14"/>
  <c r="BQ49" i="10"/>
  <c r="BQ51" i="10" s="1"/>
  <c r="BO51" i="10"/>
  <c r="O144" i="25"/>
  <c r="D31" i="23"/>
  <c r="J234" i="14"/>
  <c r="I268" i="14"/>
  <c r="I279" i="14" s="1"/>
  <c r="I301" i="14" s="1"/>
  <c r="AI50" i="12"/>
  <c r="AJ50" i="12"/>
  <c r="AK50" i="12" s="1"/>
  <c r="CD44" i="12"/>
  <c r="BJ53" i="12"/>
  <c r="BK53" i="12" s="1"/>
  <c r="M202" i="6"/>
  <c r="Y166" i="6"/>
  <c r="C146" i="28" s="1"/>
  <c r="AJ195" i="9"/>
  <c r="AE195" i="9"/>
  <c r="AC48" i="12"/>
  <c r="AD48" i="12"/>
  <c r="AE48" i="12" s="1"/>
  <c r="BA120" i="9"/>
  <c r="AU4" i="11"/>
  <c r="AU14" i="11" s="1"/>
  <c r="I137" i="18" s="1"/>
  <c r="I97" i="25" s="1"/>
  <c r="H32" i="11"/>
  <c r="G32" i="11" s="1"/>
  <c r="G286" i="14"/>
  <c r="F297" i="14"/>
  <c r="A36" i="9"/>
  <c r="K35" i="9"/>
  <c r="S196" i="9"/>
  <c r="P196" i="9" s="1"/>
  <c r="T195" i="9"/>
  <c r="O258" i="15"/>
  <c r="I265" i="14"/>
  <c r="I276" i="14" s="1"/>
  <c r="J231" i="14"/>
  <c r="I266" i="14"/>
  <c r="I277" i="14" s="1"/>
  <c r="I299" i="14" s="1"/>
  <c r="J232" i="14"/>
  <c r="BF8" i="11"/>
  <c r="N31" i="11"/>
  <c r="J233" i="14"/>
  <c r="I267" i="14"/>
  <c r="I278" i="14" s="1"/>
  <c r="I300" i="14" s="1"/>
  <c r="BA54" i="10"/>
  <c r="BA56" i="10" s="1"/>
  <c r="AY56" i="10"/>
  <c r="D291" i="14"/>
  <c r="AB51" i="10"/>
  <c r="AB52" i="10" s="1"/>
  <c r="AB53" i="10" s="1"/>
  <c r="AA52" i="10"/>
  <c r="L184" i="14"/>
  <c r="K195" i="14"/>
  <c r="K190" i="14" s="1"/>
  <c r="F44" i="17"/>
  <c r="J195" i="6"/>
  <c r="AR50" i="12"/>
  <c r="AS50" i="12" s="1"/>
  <c r="AT50" i="12" s="1"/>
  <c r="BU44" i="10"/>
  <c r="AM121" i="9"/>
  <c r="AC122" i="9"/>
  <c r="R46" i="12"/>
  <c r="Q46" i="12"/>
  <c r="BX46" i="12" s="1"/>
  <c r="CF44" i="12" s="1"/>
  <c r="BW46" i="12"/>
  <c r="I19" i="25"/>
  <c r="F295" i="14"/>
  <c r="B21" i="2"/>
  <c r="AN48" i="12"/>
  <c r="E33" i="11"/>
  <c r="AV3" i="11"/>
  <c r="AV13" i="11" s="1"/>
  <c r="AT5" i="11"/>
  <c r="AS15" i="11"/>
  <c r="D97" i="13"/>
  <c r="D100" i="18" s="1"/>
  <c r="D60" i="25" s="1"/>
  <c r="J229" i="14"/>
  <c r="I263" i="14"/>
  <c r="I274" i="14" s="1"/>
  <c r="F197" i="6"/>
  <c r="T52" i="12"/>
  <c r="U52" i="12" s="1"/>
  <c r="V52" i="12" s="1"/>
  <c r="F58" i="15"/>
  <c r="F84" i="15"/>
  <c r="F34" i="18"/>
  <c r="BE9" i="11"/>
  <c r="BE10" i="11" s="1"/>
  <c r="Q30" i="11"/>
  <c r="P30" i="11" s="1"/>
  <c r="D29" i="25"/>
  <c r="D54" i="18"/>
  <c r="O36" i="9"/>
  <c r="Y35" i="9"/>
  <c r="F58" i="18"/>
  <c r="F122" i="10"/>
  <c r="J44" i="10"/>
  <c r="AV21" i="9"/>
  <c r="O122" i="9"/>
  <c r="Y121" i="9"/>
  <c r="N30" i="16"/>
  <c r="W51" i="12"/>
  <c r="X51" i="12"/>
  <c r="Y51" i="12" s="1"/>
  <c r="F35" i="18"/>
  <c r="F31" i="18"/>
  <c r="E46" i="17"/>
  <c r="E15" i="17"/>
  <c r="F33" i="14"/>
  <c r="H97" i="25"/>
  <c r="AK49" i="10"/>
  <c r="AK51" i="10" s="1"/>
  <c r="AI51" i="10"/>
  <c r="D133" i="10"/>
  <c r="E128" i="10"/>
  <c r="D195" i="6"/>
  <c r="H50" i="12"/>
  <c r="I50" i="12" s="1"/>
  <c r="J50" i="12" s="1"/>
  <c r="O207" i="9"/>
  <c r="Y206" i="9"/>
  <c r="G2" i="13"/>
  <c r="E193" i="6"/>
  <c r="N48" i="12"/>
  <c r="O48" i="12" s="1"/>
  <c r="AU22" i="9"/>
  <c r="B22" i="9"/>
  <c r="BX17" i="9"/>
  <c r="BM18" i="9"/>
  <c r="E5" i="2"/>
  <c r="E50" i="2" s="1"/>
  <c r="I89" i="15"/>
  <c r="I40" i="18" s="1"/>
  <c r="J90" i="15"/>
  <c r="AF22" i="9"/>
  <c r="I227" i="14"/>
  <c r="H261" i="14"/>
  <c r="H272" i="14" s="1"/>
  <c r="H294" i="14" s="1"/>
  <c r="AH44" i="10"/>
  <c r="C127" i="18"/>
  <c r="C88" i="25"/>
  <c r="O128" i="18"/>
  <c r="CO45" i="12"/>
  <c r="CE42" i="12"/>
  <c r="F83" i="13" s="1"/>
  <c r="D51" i="10"/>
  <c r="D52" i="10" s="1"/>
  <c r="D53" i="10" s="1"/>
  <c r="C52" i="10"/>
  <c r="O99" i="14"/>
  <c r="N178" i="14"/>
  <c r="BN52" i="12"/>
  <c r="BO52" i="12" s="1"/>
  <c r="BM52" i="12"/>
  <c r="E32" i="25"/>
  <c r="E39" i="18"/>
  <c r="AW47" i="12"/>
  <c r="Q22" i="9"/>
  <c r="V22" i="9"/>
  <c r="B32" i="23"/>
  <c r="O37" i="25"/>
  <c r="AD111" i="9"/>
  <c r="X50" i="12"/>
  <c r="W50" i="12"/>
  <c r="N264" i="15"/>
  <c r="O264" i="15" s="1"/>
  <c r="O265" i="15"/>
  <c r="N22" i="18"/>
  <c r="G48" i="12"/>
  <c r="N33" i="25"/>
  <c r="O42" i="18"/>
  <c r="K123" i="13"/>
  <c r="G119" i="13"/>
  <c r="I121" i="13"/>
  <c r="N126" i="13"/>
  <c r="H120" i="13"/>
  <c r="D194" i="13"/>
  <c r="F118" i="13"/>
  <c r="M125" i="13"/>
  <c r="E117" i="13"/>
  <c r="J122" i="13"/>
  <c r="L124" i="13"/>
  <c r="C193" i="13"/>
  <c r="AL49" i="12"/>
  <c r="AM49" i="12" s="1"/>
  <c r="AN49" i="12" s="1"/>
  <c r="I194" i="6"/>
  <c r="M31" i="11"/>
  <c r="O31" i="11" s="1"/>
  <c r="L32" i="11"/>
  <c r="AT11" i="11"/>
  <c r="AT12" i="11" s="1"/>
  <c r="K32" i="11"/>
  <c r="BI52" i="10"/>
  <c r="BG53" i="10"/>
  <c r="BG54" i="10" s="1"/>
  <c r="F87" i="15"/>
  <c r="L49" i="12"/>
  <c r="K49" i="12"/>
  <c r="P47" i="12"/>
  <c r="BV47" i="12"/>
  <c r="BL18" i="9"/>
  <c r="BX16" i="9"/>
  <c r="J40" i="28"/>
  <c r="J6" i="28"/>
  <c r="M40" i="28"/>
  <c r="M6" i="28"/>
  <c r="N193" i="14"/>
  <c r="O193" i="14" s="1"/>
  <c r="O171" i="14"/>
  <c r="G285" i="14"/>
  <c r="F296" i="14"/>
  <c r="BZ44" i="12"/>
  <c r="BE49" i="10"/>
  <c r="BF49" i="10" s="1"/>
  <c r="F298" i="14"/>
  <c r="N41" i="16"/>
  <c r="F86" i="15"/>
  <c r="AO44" i="10"/>
  <c r="C45" i="25"/>
  <c r="B4" i="24" s="1"/>
  <c r="J4" i="3"/>
  <c r="O95" i="14"/>
  <c r="N174" i="14"/>
  <c r="E119" i="13"/>
  <c r="K125" i="13"/>
  <c r="N128" i="13"/>
  <c r="G121" i="13"/>
  <c r="F120" i="13"/>
  <c r="I123" i="13"/>
  <c r="M127" i="13"/>
  <c r="C117" i="13"/>
  <c r="L126" i="13"/>
  <c r="J124" i="13"/>
  <c r="D118" i="13"/>
  <c r="H122" i="13"/>
  <c r="G224" i="14"/>
  <c r="G259" i="14"/>
  <c r="G258" i="14" s="1"/>
  <c r="G51" i="16" s="1"/>
  <c r="H225" i="14"/>
  <c r="O91" i="14"/>
  <c r="N170" i="14"/>
  <c r="I228" i="14"/>
  <c r="H262" i="14"/>
  <c r="H273" i="14" s="1"/>
  <c r="O50" i="16"/>
  <c r="AT49" i="12"/>
  <c r="I264" i="14"/>
  <c r="I275" i="14" s="1"/>
  <c r="J230" i="14"/>
  <c r="S45" i="12"/>
  <c r="BZ45" i="12" s="1"/>
  <c r="CE46" i="12" s="1"/>
  <c r="BY45" i="12"/>
  <c r="B51" i="12"/>
  <c r="C51" i="12" s="1"/>
  <c r="C196" i="6"/>
  <c r="AF51" i="12"/>
  <c r="AG51" i="12" s="1"/>
  <c r="AH51" i="12" s="1"/>
  <c r="H196" i="6"/>
  <c r="O90" i="25"/>
  <c r="C31" i="23"/>
  <c r="F49" i="12"/>
  <c r="E49" i="12"/>
  <c r="G194" i="6"/>
  <c r="Z49" i="12"/>
  <c r="AA49" i="12" s="1"/>
  <c r="AB49" i="12" s="1"/>
  <c r="K121" i="9"/>
  <c r="A122" i="9"/>
  <c r="E83" i="13"/>
  <c r="O98" i="14"/>
  <c r="N177" i="14"/>
  <c r="A208" i="9"/>
  <c r="K207" i="9"/>
  <c r="B194" i="9"/>
  <c r="AU194" i="9"/>
  <c r="C108" i="9"/>
  <c r="H108" i="9"/>
  <c r="AR108" i="9"/>
  <c r="BA34" i="9"/>
  <c r="BN31" i="9" s="1"/>
  <c r="BI19" i="9"/>
  <c r="BJ19" i="9" s="1"/>
  <c r="BY13" i="9"/>
  <c r="E291" i="14"/>
  <c r="N142" i="25"/>
  <c r="N212" i="18"/>
  <c r="N141" i="25" s="1"/>
  <c r="AM37" i="9"/>
  <c r="AC38" i="9"/>
  <c r="B29" i="23"/>
  <c r="O34" i="25"/>
  <c r="O93" i="14"/>
  <c r="N172" i="14"/>
  <c r="B76" i="2"/>
  <c r="C97" i="13"/>
  <c r="C100" i="18" s="1"/>
  <c r="M170" i="14"/>
  <c r="M192" i="14" s="1"/>
  <c r="M89" i="14"/>
  <c r="AZ51" i="12" l="1"/>
  <c r="K197" i="6"/>
  <c r="AX52" i="12"/>
  <c r="AY52" i="12" s="1"/>
  <c r="AZ52" i="12" s="1"/>
  <c r="BP52" i="12"/>
  <c r="BQ52" i="12" s="1"/>
  <c r="BR52" i="12" s="1"/>
  <c r="N197" i="6"/>
  <c r="U49" i="10"/>
  <c r="U51" i="10" s="1"/>
  <c r="S51" i="10"/>
  <c r="BT51" i="12"/>
  <c r="BU51" i="12" s="1"/>
  <c r="BS51" i="12"/>
  <c r="Y164" i="6"/>
  <c r="C144" i="28" s="1"/>
  <c r="O172" i="15"/>
  <c r="N167" i="15"/>
  <c r="CN51" i="10"/>
  <c r="CN52" i="10" s="1"/>
  <c r="CN53" i="10" s="1"/>
  <c r="CM52" i="10"/>
  <c r="BG49" i="12"/>
  <c r="BH49" i="12"/>
  <c r="BI49" i="12" s="1"/>
  <c r="O89" i="14"/>
  <c r="C213" i="18"/>
  <c r="O161" i="15"/>
  <c r="B106" i="28" s="1"/>
  <c r="V31" i="11"/>
  <c r="X31" i="11" s="1"/>
  <c r="BF16" i="11"/>
  <c r="BF17" i="11" s="1"/>
  <c r="U32" i="11"/>
  <c r="W32" i="11" s="1"/>
  <c r="Z32" i="11" s="1"/>
  <c r="Y32" i="11" s="1"/>
  <c r="T32" i="11"/>
  <c r="BW52" i="10"/>
  <c r="BX51" i="10"/>
  <c r="BX52" i="10" s="1"/>
  <c r="BX53" i="10" s="1"/>
  <c r="O148" i="15"/>
  <c r="O143" i="15" s="1"/>
  <c r="N143" i="15"/>
  <c r="M49" i="10"/>
  <c r="M51" i="10" s="1"/>
  <c r="K51" i="10"/>
  <c r="BD50" i="12"/>
  <c r="BE50" i="12" s="1"/>
  <c r="BF50" i="12" s="1"/>
  <c r="L195" i="6"/>
  <c r="CZ44" i="10"/>
  <c r="H295" i="14"/>
  <c r="I298" i="14"/>
  <c r="AC39" i="9"/>
  <c r="AM38" i="9"/>
  <c r="BA121" i="9"/>
  <c r="D51" i="12"/>
  <c r="BI54" i="10"/>
  <c r="BI56" i="10" s="1"/>
  <c r="BG56" i="10"/>
  <c r="R22" i="9"/>
  <c r="D54" i="10"/>
  <c r="F26" i="25"/>
  <c r="W52" i="12"/>
  <c r="X52" i="12"/>
  <c r="Y52" i="12" s="1"/>
  <c r="J196" i="6"/>
  <c r="AR51" i="12"/>
  <c r="AS51" i="12" s="1"/>
  <c r="AT51" i="12" s="1"/>
  <c r="AC52" i="10"/>
  <c r="AA53" i="10"/>
  <c r="AA54" i="10" s="1"/>
  <c r="BF9" i="11"/>
  <c r="BF10" i="11" s="1"/>
  <c r="Q31" i="11"/>
  <c r="P31" i="11" s="1"/>
  <c r="AF195" i="9"/>
  <c r="K234" i="14"/>
  <c r="J268" i="14"/>
  <c r="J279" i="14" s="1"/>
  <c r="J301" i="14" s="1"/>
  <c r="BP51" i="10"/>
  <c r="BP52" i="10" s="1"/>
  <c r="BP53" i="10" s="1"/>
  <c r="BO52" i="10"/>
  <c r="BI53" i="10"/>
  <c r="D108" i="9"/>
  <c r="AT108" i="9" s="1"/>
  <c r="AS108" i="9"/>
  <c r="A209" i="9"/>
  <c r="K208" i="9"/>
  <c r="I89" i="13"/>
  <c r="D162" i="13"/>
  <c r="G87" i="13"/>
  <c r="L92" i="13"/>
  <c r="K91" i="13"/>
  <c r="N94" i="13"/>
  <c r="J90" i="13"/>
  <c r="E85" i="13"/>
  <c r="H88" i="13"/>
  <c r="F86" i="13"/>
  <c r="C161" i="13"/>
  <c r="M93" i="13"/>
  <c r="AD49" i="12"/>
  <c r="AE49" i="12" s="1"/>
  <c r="AC49" i="12"/>
  <c r="AJ51" i="12"/>
  <c r="AK51" i="12" s="1"/>
  <c r="AI51" i="12"/>
  <c r="N192" i="14"/>
  <c r="O192" i="14" s="1"/>
  <c r="O170" i="14"/>
  <c r="G52" i="16"/>
  <c r="N196" i="14"/>
  <c r="O196" i="14" s="1"/>
  <c r="O174" i="14"/>
  <c r="H285" i="14"/>
  <c r="G296" i="14"/>
  <c r="BM49" i="10"/>
  <c r="BN49" i="10" s="1"/>
  <c r="AP49" i="12"/>
  <c r="AQ49" i="12" s="1"/>
  <c r="AO49" i="12"/>
  <c r="E129" i="13"/>
  <c r="E110" i="18" s="1"/>
  <c r="E70" i="25" s="1"/>
  <c r="N14" i="25"/>
  <c r="O22" i="18"/>
  <c r="E30" i="25"/>
  <c r="E38" i="18"/>
  <c r="H22" i="9"/>
  <c r="C22" i="9"/>
  <c r="AR22" i="9"/>
  <c r="E194" i="6"/>
  <c r="N49" i="12"/>
  <c r="O49" i="12" s="1"/>
  <c r="L50" i="12"/>
  <c r="M50" i="12" s="1"/>
  <c r="K50" i="12"/>
  <c r="AJ51" i="10"/>
  <c r="AJ52" i="10" s="1"/>
  <c r="AJ53" i="10" s="1"/>
  <c r="AI52" i="10"/>
  <c r="F67" i="14"/>
  <c r="F78" i="14"/>
  <c r="F21" i="14"/>
  <c r="F55" i="14" s="1"/>
  <c r="F22" i="25"/>
  <c r="F26" i="18"/>
  <c r="F53" i="18"/>
  <c r="Y36" i="9"/>
  <c r="O37" i="9"/>
  <c r="F83" i="15"/>
  <c r="AV4" i="11"/>
  <c r="AV14" i="11" s="1"/>
  <c r="J137" i="18" s="1"/>
  <c r="J97" i="25" s="1"/>
  <c r="H33" i="11"/>
  <c r="G33" i="11" s="1"/>
  <c r="BV44" i="10"/>
  <c r="M184" i="14"/>
  <c r="L195" i="14"/>
  <c r="L190" i="14" s="1"/>
  <c r="AY57" i="10"/>
  <c r="AZ56" i="10"/>
  <c r="AZ57" i="10" s="1"/>
  <c r="AZ58" i="10" s="1"/>
  <c r="J266" i="14"/>
  <c r="J277" i="14" s="1"/>
  <c r="J299" i="14" s="1"/>
  <c r="K232" i="14"/>
  <c r="J265" i="14"/>
  <c r="J276" i="14" s="1"/>
  <c r="J298" i="14" s="1"/>
  <c r="K231" i="14"/>
  <c r="Q196" i="9"/>
  <c r="R196" i="9" s="1"/>
  <c r="V196" i="9"/>
  <c r="B22" i="2"/>
  <c r="B37" i="2" s="1"/>
  <c r="AH22" i="9"/>
  <c r="AG23" i="9"/>
  <c r="AD23" i="9" s="1"/>
  <c r="O129" i="18"/>
  <c r="C89" i="25"/>
  <c r="CF54" i="10"/>
  <c r="K230" i="14"/>
  <c r="J275" i="14"/>
  <c r="J264" i="14"/>
  <c r="H224" i="14"/>
  <c r="H259" i="14"/>
  <c r="I225" i="14"/>
  <c r="C129" i="13"/>
  <c r="C110" i="18" s="1"/>
  <c r="I31" i="25"/>
  <c r="D79" i="13"/>
  <c r="R79" i="13" s="1"/>
  <c r="G4" i="13"/>
  <c r="G16" i="13" s="1"/>
  <c r="G13" i="18" s="1"/>
  <c r="N11" i="13"/>
  <c r="K8" i="13"/>
  <c r="J7" i="13"/>
  <c r="F81" i="13"/>
  <c r="T81" i="13" s="1"/>
  <c r="M10" i="13"/>
  <c r="C78" i="13"/>
  <c r="Q78" i="13" s="1"/>
  <c r="E80" i="13"/>
  <c r="S80" i="13" s="1"/>
  <c r="G32" i="13"/>
  <c r="H5" i="13"/>
  <c r="I6" i="13"/>
  <c r="L9" i="13"/>
  <c r="F49" i="25"/>
  <c r="M203" i="6"/>
  <c r="BJ62" i="12"/>
  <c r="BK62" i="12" s="1"/>
  <c r="C60" i="25"/>
  <c r="O177" i="14"/>
  <c r="K122" i="9"/>
  <c r="A123" i="9"/>
  <c r="Z50" i="12"/>
  <c r="AA50" i="12" s="1"/>
  <c r="AB50" i="12" s="1"/>
  <c r="G195" i="6"/>
  <c r="G49" i="12"/>
  <c r="B52" i="12"/>
  <c r="C52" i="12" s="1"/>
  <c r="C197" i="6"/>
  <c r="AU49" i="12"/>
  <c r="AV49" i="12"/>
  <c r="AP44" i="10"/>
  <c r="CX44" i="10" s="1"/>
  <c r="DH24" i="10" s="1"/>
  <c r="G44" i="17" s="1"/>
  <c r="CD46" i="12"/>
  <c r="R47" i="12"/>
  <c r="Q47" i="12"/>
  <c r="BW47" i="12"/>
  <c r="BG8" i="11"/>
  <c r="N32" i="11"/>
  <c r="B28" i="23"/>
  <c r="O33" i="25"/>
  <c r="Y50" i="12"/>
  <c r="U23" i="9"/>
  <c r="Z22" i="9"/>
  <c r="W22" i="9"/>
  <c r="X22" i="9" s="1"/>
  <c r="E52" i="10"/>
  <c r="C53" i="10"/>
  <c r="C54" i="10" s="1"/>
  <c r="O88" i="25"/>
  <c r="C29" i="23"/>
  <c r="J227" i="14"/>
  <c r="I261" i="14"/>
  <c r="I272" i="14" s="1"/>
  <c r="I294" i="14" s="1"/>
  <c r="J89" i="15"/>
  <c r="J40" i="18" s="1"/>
  <c r="K90" i="15"/>
  <c r="BX18" i="9"/>
  <c r="BG19" i="9"/>
  <c r="BH19" i="9" s="1"/>
  <c r="BY12" i="9"/>
  <c r="D196" i="6"/>
  <c r="H51" i="12"/>
  <c r="I51" i="12" s="1"/>
  <c r="J51" i="12" s="1"/>
  <c r="N31" i="16"/>
  <c r="O31" i="16" s="1"/>
  <c r="O30" i="16"/>
  <c r="CW44" i="10"/>
  <c r="DH21" i="10" s="1"/>
  <c r="H2" i="13" s="1"/>
  <c r="J5" i="3"/>
  <c r="D45" i="25"/>
  <c r="C4" i="24" s="1"/>
  <c r="F33" i="15"/>
  <c r="F76" i="15" s="1"/>
  <c r="L106" i="28"/>
  <c r="AU5" i="11"/>
  <c r="AT15" i="11"/>
  <c r="D55" i="26"/>
  <c r="B152" i="31" s="1"/>
  <c r="B31" i="31" s="1"/>
  <c r="B34" i="31" s="1"/>
  <c r="B36" i="2"/>
  <c r="S46" i="12"/>
  <c r="BZ46" i="12" s="1"/>
  <c r="CF46" i="12" s="1"/>
  <c r="BY46" i="12"/>
  <c r="CF43" i="12" s="1"/>
  <c r="G115" i="13" s="1"/>
  <c r="AC123" i="9"/>
  <c r="AM122" i="9"/>
  <c r="AV50" i="12"/>
  <c r="AW50" i="12" s="1"/>
  <c r="AU50" i="12"/>
  <c r="H64" i="26"/>
  <c r="G146" i="28"/>
  <c r="B146" i="28"/>
  <c r="D63" i="26"/>
  <c r="B161" i="31"/>
  <c r="B160" i="31" s="1"/>
  <c r="K226" i="14"/>
  <c r="J271" i="14"/>
  <c r="J293" i="14" s="1"/>
  <c r="J260" i="14"/>
  <c r="AS52" i="10"/>
  <c r="AQ53" i="10"/>
  <c r="AQ54" i="10" s="1"/>
  <c r="AC208" i="9"/>
  <c r="AM207" i="9"/>
  <c r="AW3" i="11"/>
  <c r="AW13" i="11" s="1"/>
  <c r="E34" i="11"/>
  <c r="B12" i="21"/>
  <c r="B185" i="31"/>
  <c r="AE47" i="12"/>
  <c r="H31" i="25"/>
  <c r="AR194" i="9"/>
  <c r="C194" i="9"/>
  <c r="H194" i="9"/>
  <c r="I262" i="14"/>
  <c r="I273" i="14" s="1"/>
  <c r="I295" i="14" s="1"/>
  <c r="J228" i="14"/>
  <c r="O208" i="9"/>
  <c r="Y207" i="9"/>
  <c r="BA207" i="9" s="1"/>
  <c r="F127" i="10"/>
  <c r="F15" i="22"/>
  <c r="F25" i="25"/>
  <c r="BA35" i="9"/>
  <c r="BN32" i="9" s="1"/>
  <c r="N188" i="14"/>
  <c r="O188" i="14" s="1"/>
  <c r="M199" i="14"/>
  <c r="Q110" i="9"/>
  <c r="R110" i="9" s="1"/>
  <c r="V110" i="9"/>
  <c r="AR54" i="10"/>
  <c r="AS53" i="10"/>
  <c r="D34" i="11"/>
  <c r="F34" i="11" s="1"/>
  <c r="C35" i="11"/>
  <c r="AK6" i="11"/>
  <c r="AK7" i="11" s="1"/>
  <c r="B35" i="11"/>
  <c r="O191" i="14"/>
  <c r="E50" i="12"/>
  <c r="F50" i="12"/>
  <c r="N194" i="14"/>
  <c r="O194" i="14" s="1"/>
  <c r="O172" i="14"/>
  <c r="I108" i="9"/>
  <c r="AX108" i="9"/>
  <c r="L108" i="9"/>
  <c r="G109" i="9"/>
  <c r="AW109" i="9" s="1"/>
  <c r="AF52" i="12"/>
  <c r="AG52" i="12" s="1"/>
  <c r="AH52" i="12" s="1"/>
  <c r="H197" i="6"/>
  <c r="CE43" i="12"/>
  <c r="G270" i="14"/>
  <c r="O41" i="16"/>
  <c r="M49" i="12"/>
  <c r="K33" i="11"/>
  <c r="AU11" i="11"/>
  <c r="AU12" i="11" s="1"/>
  <c r="M32" i="11"/>
  <c r="O32" i="11" s="1"/>
  <c r="L33" i="11"/>
  <c r="I195" i="6"/>
  <c r="AL50" i="12"/>
  <c r="AM50" i="12" s="1"/>
  <c r="AJ111" i="9"/>
  <c r="AE111" i="9"/>
  <c r="N200" i="14"/>
  <c r="O200" i="14" s="1"/>
  <c r="O178" i="14"/>
  <c r="C160" i="13"/>
  <c r="F85" i="13"/>
  <c r="M92" i="13"/>
  <c r="J89" i="13"/>
  <c r="H87" i="13"/>
  <c r="E162" i="13"/>
  <c r="I88" i="13"/>
  <c r="K90" i="13"/>
  <c r="N93" i="13"/>
  <c r="G86" i="13"/>
  <c r="D161" i="13"/>
  <c r="L91" i="13"/>
  <c r="C87" i="25"/>
  <c r="O127" i="18"/>
  <c r="P48" i="12"/>
  <c r="BV48" i="12"/>
  <c r="D138" i="10"/>
  <c r="E133" i="10"/>
  <c r="O123" i="9"/>
  <c r="Y122" i="9"/>
  <c r="T53" i="12"/>
  <c r="U53" i="12" s="1"/>
  <c r="F202" i="6"/>
  <c r="Y159" i="6"/>
  <c r="C139" i="28" s="1"/>
  <c r="J263" i="14"/>
  <c r="J274" i="14" s="1"/>
  <c r="K229" i="14"/>
  <c r="AP48" i="12"/>
  <c r="AO48" i="12"/>
  <c r="CO46" i="12"/>
  <c r="CF42" i="12"/>
  <c r="BA206" i="9"/>
  <c r="F291" i="14"/>
  <c r="AC53" i="10"/>
  <c r="AB54" i="10"/>
  <c r="K233" i="14"/>
  <c r="J267" i="14"/>
  <c r="J278" i="14" s="1"/>
  <c r="J300" i="14" s="1"/>
  <c r="D129" i="13"/>
  <c r="D110" i="18" s="1"/>
  <c r="D70" i="25" s="1"/>
  <c r="A37" i="9"/>
  <c r="K36" i="9"/>
  <c r="H286" i="14"/>
  <c r="G297" i="14"/>
  <c r="AK195" i="9"/>
  <c r="AL195" i="9" s="1"/>
  <c r="AN195" i="9"/>
  <c r="AI196" i="9"/>
  <c r="BL53" i="12"/>
  <c r="BK54" i="12"/>
  <c r="CG52" i="10"/>
  <c r="CE53" i="10"/>
  <c r="CE54" i="10" s="1"/>
  <c r="T51" i="10" l="1"/>
  <c r="T52" i="10" s="1"/>
  <c r="T53" i="10" s="1"/>
  <c r="S52" i="10"/>
  <c r="N202" i="6"/>
  <c r="Y167" i="6"/>
  <c r="C147" i="28" s="1"/>
  <c r="BP53" i="12"/>
  <c r="BQ53" i="12" s="1"/>
  <c r="BT52" i="12"/>
  <c r="BU52" i="12" s="1"/>
  <c r="BS52" i="12"/>
  <c r="BB52" i="12"/>
  <c r="BC52" i="12" s="1"/>
  <c r="BA52" i="12"/>
  <c r="G144" i="28"/>
  <c r="B144" i="28"/>
  <c r="AX53" i="12"/>
  <c r="AY53" i="12" s="1"/>
  <c r="AZ53" i="12" s="1"/>
  <c r="K202" i="6"/>
  <c r="AY54" i="12"/>
  <c r="BA51" i="12"/>
  <c r="BB51" i="12"/>
  <c r="BH50" i="12"/>
  <c r="BI50" i="12" s="1"/>
  <c r="BG50" i="12"/>
  <c r="O213" i="18"/>
  <c r="C142" i="25"/>
  <c r="CM53" i="10"/>
  <c r="CM54" i="10" s="1"/>
  <c r="CO52" i="10"/>
  <c r="CS49" i="10" s="1"/>
  <c r="CT49" i="10" s="1"/>
  <c r="K52" i="10"/>
  <c r="L51" i="10"/>
  <c r="L52" i="10" s="1"/>
  <c r="L53" i="10" s="1"/>
  <c r="BX54" i="10"/>
  <c r="BY53" i="10"/>
  <c r="CN54" i="10"/>
  <c r="E53" i="10"/>
  <c r="CY49" i="10"/>
  <c r="DA44" i="10"/>
  <c r="DH23" i="10" s="1"/>
  <c r="H13" i="22" s="1"/>
  <c r="BW53" i="10"/>
  <c r="BW54" i="10" s="1"/>
  <c r="BY52" i="10"/>
  <c r="CC49" i="10" s="1"/>
  <c r="CD49" i="10" s="1"/>
  <c r="C214" i="18"/>
  <c r="O167" i="15"/>
  <c r="B47" i="2"/>
  <c r="B68" i="2" s="1"/>
  <c r="F64" i="26"/>
  <c r="BD51" i="12"/>
  <c r="BE51" i="12" s="1"/>
  <c r="BF51" i="12" s="1"/>
  <c r="L196" i="6"/>
  <c r="T33" i="11"/>
  <c r="V32" i="11"/>
  <c r="X32" i="11" s="1"/>
  <c r="U33" i="11"/>
  <c r="W33" i="11" s="1"/>
  <c r="Z33" i="11" s="1"/>
  <c r="Y33" i="11" s="1"/>
  <c r="BG16" i="11"/>
  <c r="BG17" i="11" s="1"/>
  <c r="AQ48" i="12"/>
  <c r="H258" i="14"/>
  <c r="L231" i="14"/>
  <c r="K265" i="14"/>
  <c r="K276" i="14" s="1"/>
  <c r="K298" i="14" s="1"/>
  <c r="AJ54" i="10"/>
  <c r="N50" i="12"/>
  <c r="O50" i="12" s="1"/>
  <c r="E195" i="6"/>
  <c r="K209" i="9"/>
  <c r="A210" i="9"/>
  <c r="AV51" i="12"/>
  <c r="AW51" i="12" s="1"/>
  <c r="AU51" i="12"/>
  <c r="AC40" i="9"/>
  <c r="AM39" i="9"/>
  <c r="AH195" i="9"/>
  <c r="AG196" i="9"/>
  <c r="AD196" i="9" s="1"/>
  <c r="I286" i="14"/>
  <c r="H297" i="14"/>
  <c r="L233" i="14"/>
  <c r="K267" i="14"/>
  <c r="K278" i="14" s="1"/>
  <c r="K300" i="14" s="1"/>
  <c r="G139" i="28"/>
  <c r="B139" i="28"/>
  <c r="F132" i="10"/>
  <c r="O87" i="25"/>
  <c r="C28" i="23"/>
  <c r="F97" i="13"/>
  <c r="F100" i="18" s="1"/>
  <c r="F60" i="25" s="1"/>
  <c r="AF111" i="9"/>
  <c r="H202" i="6"/>
  <c r="AF53" i="12"/>
  <c r="AG53" i="12" s="1"/>
  <c r="Y161" i="6"/>
  <c r="C141" i="28" s="1"/>
  <c r="G50" i="12"/>
  <c r="AW4" i="11"/>
  <c r="AW14" i="11" s="1"/>
  <c r="K137" i="18" s="1"/>
  <c r="K97" i="25" s="1"/>
  <c r="H34" i="11"/>
  <c r="G34" i="11" s="1"/>
  <c r="AS54" i="10"/>
  <c r="AS56" i="10" s="1"/>
  <c r="AQ56" i="10"/>
  <c r="L226" i="14"/>
  <c r="K260" i="14"/>
  <c r="K271" i="14" s="1"/>
  <c r="K293" i="14" s="1"/>
  <c r="E193" i="13"/>
  <c r="H118" i="13"/>
  <c r="G117" i="13"/>
  <c r="K121" i="13"/>
  <c r="M123" i="13"/>
  <c r="J120" i="13"/>
  <c r="F194" i="13"/>
  <c r="N124" i="13"/>
  <c r="I119" i="13"/>
  <c r="L122" i="13"/>
  <c r="D192" i="13"/>
  <c r="C191" i="13"/>
  <c r="B20" i="2"/>
  <c r="C43" i="16"/>
  <c r="E54" i="10"/>
  <c r="E56" i="10" s="1"/>
  <c r="C56" i="10"/>
  <c r="T22" i="9"/>
  <c r="S23" i="9"/>
  <c r="P23" i="9" s="1"/>
  <c r="BX47" i="12"/>
  <c r="AW49" i="12"/>
  <c r="D52" i="12"/>
  <c r="AC50" i="12"/>
  <c r="AD50" i="12"/>
  <c r="N199" i="14"/>
  <c r="O199" i="14" s="1"/>
  <c r="BJ63" i="12"/>
  <c r="BK63" i="12" s="1"/>
  <c r="BL63" i="12" s="1"/>
  <c r="M204" i="6"/>
  <c r="L230" i="14"/>
  <c r="K264" i="14"/>
  <c r="K275" i="14" s="1"/>
  <c r="CG53" i="10"/>
  <c r="AZ59" i="10"/>
  <c r="F16" i="22"/>
  <c r="I285" i="14"/>
  <c r="H296" i="14"/>
  <c r="AC54" i="10"/>
  <c r="AC56" i="10" s="1"/>
  <c r="AA56" i="10"/>
  <c r="J197" i="6"/>
  <c r="AR52" i="12"/>
  <c r="AS52" i="12" s="1"/>
  <c r="AT52" i="12" s="1"/>
  <c r="BH56" i="10"/>
  <c r="BH57" i="10" s="1"/>
  <c r="BH58" i="10" s="1"/>
  <c r="BG57" i="10"/>
  <c r="CK49" i="10"/>
  <c r="CL49" i="10" s="1"/>
  <c r="Q48" i="12"/>
  <c r="BX48" i="12" s="1"/>
  <c r="CH44" i="12" s="1"/>
  <c r="R48" i="12"/>
  <c r="BW48" i="12"/>
  <c r="F115" i="13"/>
  <c r="AY108" i="9"/>
  <c r="J108" i="9"/>
  <c r="AZ108" i="9" s="1"/>
  <c r="AX3" i="11"/>
  <c r="AX13" i="11" s="1"/>
  <c r="E35" i="11"/>
  <c r="H63" i="26"/>
  <c r="D161" i="31"/>
  <c r="D160" i="31" s="1"/>
  <c r="CO47" i="12"/>
  <c r="CG42" i="12"/>
  <c r="H83" i="13" s="1"/>
  <c r="B53" i="12"/>
  <c r="C53" i="12" s="1"/>
  <c r="C202" i="6"/>
  <c r="Y156" i="6"/>
  <c r="C136" i="28" s="1"/>
  <c r="BL62" i="12"/>
  <c r="C70" i="25"/>
  <c r="E52" i="17"/>
  <c r="F44" i="25"/>
  <c r="CG54" i="10"/>
  <c r="CG56" i="10" s="1"/>
  <c r="CE56" i="10"/>
  <c r="BA36" i="9"/>
  <c r="BN33" i="9" s="1"/>
  <c r="F203" i="6"/>
  <c r="T62" i="12"/>
  <c r="U62" i="12" s="1"/>
  <c r="D143" i="10"/>
  <c r="E143" i="10" s="1"/>
  <c r="E138" i="10"/>
  <c r="AK111" i="9"/>
  <c r="AL111" i="9" s="1"/>
  <c r="AN111" i="9"/>
  <c r="AI112" i="9"/>
  <c r="AN50" i="12"/>
  <c r="G292" i="14"/>
  <c r="AI52" i="12"/>
  <c r="AJ52" i="12"/>
  <c r="AK52" i="12" s="1"/>
  <c r="E109" i="9"/>
  <c r="BB108" i="9"/>
  <c r="F108" i="9"/>
  <c r="AV108" i="9" s="1"/>
  <c r="B36" i="11"/>
  <c r="C36" i="11"/>
  <c r="D35" i="11"/>
  <c r="F35" i="11" s="1"/>
  <c r="AL6" i="11"/>
  <c r="AL7" i="11" s="1"/>
  <c r="AX194" i="9"/>
  <c r="L194" i="9"/>
  <c r="I194" i="9"/>
  <c r="G195" i="9"/>
  <c r="AW195" i="9" s="1"/>
  <c r="F146" i="28"/>
  <c r="D146" i="28"/>
  <c r="E146" i="28" s="1"/>
  <c r="A146" i="28"/>
  <c r="L51" i="12"/>
  <c r="K51" i="12"/>
  <c r="K89" i="15"/>
  <c r="K40" i="18" s="1"/>
  <c r="L90" i="15"/>
  <c r="J261" i="14"/>
  <c r="J272" i="14" s="1"/>
  <c r="J294" i="14" s="1"/>
  <c r="K227" i="14"/>
  <c r="BG9" i="11"/>
  <c r="BG10" i="11" s="1"/>
  <c r="Q32" i="11"/>
  <c r="P32" i="11" s="1"/>
  <c r="S47" i="12"/>
  <c r="BZ47" i="12" s="1"/>
  <c r="CG46" i="12" s="1"/>
  <c r="BY47" i="12"/>
  <c r="K123" i="9"/>
  <c r="A124" i="9"/>
  <c r="H270" i="14"/>
  <c r="H292" i="14" s="1"/>
  <c r="H291" i="14" s="1"/>
  <c r="C30" i="23"/>
  <c r="O89" i="25"/>
  <c r="L232" i="14"/>
  <c r="K266" i="14"/>
  <c r="K277" i="14" s="1"/>
  <c r="K299" i="14" s="1"/>
  <c r="BA57" i="10"/>
  <c r="AY58" i="10"/>
  <c r="AY59" i="10" s="1"/>
  <c r="F95" i="15"/>
  <c r="F17" i="25"/>
  <c r="F41" i="18"/>
  <c r="AS22" i="9"/>
  <c r="D22" i="9"/>
  <c r="AT22" i="9" s="1"/>
  <c r="B11" i="23"/>
  <c r="O14" i="25"/>
  <c r="BQ52" i="10"/>
  <c r="BO53" i="10"/>
  <c r="BO54" i="10" s="1"/>
  <c r="O124" i="9"/>
  <c r="Y123" i="9"/>
  <c r="N33" i="11"/>
  <c r="BH8" i="11"/>
  <c r="U111" i="9"/>
  <c r="W110" i="9"/>
  <c r="X110" i="9" s="1"/>
  <c r="Z110" i="9"/>
  <c r="AM208" i="9"/>
  <c r="AC209" i="9"/>
  <c r="AM123" i="9"/>
  <c r="AC124" i="9"/>
  <c r="G196" i="6"/>
  <c r="Z51" i="12"/>
  <c r="AA51" i="12" s="1"/>
  <c r="AB51" i="12" s="1"/>
  <c r="W196" i="9"/>
  <c r="X196" i="9" s="1"/>
  <c r="U197" i="9"/>
  <c r="Z196" i="9"/>
  <c r="N184" i="14"/>
  <c r="M195" i="14"/>
  <c r="M190" i="14" s="1"/>
  <c r="I13" i="22"/>
  <c r="BM53" i="12"/>
  <c r="BM54" i="12" s="1"/>
  <c r="BN53" i="12"/>
  <c r="BL54" i="12"/>
  <c r="A38" i="9"/>
  <c r="K37" i="9"/>
  <c r="G83" i="13"/>
  <c r="K263" i="14"/>
  <c r="L229" i="14"/>
  <c r="K274" i="14"/>
  <c r="V53" i="12"/>
  <c r="U54" i="12"/>
  <c r="AL51" i="12"/>
  <c r="AM51" i="12" s="1"/>
  <c r="AN51" i="12" s="1"/>
  <c r="I196" i="6"/>
  <c r="L34" i="11"/>
  <c r="AV11" i="11"/>
  <c r="AV12" i="11" s="1"/>
  <c r="M33" i="11"/>
  <c r="O33" i="11" s="1"/>
  <c r="K34" i="11"/>
  <c r="Y208" i="9"/>
  <c r="BA208" i="9" s="1"/>
  <c r="O209" i="9"/>
  <c r="K228" i="14"/>
  <c r="J262" i="14"/>
  <c r="J273" i="14" s="1"/>
  <c r="J295" i="14" s="1"/>
  <c r="AS194" i="9"/>
  <c r="D194" i="9"/>
  <c r="AT194" i="9" s="1"/>
  <c r="AW49" i="10"/>
  <c r="AX49" i="10" s="1"/>
  <c r="AU15" i="11"/>
  <c r="AV5" i="11"/>
  <c r="E79" i="13"/>
  <c r="S79" i="13" s="1"/>
  <c r="K7" i="13"/>
  <c r="I5" i="13"/>
  <c r="D78" i="13"/>
  <c r="R78" i="13" s="1"/>
  <c r="C77" i="13"/>
  <c r="Q77" i="13" s="1"/>
  <c r="L8" i="13"/>
  <c r="F80" i="13"/>
  <c r="T80" i="13" s="1"/>
  <c r="M9" i="13"/>
  <c r="G81" i="13"/>
  <c r="U81" i="13" s="1"/>
  <c r="N10" i="13"/>
  <c r="J6" i="13"/>
  <c r="H4" i="13"/>
  <c r="H16" i="13" s="1"/>
  <c r="H13" i="18" s="1"/>
  <c r="H32" i="13"/>
  <c r="D197" i="6"/>
  <c r="H52" i="12"/>
  <c r="I52" i="12" s="1"/>
  <c r="J52" i="12" s="1"/>
  <c r="J31" i="25"/>
  <c r="I49" i="10"/>
  <c r="BA122" i="9"/>
  <c r="G6" i="22"/>
  <c r="F13" i="17"/>
  <c r="G12" i="18"/>
  <c r="G5" i="25"/>
  <c r="J225" i="14"/>
  <c r="I224" i="14"/>
  <c r="I259" i="14"/>
  <c r="I258" i="14" s="1"/>
  <c r="I51" i="16" s="1"/>
  <c r="I52" i="16" s="1"/>
  <c r="AJ23" i="9"/>
  <c r="AE23" i="9"/>
  <c r="AF23" i="9" s="1"/>
  <c r="Y37" i="9"/>
  <c r="O38" i="9"/>
  <c r="AK52" i="10"/>
  <c r="AI53" i="10"/>
  <c r="AI54" i="10" s="1"/>
  <c r="P49" i="12"/>
  <c r="BV49" i="12"/>
  <c r="I22" i="9"/>
  <c r="L22" i="9"/>
  <c r="G23" i="9"/>
  <c r="AX22" i="9"/>
  <c r="E29" i="25"/>
  <c r="E54" i="18"/>
  <c r="E97" i="13"/>
  <c r="E100" i="18" s="1"/>
  <c r="BQ53" i="10"/>
  <c r="BP54" i="10"/>
  <c r="K268" i="14"/>
  <c r="K279" i="14" s="1"/>
  <c r="K301" i="14" s="1"/>
  <c r="L234" i="14"/>
  <c r="AG49" i="10"/>
  <c r="AH49" i="10" s="1"/>
  <c r="E51" i="12"/>
  <c r="F51" i="12"/>
  <c r="BC51" i="12" l="1"/>
  <c r="CO53" i="10"/>
  <c r="AX62" i="12"/>
  <c r="AY62" i="12" s="1"/>
  <c r="AZ62" i="12" s="1"/>
  <c r="K203" i="6"/>
  <c r="BR53" i="12"/>
  <c r="BQ54" i="12"/>
  <c r="BB53" i="12"/>
  <c r="BC53" i="12" s="1"/>
  <c r="BC54" i="12" s="1"/>
  <c r="BA53" i="12"/>
  <c r="BA54" i="12" s="1"/>
  <c r="G147" i="28"/>
  <c r="B147" i="28"/>
  <c r="D144" i="28"/>
  <c r="E144" i="28" s="1"/>
  <c r="F144" i="28"/>
  <c r="A144" i="28"/>
  <c r="BP62" i="12"/>
  <c r="BQ62" i="12" s="1"/>
  <c r="BR62" i="12" s="1"/>
  <c r="N203" i="6"/>
  <c r="S53" i="10"/>
  <c r="S54" i="10" s="1"/>
  <c r="U52" i="10"/>
  <c r="Y49" i="10" s="1"/>
  <c r="Z49" i="10" s="1"/>
  <c r="AZ54" i="12"/>
  <c r="T54" i="10"/>
  <c r="U53" i="10"/>
  <c r="BD52" i="12"/>
  <c r="BE52" i="12" s="1"/>
  <c r="L197" i="6"/>
  <c r="Y165" i="6" s="1"/>
  <c r="C145" i="28" s="1"/>
  <c r="M52" i="10"/>
  <c r="Q49" i="10" s="1"/>
  <c r="R49" i="10" s="1"/>
  <c r="K53" i="10"/>
  <c r="K54" i="10" s="1"/>
  <c r="D29" i="23"/>
  <c r="O142" i="25"/>
  <c r="BG51" i="12"/>
  <c r="BH51" i="12"/>
  <c r="BI51" i="12" s="1"/>
  <c r="O214" i="18"/>
  <c r="C143" i="25"/>
  <c r="C212" i="18"/>
  <c r="F63" i="26"/>
  <c r="C161" i="31"/>
  <c r="C160" i="31" s="1"/>
  <c r="CO54" i="10"/>
  <c r="CO56" i="10" s="1"/>
  <c r="CM56" i="10"/>
  <c r="I270" i="14"/>
  <c r="I292" i="14" s="1"/>
  <c r="T34" i="11"/>
  <c r="U34" i="11"/>
  <c r="W34" i="11" s="1"/>
  <c r="Z34" i="11" s="1"/>
  <c r="Y34" i="11" s="1"/>
  <c r="V33" i="11"/>
  <c r="X33" i="11" s="1"/>
  <c r="BH16" i="11"/>
  <c r="BH17" i="11" s="1"/>
  <c r="BY54" i="10"/>
  <c r="BY56" i="10" s="1"/>
  <c r="BW56" i="10"/>
  <c r="M53" i="10"/>
  <c r="L54" i="10"/>
  <c r="H12" i="18"/>
  <c r="H5" i="25"/>
  <c r="AO51" i="12"/>
  <c r="AP51" i="12"/>
  <c r="AQ51" i="12" s="1"/>
  <c r="BA37" i="9"/>
  <c r="BN34" i="9" s="1"/>
  <c r="S197" i="9"/>
  <c r="P197" i="9" s="1"/>
  <c r="T196" i="9"/>
  <c r="BH9" i="11"/>
  <c r="BH10" i="11" s="1"/>
  <c r="Q33" i="11"/>
  <c r="P33" i="11" s="1"/>
  <c r="BK19" i="9"/>
  <c r="BY14" i="9"/>
  <c r="F137" i="10"/>
  <c r="L89" i="13"/>
  <c r="K88" i="13"/>
  <c r="C158" i="13"/>
  <c r="J87" i="13"/>
  <c r="H85" i="13"/>
  <c r="F161" i="13"/>
  <c r="N91" i="13"/>
  <c r="G162" i="13"/>
  <c r="E160" i="13"/>
  <c r="M90" i="13"/>
  <c r="D159" i="13"/>
  <c r="I86" i="13"/>
  <c r="S48" i="12"/>
  <c r="BY48" i="12"/>
  <c r="CH43" i="12" s="1"/>
  <c r="I115" i="13" s="1"/>
  <c r="J285" i="14"/>
  <c r="I296" i="14"/>
  <c r="AM40" i="9"/>
  <c r="AC41" i="9"/>
  <c r="P50" i="12"/>
  <c r="BV50" i="12"/>
  <c r="M231" i="14"/>
  <c r="L265" i="14"/>
  <c r="L276" i="14" s="1"/>
  <c r="L298" i="14" s="1"/>
  <c r="L279" i="14"/>
  <c r="L301" i="14" s="1"/>
  <c r="M234" i="14"/>
  <c r="L268" i="14"/>
  <c r="E60" i="25"/>
  <c r="AY22" i="9"/>
  <c r="J22" i="9"/>
  <c r="AZ22" i="9" s="1"/>
  <c r="O39" i="9"/>
  <c r="Y38" i="9"/>
  <c r="G43" i="14"/>
  <c r="G38" i="14"/>
  <c r="F20" i="17"/>
  <c r="G59" i="15"/>
  <c r="G60" i="15"/>
  <c r="G34" i="14"/>
  <c r="G61" i="15"/>
  <c r="G39" i="14"/>
  <c r="F23" i="17"/>
  <c r="G37" i="14"/>
  <c r="G36" i="14"/>
  <c r="G62" i="15"/>
  <c r="G42" i="14"/>
  <c r="G63" i="15"/>
  <c r="G41" i="14"/>
  <c r="F24" i="17"/>
  <c r="G35" i="14"/>
  <c r="G40" i="14"/>
  <c r="L52" i="12"/>
  <c r="M52" i="12" s="1"/>
  <c r="K52" i="12"/>
  <c r="L228" i="14"/>
  <c r="K262" i="14"/>
  <c r="K273" i="14" s="1"/>
  <c r="K295" i="14" s="1"/>
  <c r="A39" i="9"/>
  <c r="K38" i="9"/>
  <c r="AD51" i="12"/>
  <c r="AE51" i="12" s="1"/>
  <c r="AC51" i="12"/>
  <c r="AM209" i="9"/>
  <c r="AC210" i="9"/>
  <c r="BU49" i="10"/>
  <c r="BV49" i="10" s="1"/>
  <c r="M51" i="12"/>
  <c r="AP50" i="12"/>
  <c r="AO50" i="12"/>
  <c r="F142" i="10"/>
  <c r="F147" i="10" s="1"/>
  <c r="CF56" i="10"/>
  <c r="CF57" i="10" s="1"/>
  <c r="CF58" i="10" s="1"/>
  <c r="CE57" i="10"/>
  <c r="B136" i="28"/>
  <c r="G136" i="28"/>
  <c r="L123" i="13"/>
  <c r="H119" i="13"/>
  <c r="E194" i="13"/>
  <c r="J121" i="13"/>
  <c r="N125" i="13"/>
  <c r="I120" i="13"/>
  <c r="C192" i="13"/>
  <c r="M124" i="13"/>
  <c r="G118" i="13"/>
  <c r="K122" i="13"/>
  <c r="D193" i="13"/>
  <c r="F117" i="13"/>
  <c r="AR53" i="12"/>
  <c r="AS53" i="12" s="1"/>
  <c r="J202" i="6"/>
  <c r="Y163" i="6"/>
  <c r="C143" i="28" s="1"/>
  <c r="AE50" i="12"/>
  <c r="CG44" i="12"/>
  <c r="C133" i="18"/>
  <c r="C42" i="16"/>
  <c r="D42" i="16" s="1"/>
  <c r="E42" i="16" s="1"/>
  <c r="M226" i="14"/>
  <c r="L260" i="14"/>
  <c r="L271" i="14" s="1"/>
  <c r="L293" i="14" s="1"/>
  <c r="G141" i="28"/>
  <c r="B141" i="28"/>
  <c r="M233" i="14"/>
  <c r="L267" i="14"/>
  <c r="L278" i="14" s="1"/>
  <c r="L300" i="14" s="1"/>
  <c r="AE196" i="9"/>
  <c r="AF196" i="9" s="1"/>
  <c r="AJ196" i="9"/>
  <c r="F22" i="9"/>
  <c r="AV22" i="9" s="1"/>
  <c r="BB22" i="9"/>
  <c r="E23" i="9"/>
  <c r="G4" i="25"/>
  <c r="AV15" i="11"/>
  <c r="AW5" i="11"/>
  <c r="F204" i="6"/>
  <c r="T63" i="12"/>
  <c r="U63" i="12" s="1"/>
  <c r="V63" i="12" s="1"/>
  <c r="AX4" i="11"/>
  <c r="AX14" i="11" s="1"/>
  <c r="L137" i="18" s="1"/>
  <c r="L97" i="25" s="1"/>
  <c r="H35" i="11"/>
  <c r="G35" i="11" s="1"/>
  <c r="J286" i="14"/>
  <c r="I297" i="14"/>
  <c r="I291" i="14" s="1"/>
  <c r="AO49" i="10"/>
  <c r="AP49" i="10" s="1"/>
  <c r="G19" i="22"/>
  <c r="J49" i="10"/>
  <c r="CW49" i="10"/>
  <c r="DI21" i="10" s="1"/>
  <c r="I2" i="13" s="1"/>
  <c r="D202" i="6"/>
  <c r="H53" i="12"/>
  <c r="I53" i="12" s="1"/>
  <c r="Y157" i="6"/>
  <c r="C137" i="28" s="1"/>
  <c r="N34" i="11"/>
  <c r="BI8" i="11"/>
  <c r="W53" i="12"/>
  <c r="W54" i="12" s="1"/>
  <c r="X53" i="12"/>
  <c r="V54" i="12"/>
  <c r="Z52" i="12"/>
  <c r="AA52" i="12" s="1"/>
  <c r="AB52" i="12" s="1"/>
  <c r="G197" i="6"/>
  <c r="F32" i="25"/>
  <c r="F39" i="18"/>
  <c r="BA59" i="10"/>
  <c r="BA61" i="10" s="1"/>
  <c r="AY61" i="10"/>
  <c r="A125" i="9"/>
  <c r="K124" i="9"/>
  <c r="CG43" i="12"/>
  <c r="L89" i="15"/>
  <c r="L40" i="18" s="1"/>
  <c r="M90" i="15"/>
  <c r="AY3" i="11"/>
  <c r="AY13" i="11" s="1"/>
  <c r="E36" i="11"/>
  <c r="B62" i="12"/>
  <c r="C62" i="12" s="1"/>
  <c r="C203" i="6"/>
  <c r="BI57" i="10"/>
  <c r="BG58" i="10"/>
  <c r="BG59" i="10" s="1"/>
  <c r="AB56" i="10"/>
  <c r="AB57" i="10" s="1"/>
  <c r="AB58" i="10" s="1"/>
  <c r="AA57" i="10"/>
  <c r="BA58" i="10"/>
  <c r="BJ64" i="12"/>
  <c r="BK64" i="12" s="1"/>
  <c r="M205" i="6"/>
  <c r="Q23" i="9"/>
  <c r="V23" i="9"/>
  <c r="D61" i="26"/>
  <c r="B158" i="31" s="1"/>
  <c r="B38" i="2"/>
  <c r="AH53" i="12"/>
  <c r="AG54" i="12"/>
  <c r="D139" i="28"/>
  <c r="E139" i="28" s="1"/>
  <c r="A139" i="28"/>
  <c r="F139" i="28"/>
  <c r="K210" i="9"/>
  <c r="A211" i="9"/>
  <c r="AK53" i="10"/>
  <c r="CZ49" i="10" s="1"/>
  <c r="J6" i="3"/>
  <c r="E45" i="25"/>
  <c r="D4" i="24" s="1"/>
  <c r="AK54" i="10"/>
  <c r="AK56" i="10" s="1"/>
  <c r="AI56" i="10"/>
  <c r="AI24" i="9"/>
  <c r="AK23" i="9"/>
  <c r="AL23" i="9" s="1"/>
  <c r="AN23" i="9"/>
  <c r="L263" i="14"/>
  <c r="L274" i="14" s="1"/>
  <c r="M229" i="14"/>
  <c r="BE54" i="10"/>
  <c r="BF54" i="10" s="1"/>
  <c r="F194" i="9"/>
  <c r="AV194" i="9" s="1"/>
  <c r="BB194" i="9"/>
  <c r="E195" i="9"/>
  <c r="AV52" i="12"/>
  <c r="AW52" i="12" s="1"/>
  <c r="AU52" i="12"/>
  <c r="D56" i="10"/>
  <c r="D57" i="10" s="1"/>
  <c r="D58" i="10" s="1"/>
  <c r="C57" i="10"/>
  <c r="G51" i="12"/>
  <c r="J28" i="18"/>
  <c r="I17" i="17"/>
  <c r="AW23" i="9"/>
  <c r="R49" i="12"/>
  <c r="Q49" i="12"/>
  <c r="BW49" i="12"/>
  <c r="BT62" i="12"/>
  <c r="BS62" i="12"/>
  <c r="J259" i="14"/>
  <c r="J258" i="14" s="1"/>
  <c r="J51" i="16" s="1"/>
  <c r="J52" i="16" s="1"/>
  <c r="K225" i="14"/>
  <c r="J224" i="14"/>
  <c r="H6" i="22"/>
  <c r="G13" i="17"/>
  <c r="O210" i="9"/>
  <c r="Y209" i="9"/>
  <c r="M34" i="11"/>
  <c r="O34" i="11" s="1"/>
  <c r="K35" i="11"/>
  <c r="AW11" i="11"/>
  <c r="AW12" i="11" s="1"/>
  <c r="L35" i="11"/>
  <c r="AL52" i="12"/>
  <c r="AM52" i="12" s="1"/>
  <c r="AN52" i="12" s="1"/>
  <c r="I197" i="6"/>
  <c r="I87" i="13"/>
  <c r="D160" i="13"/>
  <c r="J88" i="13"/>
  <c r="L90" i="13"/>
  <c r="H86" i="13"/>
  <c r="E161" i="13"/>
  <c r="G85" i="13"/>
  <c r="M91" i="13"/>
  <c r="N92" i="13"/>
  <c r="C159" i="13"/>
  <c r="K89" i="13"/>
  <c r="F162" i="13"/>
  <c r="BO53" i="12"/>
  <c r="BO54" i="12" s="1"/>
  <c r="BN54" i="12"/>
  <c r="N195" i="14"/>
  <c r="O184" i="14"/>
  <c r="AC125" i="9"/>
  <c r="AM124" i="9"/>
  <c r="T110" i="9"/>
  <c r="S111" i="9"/>
  <c r="P111" i="9" s="1"/>
  <c r="O125" i="9"/>
  <c r="Y124" i="9"/>
  <c r="BQ54" i="10"/>
  <c r="BQ56" i="10" s="1"/>
  <c r="BO56" i="10"/>
  <c r="M232" i="14"/>
  <c r="L266" i="14"/>
  <c r="L277" i="14" s="1"/>
  <c r="L299" i="14" s="1"/>
  <c r="BA123" i="9"/>
  <c r="L227" i="14"/>
  <c r="K261" i="14"/>
  <c r="K272" i="14" s="1"/>
  <c r="K294" i="14" s="1"/>
  <c r="K31" i="25"/>
  <c r="AY194" i="9"/>
  <c r="J194" i="9"/>
  <c r="AZ194" i="9" s="1"/>
  <c r="E148" i="10"/>
  <c r="C37" i="11"/>
  <c r="AM6" i="11"/>
  <c r="AM7" i="11" s="1"/>
  <c r="B37" i="11"/>
  <c r="D36" i="11"/>
  <c r="F36" i="11" s="1"/>
  <c r="B109" i="9"/>
  <c r="AU109" i="9"/>
  <c r="G291" i="14"/>
  <c r="AH111" i="9"/>
  <c r="AG112" i="9"/>
  <c r="AD112" i="9" s="1"/>
  <c r="V62" i="12"/>
  <c r="BN62" i="12"/>
  <c r="BM62" i="12"/>
  <c r="D53" i="12"/>
  <c r="C54" i="12"/>
  <c r="CO48" i="12"/>
  <c r="CH42" i="12"/>
  <c r="I83" i="13" s="1"/>
  <c r="CX49" i="10"/>
  <c r="DI24" i="10" s="1"/>
  <c r="H44" i="17" s="1"/>
  <c r="BH59" i="10"/>
  <c r="M230" i="14"/>
  <c r="L264" i="14"/>
  <c r="L275" i="14" s="1"/>
  <c r="BM63" i="12"/>
  <c r="BN63" i="12"/>
  <c r="BO63" i="12" s="1"/>
  <c r="F52" i="12"/>
  <c r="E52" i="12"/>
  <c r="AQ57" i="10"/>
  <c r="AR56" i="10"/>
  <c r="AR57" i="10" s="1"/>
  <c r="AR58" i="10" s="1"/>
  <c r="H203" i="6"/>
  <c r="AF62" i="12"/>
  <c r="AG62" i="12" s="1"/>
  <c r="BA209" i="9"/>
  <c r="N51" i="12"/>
  <c r="O51" i="12" s="1"/>
  <c r="E196" i="6"/>
  <c r="H51" i="16"/>
  <c r="N204" i="6" l="1"/>
  <c r="BP63" i="12"/>
  <c r="BQ63" i="12" s="1"/>
  <c r="BR63" i="12" s="1"/>
  <c r="BS53" i="12"/>
  <c r="BS54" i="12" s="1"/>
  <c r="BT53" i="12"/>
  <c r="BR54" i="12"/>
  <c r="K204" i="6"/>
  <c r="AX63" i="12"/>
  <c r="AY63" i="12" s="1"/>
  <c r="AZ63" i="12" s="1"/>
  <c r="BB62" i="12"/>
  <c r="BC62" i="12" s="1"/>
  <c r="BA62" i="12"/>
  <c r="J270" i="14"/>
  <c r="J292" i="14" s="1"/>
  <c r="D147" i="28"/>
  <c r="E147" i="28" s="1"/>
  <c r="F147" i="28"/>
  <c r="A147" i="28"/>
  <c r="BB54" i="12"/>
  <c r="U54" i="10"/>
  <c r="U56" i="10" s="1"/>
  <c r="S56" i="10"/>
  <c r="B145" i="28"/>
  <c r="G145" i="28"/>
  <c r="CM57" i="10"/>
  <c r="CN56" i="10"/>
  <c r="CN57" i="10" s="1"/>
  <c r="CN58" i="10" s="1"/>
  <c r="O212" i="18"/>
  <c r="C141" i="25"/>
  <c r="BW57" i="10"/>
  <c r="BX56" i="10"/>
  <c r="BX57" i="10" s="1"/>
  <c r="BX58" i="10" s="1"/>
  <c r="U35" i="11"/>
  <c r="W35" i="11" s="1"/>
  <c r="Z35" i="11" s="1"/>
  <c r="Y35" i="11" s="1"/>
  <c r="T35" i="11"/>
  <c r="V34" i="11"/>
  <c r="X34" i="11" s="1"/>
  <c r="BI16" i="11"/>
  <c r="BI17" i="11" s="1"/>
  <c r="D30" i="23"/>
  <c r="O143" i="25"/>
  <c r="L202" i="6"/>
  <c r="BD53" i="12"/>
  <c r="BE53" i="12" s="1"/>
  <c r="BF53" i="12" s="1"/>
  <c r="M54" i="10"/>
  <c r="M56" i="10" s="1"/>
  <c r="K56" i="10"/>
  <c r="BF52" i="12"/>
  <c r="V111" i="9"/>
  <c r="Q111" i="9"/>
  <c r="R111" i="9" s="1"/>
  <c r="Y210" i="9"/>
  <c r="O211" i="9"/>
  <c r="J19" i="25"/>
  <c r="AG24" i="9"/>
  <c r="AD24" i="9" s="1"/>
  <c r="AH23" i="9"/>
  <c r="A212" i="9"/>
  <c r="K211" i="9"/>
  <c r="Z23" i="9"/>
  <c r="W23" i="9"/>
  <c r="X23" i="9" s="1"/>
  <c r="U24" i="9"/>
  <c r="BI59" i="10"/>
  <c r="BI61" i="10" s="1"/>
  <c r="BG61" i="10"/>
  <c r="A126" i="9"/>
  <c r="K125" i="9"/>
  <c r="AQ50" i="12"/>
  <c r="A40" i="9"/>
  <c r="K39" i="9"/>
  <c r="G35" i="18"/>
  <c r="G87" i="15"/>
  <c r="G58" i="15"/>
  <c r="G84" i="15"/>
  <c r="BL19" i="9"/>
  <c r="BY16" i="9"/>
  <c r="M268" i="14"/>
  <c r="M279" i="14" s="1"/>
  <c r="M301" i="14" s="1"/>
  <c r="N234" i="14"/>
  <c r="K285" i="14"/>
  <c r="J296" i="14"/>
  <c r="E197" i="6"/>
  <c r="N52" i="12"/>
  <c r="O52" i="12" s="1"/>
  <c r="G52" i="12"/>
  <c r="E159" i="13"/>
  <c r="L88" i="13"/>
  <c r="F160" i="13"/>
  <c r="K87" i="13"/>
  <c r="C157" i="13"/>
  <c r="I85" i="13"/>
  <c r="D158" i="13"/>
  <c r="N90" i="13"/>
  <c r="M89" i="13"/>
  <c r="H162" i="13"/>
  <c r="J86" i="13"/>
  <c r="G161" i="13"/>
  <c r="W62" i="12"/>
  <c r="X62" i="12"/>
  <c r="G97" i="13"/>
  <c r="G100" i="18" s="1"/>
  <c r="AL53" i="12"/>
  <c r="AM53" i="12" s="1"/>
  <c r="I202" i="6"/>
  <c r="Y162" i="6"/>
  <c r="C142" i="28" s="1"/>
  <c r="AX11" i="11"/>
  <c r="AX12" i="11" s="1"/>
  <c r="M35" i="11"/>
  <c r="O35" i="11" s="1"/>
  <c r="K36" i="11"/>
  <c r="L36" i="11"/>
  <c r="G23" i="17"/>
  <c r="H34" i="18" s="1"/>
  <c r="H25" i="25" s="1"/>
  <c r="H63" i="15"/>
  <c r="H88" i="15" s="1"/>
  <c r="H41" i="14"/>
  <c r="H42" i="14"/>
  <c r="G20" i="17"/>
  <c r="H60" i="15"/>
  <c r="H85" i="15" s="1"/>
  <c r="H59" i="15"/>
  <c r="H37" i="14"/>
  <c r="H39" i="14"/>
  <c r="H36" i="14"/>
  <c r="H43" i="14"/>
  <c r="H61" i="15"/>
  <c r="H86" i="15" s="1"/>
  <c r="H62" i="15"/>
  <c r="H87" i="15" s="1"/>
  <c r="H38" i="14"/>
  <c r="H34" i="14"/>
  <c r="G24" i="17"/>
  <c r="H35" i="18" s="1"/>
  <c r="H26" i="25" s="1"/>
  <c r="H35" i="14"/>
  <c r="H40" i="14"/>
  <c r="BU62" i="12"/>
  <c r="S49" i="12"/>
  <c r="BZ49" i="12" s="1"/>
  <c r="CI46" i="12" s="1"/>
  <c r="BY49" i="12"/>
  <c r="E57" i="10"/>
  <c r="C58" i="10"/>
  <c r="C59" i="10" s="1"/>
  <c r="M263" i="14"/>
  <c r="M274" i="14" s="1"/>
  <c r="N229" i="14"/>
  <c r="R23" i="9"/>
  <c r="B63" i="12"/>
  <c r="C63" i="12" s="1"/>
  <c r="C204" i="6"/>
  <c r="AY4" i="11"/>
  <c r="AY14" i="11" s="1"/>
  <c r="M137" i="18" s="1"/>
  <c r="M97" i="25" s="1"/>
  <c r="H36" i="11"/>
  <c r="G36" i="11" s="1"/>
  <c r="AZ61" i="10"/>
  <c r="AZ62" i="10" s="1"/>
  <c r="AZ63" i="10" s="1"/>
  <c r="AY62" i="10"/>
  <c r="G202" i="6"/>
  <c r="Z53" i="12"/>
  <c r="AA53" i="12" s="1"/>
  <c r="Y160" i="6"/>
  <c r="C140" i="28" s="1"/>
  <c r="B137" i="28"/>
  <c r="G137" i="28"/>
  <c r="N233" i="14"/>
  <c r="M278" i="14"/>
  <c r="M300" i="14" s="1"/>
  <c r="M267" i="14"/>
  <c r="C93" i="25"/>
  <c r="C131" i="18"/>
  <c r="G143" i="28"/>
  <c r="B143" i="28"/>
  <c r="F129" i="13"/>
  <c r="F110" i="18" s="1"/>
  <c r="CG57" i="10"/>
  <c r="CE58" i="10"/>
  <c r="CE59" i="10" s="1"/>
  <c r="AM210" i="9"/>
  <c r="BA210" i="9" s="1"/>
  <c r="AC211" i="9"/>
  <c r="G86" i="15"/>
  <c r="G31" i="18"/>
  <c r="F46" i="17"/>
  <c r="F15" i="17"/>
  <c r="H4" i="25"/>
  <c r="H52" i="16"/>
  <c r="AR109" i="9"/>
  <c r="C109" i="9"/>
  <c r="H109" i="9"/>
  <c r="M266" i="14"/>
  <c r="M277" i="14" s="1"/>
  <c r="M299" i="14" s="1"/>
  <c r="N232" i="14"/>
  <c r="BX49" i="12"/>
  <c r="P51" i="12"/>
  <c r="BV51" i="12"/>
  <c r="AR59" i="10"/>
  <c r="N230" i="14"/>
  <c r="M264" i="14"/>
  <c r="M275" i="14" s="1"/>
  <c r="BI58" i="10"/>
  <c r="AO52" i="12"/>
  <c r="AP52" i="12"/>
  <c r="AQ52" i="12" s="1"/>
  <c r="H19" i="22"/>
  <c r="I19" i="22" s="1"/>
  <c r="K259" i="14"/>
  <c r="K258" i="14" s="1"/>
  <c r="K51" i="16" s="1"/>
  <c r="K52" i="16" s="1"/>
  <c r="L225" i="14"/>
  <c r="K224" i="14"/>
  <c r="BZ13" i="9"/>
  <c r="BI20" i="9"/>
  <c r="BJ20" i="9" s="1"/>
  <c r="E58" i="10"/>
  <c r="D59" i="10"/>
  <c r="AU195" i="9"/>
  <c r="B195" i="9"/>
  <c r="AI53" i="12"/>
  <c r="AI54" i="12" s="1"/>
  <c r="AJ53" i="12"/>
  <c r="AH54" i="12"/>
  <c r="AC57" i="10"/>
  <c r="AA58" i="10"/>
  <c r="AA59" i="10" s="1"/>
  <c r="BM54" i="10"/>
  <c r="BN54" i="10" s="1"/>
  <c r="D62" i="12"/>
  <c r="H115" i="13"/>
  <c r="AD52" i="12"/>
  <c r="AE52" i="12" s="1"/>
  <c r="AC52" i="12"/>
  <c r="BI9" i="11"/>
  <c r="BI10" i="11" s="1"/>
  <c r="Q34" i="11"/>
  <c r="P34" i="11" s="1"/>
  <c r="J53" i="12"/>
  <c r="I54" i="12"/>
  <c r="I6" i="22"/>
  <c r="W63" i="12"/>
  <c r="X63" i="12"/>
  <c r="Y63" i="12" s="1"/>
  <c r="AW15" i="11"/>
  <c r="AX5" i="11"/>
  <c r="AK196" i="9"/>
  <c r="AL196" i="9" s="1"/>
  <c r="AI197" i="9"/>
  <c r="AN196" i="9"/>
  <c r="J203" i="6"/>
  <c r="AR62" i="12"/>
  <c r="AS62" i="12" s="1"/>
  <c r="D136" i="28"/>
  <c r="A136" i="28"/>
  <c r="F136" i="28"/>
  <c r="CF59" i="10"/>
  <c r="CG58" i="10"/>
  <c r="L262" i="14"/>
  <c r="L273" i="14" s="1"/>
  <c r="L295" i="14" s="1"/>
  <c r="M228" i="14"/>
  <c r="G88" i="15"/>
  <c r="G33" i="14"/>
  <c r="Y39" i="9"/>
  <c r="O40" i="9"/>
  <c r="R50" i="12"/>
  <c r="Q50" i="12"/>
  <c r="BX50" i="12" s="1"/>
  <c r="CJ44" i="12" s="1"/>
  <c r="BW50" i="12"/>
  <c r="E191" i="13"/>
  <c r="J118" i="13"/>
  <c r="I117" i="13"/>
  <c r="D190" i="13"/>
  <c r="M121" i="13"/>
  <c r="C189" i="13"/>
  <c r="F192" i="13"/>
  <c r="H194" i="13"/>
  <c r="N122" i="13"/>
  <c r="L120" i="13"/>
  <c r="K119" i="13"/>
  <c r="G193" i="13"/>
  <c r="V197" i="9"/>
  <c r="Q197" i="9"/>
  <c r="R197" i="9" s="1"/>
  <c r="H204" i="6"/>
  <c r="AF63" i="12"/>
  <c r="AG63" i="12" s="1"/>
  <c r="AH63" i="12" s="1"/>
  <c r="E53" i="12"/>
  <c r="F53" i="12"/>
  <c r="D54" i="12"/>
  <c r="E37" i="11"/>
  <c r="AZ3" i="11"/>
  <c r="AZ13" i="11" s="1"/>
  <c r="BL64" i="12"/>
  <c r="L31" i="25"/>
  <c r="J5" i="13"/>
  <c r="F79" i="13"/>
  <c r="T79" i="13" s="1"/>
  <c r="G80" i="13"/>
  <c r="U80" i="13" s="1"/>
  <c r="K6" i="13"/>
  <c r="H81" i="13"/>
  <c r="V81" i="13" s="1"/>
  <c r="E78" i="13"/>
  <c r="S78" i="13" s="1"/>
  <c r="C76" i="13"/>
  <c r="Q76" i="13" s="1"/>
  <c r="N9" i="13"/>
  <c r="I4" i="13"/>
  <c r="I16" i="13" s="1"/>
  <c r="I13" i="18" s="1"/>
  <c r="L7" i="13"/>
  <c r="I32" i="13"/>
  <c r="M8" i="13"/>
  <c r="D77" i="13"/>
  <c r="R77" i="13" s="1"/>
  <c r="AH62" i="12"/>
  <c r="B38" i="11"/>
  <c r="AN6" i="11"/>
  <c r="D37" i="11"/>
  <c r="F37" i="11" s="1"/>
  <c r="C38" i="11"/>
  <c r="L261" i="14"/>
  <c r="L272" i="14" s="1"/>
  <c r="L294" i="14" s="1"/>
  <c r="M227" i="14"/>
  <c r="AS57" i="10"/>
  <c r="AQ58" i="10"/>
  <c r="AQ59" i="10" s="1"/>
  <c r="BO62" i="12"/>
  <c r="AE112" i="9"/>
  <c r="AF112" i="9" s="1"/>
  <c r="AJ112" i="9"/>
  <c r="BP56" i="10"/>
  <c r="BP57" i="10" s="1"/>
  <c r="BP58" i="10" s="1"/>
  <c r="BO57" i="10"/>
  <c r="Y125" i="9"/>
  <c r="O126" i="9"/>
  <c r="AC126" i="9"/>
  <c r="AM125" i="9"/>
  <c r="O195" i="14"/>
  <c r="O190" i="14" s="1"/>
  <c r="N190" i="14"/>
  <c r="N35" i="11"/>
  <c r="BJ8" i="11"/>
  <c r="CI42" i="12"/>
  <c r="J83" i="13" s="1"/>
  <c r="CO49" i="12"/>
  <c r="G129" i="13"/>
  <c r="G110" i="18" s="1"/>
  <c r="G70" i="25" s="1"/>
  <c r="AJ56" i="10"/>
  <c r="AJ57" i="10" s="1"/>
  <c r="AJ58" i="10" s="1"/>
  <c r="AI57" i="10"/>
  <c r="CY54" i="10"/>
  <c r="DA49" i="10"/>
  <c r="DI23" i="10" s="1"/>
  <c r="C36" i="22" s="1"/>
  <c r="BJ65" i="12"/>
  <c r="BK65" i="12" s="1"/>
  <c r="BL65" i="12" s="1"/>
  <c r="M206" i="6"/>
  <c r="AC58" i="10"/>
  <c r="AB59" i="10"/>
  <c r="M89" i="15"/>
  <c r="M40" i="18" s="1"/>
  <c r="N90" i="15"/>
  <c r="BA124" i="9"/>
  <c r="F30" i="25"/>
  <c r="F38" i="18"/>
  <c r="Y53" i="12"/>
  <c r="Y54" i="12" s="1"/>
  <c r="X54" i="12"/>
  <c r="D203" i="6"/>
  <c r="H62" i="12"/>
  <c r="I62" i="12" s="1"/>
  <c r="K286" i="14"/>
  <c r="J297" i="14"/>
  <c r="J291" i="14" s="1"/>
  <c r="T64" i="12"/>
  <c r="U64" i="12" s="1"/>
  <c r="F205" i="6"/>
  <c r="AU23" i="9"/>
  <c r="B23" i="9"/>
  <c r="D141" i="28"/>
  <c r="E141" i="28" s="1"/>
  <c r="F141" i="28"/>
  <c r="A141" i="28"/>
  <c r="N226" i="14"/>
  <c r="M260" i="14"/>
  <c r="M271" i="14" s="1"/>
  <c r="M293" i="14" s="1"/>
  <c r="F43" i="16"/>
  <c r="AT53" i="12"/>
  <c r="AS54" i="12"/>
  <c r="BA38" i="9"/>
  <c r="BN35" i="9" s="1"/>
  <c r="G34" i="18"/>
  <c r="G85" i="15"/>
  <c r="BY17" i="9"/>
  <c r="BY18" i="9" s="1"/>
  <c r="BM19" i="9"/>
  <c r="M265" i="14"/>
  <c r="M276" i="14" s="1"/>
  <c r="M298" i="14" s="1"/>
  <c r="N231" i="14"/>
  <c r="AC42" i="9"/>
  <c r="AM41" i="9"/>
  <c r="BZ48" i="12"/>
  <c r="H97" i="13"/>
  <c r="H100" i="18" s="1"/>
  <c r="H60" i="25" s="1"/>
  <c r="BA63" i="12" l="1"/>
  <c r="BB63" i="12"/>
  <c r="BC63" i="12" s="1"/>
  <c r="K205" i="6"/>
  <c r="AX64" i="12"/>
  <c r="AY64" i="12" s="1"/>
  <c r="AZ64" i="12" s="1"/>
  <c r="T56" i="10"/>
  <c r="T57" i="10" s="1"/>
  <c r="T58" i="10" s="1"/>
  <c r="S57" i="10"/>
  <c r="BE54" i="12"/>
  <c r="BU53" i="12"/>
  <c r="BU54" i="12" s="1"/>
  <c r="BT54" i="12"/>
  <c r="BT63" i="12"/>
  <c r="BU63" i="12" s="1"/>
  <c r="BS63" i="12"/>
  <c r="N205" i="6"/>
  <c r="BP64" i="12"/>
  <c r="BQ64" i="12" s="1"/>
  <c r="BR64" i="12" s="1"/>
  <c r="BH53" i="12"/>
  <c r="BI53" i="12" s="1"/>
  <c r="BG53" i="12"/>
  <c r="BX59" i="10"/>
  <c r="CN59" i="10"/>
  <c r="AS58" i="10"/>
  <c r="BG52" i="12"/>
  <c r="BH52" i="12"/>
  <c r="BF54" i="12"/>
  <c r="BD62" i="12"/>
  <c r="BE62" i="12" s="1"/>
  <c r="BF62" i="12" s="1"/>
  <c r="L203" i="6"/>
  <c r="BY57" i="10"/>
  <c r="CC54" i="10" s="1"/>
  <c r="CD54" i="10" s="1"/>
  <c r="BW58" i="10"/>
  <c r="BW59" i="10" s="1"/>
  <c r="CO57" i="10"/>
  <c r="CS54" i="10" s="1"/>
  <c r="CT54" i="10" s="1"/>
  <c r="CM58" i="10"/>
  <c r="CM59" i="10" s="1"/>
  <c r="L56" i="10"/>
  <c r="L57" i="10" s="1"/>
  <c r="L58" i="10" s="1"/>
  <c r="K57" i="10"/>
  <c r="V35" i="11"/>
  <c r="X35" i="11" s="1"/>
  <c r="T36" i="11"/>
  <c r="BJ16" i="11"/>
  <c r="BJ17" i="11" s="1"/>
  <c r="U36" i="11"/>
  <c r="W36" i="11" s="1"/>
  <c r="Z36" i="11" s="1"/>
  <c r="Y36" i="11" s="1"/>
  <c r="D28" i="23"/>
  <c r="O141" i="25"/>
  <c r="D145" i="28"/>
  <c r="E145" i="28" s="1"/>
  <c r="A145" i="28"/>
  <c r="F145" i="28"/>
  <c r="N265" i="14"/>
  <c r="O265" i="14" s="1"/>
  <c r="O231" i="14"/>
  <c r="BZ12" i="9"/>
  <c r="J51" i="18" s="1"/>
  <c r="BG20" i="9"/>
  <c r="BH20" i="9" s="1"/>
  <c r="BM65" i="12"/>
  <c r="BN65" i="12"/>
  <c r="BO65" i="12" s="1"/>
  <c r="L87" i="13"/>
  <c r="E158" i="13"/>
  <c r="I162" i="13"/>
  <c r="M88" i="13"/>
  <c r="D157" i="13"/>
  <c r="F159" i="13"/>
  <c r="G160" i="13"/>
  <c r="C156" i="13"/>
  <c r="J85" i="13"/>
  <c r="H161" i="13"/>
  <c r="N89" i="13"/>
  <c r="K86" i="13"/>
  <c r="N227" i="14"/>
  <c r="M261" i="14"/>
  <c r="M272" i="14" s="1"/>
  <c r="M294" i="14" s="1"/>
  <c r="H37" i="11"/>
  <c r="G37" i="11" s="1"/>
  <c r="AZ4" i="11"/>
  <c r="AZ14" i="11" s="1"/>
  <c r="N137" i="18" s="1"/>
  <c r="N266" i="14"/>
  <c r="O266" i="14" s="1"/>
  <c r="O232" i="14"/>
  <c r="G15" i="22"/>
  <c r="F70" i="25"/>
  <c r="G140" i="28"/>
  <c r="B140" i="28"/>
  <c r="G83" i="15"/>
  <c r="G95" i="15" s="1"/>
  <c r="T23" i="9"/>
  <c r="S24" i="9"/>
  <c r="P24" i="9" s="1"/>
  <c r="AJ24" i="9"/>
  <c r="AE24" i="9"/>
  <c r="AF24" i="9" s="1"/>
  <c r="L286" i="14"/>
  <c r="K297" i="14"/>
  <c r="O127" i="9"/>
  <c r="Y126" i="9"/>
  <c r="AN112" i="9"/>
  <c r="AK112" i="9"/>
  <c r="AL112" i="9" s="1"/>
  <c r="AI113" i="9"/>
  <c r="D52" i="26"/>
  <c r="AN7" i="11"/>
  <c r="I12" i="18"/>
  <c r="I5" i="25"/>
  <c r="BM64" i="12"/>
  <c r="BN64" i="12"/>
  <c r="AJ63" i="12"/>
  <c r="AK63" i="12" s="1"/>
  <c r="AI63" i="12"/>
  <c r="M262" i="14"/>
  <c r="M273" i="14"/>
  <c r="M295" i="14" s="1"/>
  <c r="N228" i="14"/>
  <c r="E136" i="28"/>
  <c r="AT62" i="12"/>
  <c r="AG54" i="10"/>
  <c r="AH54" i="10" s="1"/>
  <c r="K270" i="14"/>
  <c r="K292" i="14" s="1"/>
  <c r="N267" i="14"/>
  <c r="O267" i="14" s="1"/>
  <c r="O233" i="14"/>
  <c r="AB53" i="12"/>
  <c r="AA54" i="12"/>
  <c r="N36" i="11"/>
  <c r="BK8" i="11"/>
  <c r="G142" i="28"/>
  <c r="B142" i="28"/>
  <c r="G60" i="25"/>
  <c r="I97" i="13"/>
  <c r="I100" i="18" s="1"/>
  <c r="I60" i="25" s="1"/>
  <c r="G33" i="15"/>
  <c r="G76" i="15" s="1"/>
  <c r="G26" i="25"/>
  <c r="BA125" i="9"/>
  <c r="Y211" i="9"/>
  <c r="O212" i="9"/>
  <c r="Z111" i="9"/>
  <c r="U112" i="9"/>
  <c r="W111" i="9"/>
  <c r="X111" i="9" s="1"/>
  <c r="CH46" i="12"/>
  <c r="AJ59" i="10"/>
  <c r="BP59" i="10"/>
  <c r="AJ62" i="12"/>
  <c r="AI62" i="12"/>
  <c r="C195" i="9"/>
  <c r="AR195" i="9"/>
  <c r="H195" i="9"/>
  <c r="D109" i="9"/>
  <c r="AT109" i="9" s="1"/>
  <c r="AS109" i="9"/>
  <c r="AC212" i="9"/>
  <c r="AM211" i="9"/>
  <c r="C91" i="25"/>
  <c r="D63" i="12"/>
  <c r="H31" i="18"/>
  <c r="G46" i="17"/>
  <c r="G48" i="17" s="1"/>
  <c r="G15" i="17"/>
  <c r="H15" i="22" s="1"/>
  <c r="L285" i="14"/>
  <c r="K296" i="14"/>
  <c r="AU53" i="12"/>
  <c r="AU54" i="12" s="1"/>
  <c r="AV53" i="12"/>
  <c r="AT54" i="12"/>
  <c r="J62" i="12"/>
  <c r="AS59" i="10"/>
  <c r="AS61" i="10" s="1"/>
  <c r="AQ61" i="10"/>
  <c r="D38" i="11"/>
  <c r="F38" i="11" s="1"/>
  <c r="B39" i="11"/>
  <c r="AO6" i="11"/>
  <c r="C39" i="11"/>
  <c r="G53" i="12"/>
  <c r="F54" i="12"/>
  <c r="AF64" i="12"/>
  <c r="AG64" i="12" s="1"/>
  <c r="H205" i="6"/>
  <c r="S50" i="12"/>
  <c r="BZ50" i="12" s="1"/>
  <c r="CJ46" i="12" s="1"/>
  <c r="BY50" i="12"/>
  <c r="CJ43" i="12" s="1"/>
  <c r="K115" i="13" s="1"/>
  <c r="G78" i="14"/>
  <c r="G67" i="14"/>
  <c r="G21" i="14"/>
  <c r="G55" i="14" s="1"/>
  <c r="G16" i="22" s="1"/>
  <c r="AG197" i="9"/>
  <c r="AD197" i="9" s="1"/>
  <c r="AH196" i="9"/>
  <c r="K53" i="12"/>
  <c r="K54" i="12" s="1"/>
  <c r="L53" i="12"/>
  <c r="J54" i="12"/>
  <c r="F62" i="12"/>
  <c r="E62" i="12"/>
  <c r="N264" i="14"/>
  <c r="O264" i="14" s="1"/>
  <c r="N275" i="14"/>
  <c r="O230" i="14"/>
  <c r="R51" i="12"/>
  <c r="Q51" i="12"/>
  <c r="BX51" i="12" s="1"/>
  <c r="CK44" i="12" s="1"/>
  <c r="BW51" i="12"/>
  <c r="CI44" i="12"/>
  <c r="G22" i="25"/>
  <c r="G26" i="18"/>
  <c r="G53" i="18"/>
  <c r="CG59" i="10"/>
  <c r="CG61" i="10" s="1"/>
  <c r="CE61" i="10"/>
  <c r="A143" i="28"/>
  <c r="F143" i="28"/>
  <c r="D143" i="28"/>
  <c r="E143" i="28" s="1"/>
  <c r="F137" i="28"/>
  <c r="A137" i="28"/>
  <c r="D137" i="28"/>
  <c r="E137" i="28" s="1"/>
  <c r="Z62" i="12"/>
  <c r="AA62" i="12" s="1"/>
  <c r="G203" i="6"/>
  <c r="E59" i="10"/>
  <c r="E61" i="10" s="1"/>
  <c r="C61" i="10"/>
  <c r="CI43" i="12"/>
  <c r="H33" i="14"/>
  <c r="H58" i="15"/>
  <c r="H33" i="15" s="1"/>
  <c r="H76" i="15" s="1"/>
  <c r="H84" i="15"/>
  <c r="H83" i="15" s="1"/>
  <c r="L37" i="11"/>
  <c r="M36" i="11"/>
  <c r="O36" i="11" s="1"/>
  <c r="AY11" i="11"/>
  <c r="AY12" i="11" s="1"/>
  <c r="K37" i="11"/>
  <c r="AL62" i="12"/>
  <c r="AM62" i="12" s="1"/>
  <c r="I203" i="6"/>
  <c r="BT64" i="12"/>
  <c r="BS64" i="12"/>
  <c r="P52" i="12"/>
  <c r="BV52" i="12"/>
  <c r="N268" i="14"/>
  <c r="O268" i="14" s="1"/>
  <c r="O234" i="14"/>
  <c r="BA39" i="9"/>
  <c r="BN36" i="9" s="1"/>
  <c r="A127" i="9"/>
  <c r="K126" i="9"/>
  <c r="K212" i="9"/>
  <c r="A213" i="9"/>
  <c r="F133" i="18"/>
  <c r="V64" i="12"/>
  <c r="M31" i="25"/>
  <c r="BJ9" i="11"/>
  <c r="BJ10" i="11" s="1"/>
  <c r="Q35" i="11"/>
  <c r="P35" i="11" s="1"/>
  <c r="AM126" i="9"/>
  <c r="AC127" i="9"/>
  <c r="AW54" i="10"/>
  <c r="AX54" i="10" s="1"/>
  <c r="W197" i="9"/>
  <c r="X197" i="9" s="1"/>
  <c r="Z197" i="9"/>
  <c r="U198" i="9"/>
  <c r="CJ42" i="12"/>
  <c r="K83" i="13" s="1"/>
  <c r="CO50" i="12"/>
  <c r="AY5" i="11"/>
  <c r="AX15" i="11"/>
  <c r="D191" i="13"/>
  <c r="E192" i="13"/>
  <c r="G194" i="13"/>
  <c r="L121" i="13"/>
  <c r="I118" i="13"/>
  <c r="M122" i="13"/>
  <c r="F193" i="13"/>
  <c r="N123" i="13"/>
  <c r="K120" i="13"/>
  <c r="J119" i="13"/>
  <c r="H117" i="13"/>
  <c r="C190" i="13"/>
  <c r="CK54" i="10"/>
  <c r="CL54" i="10" s="1"/>
  <c r="AZ64" i="10"/>
  <c r="I54" i="10"/>
  <c r="Y62" i="12"/>
  <c r="AC43" i="9"/>
  <c r="AM42" i="9"/>
  <c r="G25" i="25"/>
  <c r="F42" i="16"/>
  <c r="G42" i="16" s="1"/>
  <c r="H42" i="16" s="1"/>
  <c r="N260" i="14"/>
  <c r="O260" i="14" s="1"/>
  <c r="O226" i="14"/>
  <c r="AR23" i="9"/>
  <c r="H23" i="9"/>
  <c r="C23" i="9"/>
  <c r="F206" i="6"/>
  <c r="T65" i="12"/>
  <c r="U65" i="12" s="1"/>
  <c r="V65" i="12" s="1"/>
  <c r="H63" i="12"/>
  <c r="I63" i="12" s="1"/>
  <c r="J63" i="12" s="1"/>
  <c r="D204" i="6"/>
  <c r="F29" i="25"/>
  <c r="N89" i="15"/>
  <c r="O90" i="15"/>
  <c r="M207" i="6"/>
  <c r="BJ66" i="12"/>
  <c r="BK66" i="12" s="1"/>
  <c r="BL66" i="12" s="1"/>
  <c r="AK57" i="10"/>
  <c r="AI58" i="10"/>
  <c r="AI59" i="10" s="1"/>
  <c r="BQ57" i="10"/>
  <c r="BO58" i="10"/>
  <c r="BO59" i="10" s="1"/>
  <c r="BA3" i="11"/>
  <c r="BA18" i="11" s="1"/>
  <c r="E38" i="11"/>
  <c r="H13" i="17"/>
  <c r="C29" i="22"/>
  <c r="E54" i="12"/>
  <c r="Y40" i="9"/>
  <c r="O41" i="9"/>
  <c r="AR63" i="12"/>
  <c r="AS63" i="12" s="1"/>
  <c r="AT63" i="12" s="1"/>
  <c r="J204" i="6"/>
  <c r="AC59" i="10"/>
  <c r="AC61" i="10" s="1"/>
  <c r="AA61" i="10"/>
  <c r="AK53" i="12"/>
  <c r="AK54" i="12" s="1"/>
  <c r="AJ54" i="12"/>
  <c r="L259" i="14"/>
  <c r="L258" i="14" s="1"/>
  <c r="L51" i="16" s="1"/>
  <c r="L52" i="16" s="1"/>
  <c r="L224" i="14"/>
  <c r="M225" i="14"/>
  <c r="G110" i="9"/>
  <c r="AW110" i="9" s="1"/>
  <c r="L109" i="9"/>
  <c r="I109" i="9"/>
  <c r="AX109" i="9"/>
  <c r="BA62" i="10"/>
  <c r="AY63" i="10"/>
  <c r="AY64" i="10" s="1"/>
  <c r="C205" i="6"/>
  <c r="B64" i="12"/>
  <c r="C64" i="12" s="1"/>
  <c r="N263" i="14"/>
  <c r="O263" i="14" s="1"/>
  <c r="O229" i="14"/>
  <c r="AN53" i="12"/>
  <c r="AM54" i="12"/>
  <c r="E202" i="6"/>
  <c r="N53" i="12"/>
  <c r="O53" i="12" s="1"/>
  <c r="Y158" i="6"/>
  <c r="C138" i="28" s="1"/>
  <c r="A41" i="9"/>
  <c r="K40" i="9"/>
  <c r="BH61" i="10"/>
  <c r="BH62" i="10" s="1"/>
  <c r="BH63" i="10" s="1"/>
  <c r="BG62" i="10"/>
  <c r="U57" i="10" l="1"/>
  <c r="Y54" i="10" s="1"/>
  <c r="Z54" i="10" s="1"/>
  <c r="S58" i="10"/>
  <c r="S59" i="10" s="1"/>
  <c r="T59" i="10"/>
  <c r="U58" i="10"/>
  <c r="BP65" i="12"/>
  <c r="BQ65" i="12" s="1"/>
  <c r="BR65" i="12" s="1"/>
  <c r="N206" i="6"/>
  <c r="BB64" i="12"/>
  <c r="BC64" i="12" s="1"/>
  <c r="BA64" i="12"/>
  <c r="K206" i="6"/>
  <c r="AX65" i="12"/>
  <c r="AY65" i="12" s="1"/>
  <c r="AZ65" i="12" s="1"/>
  <c r="BA63" i="10"/>
  <c r="T37" i="11"/>
  <c r="V36" i="11"/>
  <c r="X36" i="11" s="1"/>
  <c r="U37" i="11"/>
  <c r="W37" i="11" s="1"/>
  <c r="Z37" i="11" s="1"/>
  <c r="Y37" i="11" s="1"/>
  <c r="BK16" i="11"/>
  <c r="BK17" i="11" s="1"/>
  <c r="CM61" i="10"/>
  <c r="CO59" i="10"/>
  <c r="CO61" i="10" s="1"/>
  <c r="BD63" i="12"/>
  <c r="BE63" i="12" s="1"/>
  <c r="BF63" i="12" s="1"/>
  <c r="L204" i="6"/>
  <c r="BY58" i="10"/>
  <c r="BA211" i="9"/>
  <c r="BH62" i="12"/>
  <c r="BI62" i="12" s="1"/>
  <c r="BG62" i="12"/>
  <c r="N279" i="14"/>
  <c r="N278" i="14"/>
  <c r="K58" i="10"/>
  <c r="K59" i="10" s="1"/>
  <c r="M57" i="10"/>
  <c r="Q54" i="10" s="1"/>
  <c r="R54" i="10" s="1"/>
  <c r="BW61" i="10"/>
  <c r="BY59" i="10"/>
  <c r="BY61" i="10" s="1"/>
  <c r="CO58" i="10"/>
  <c r="BG54" i="12"/>
  <c r="L59" i="10"/>
  <c r="BI52" i="12"/>
  <c r="BI54" i="12" s="1"/>
  <c r="BH54" i="12"/>
  <c r="G50" i="17"/>
  <c r="G49" i="17"/>
  <c r="B138" i="28"/>
  <c r="G138" i="28"/>
  <c r="G148" i="28" s="1"/>
  <c r="D64" i="12"/>
  <c r="E110" i="9"/>
  <c r="F109" i="9"/>
  <c r="AV109" i="9" s="1"/>
  <c r="BB109" i="9"/>
  <c r="AB61" i="10"/>
  <c r="AB62" i="10" s="1"/>
  <c r="AB63" i="10" s="1"/>
  <c r="AA62" i="10"/>
  <c r="G24" i="9"/>
  <c r="AX23" i="9"/>
  <c r="I23" i="9"/>
  <c r="L23" i="9"/>
  <c r="H129" i="13"/>
  <c r="H110" i="18" s="1"/>
  <c r="AY15" i="11"/>
  <c r="AZ5" i="11"/>
  <c r="K213" i="9"/>
  <c r="A214" i="9"/>
  <c r="BU64" i="12"/>
  <c r="J115" i="13"/>
  <c r="CF61" i="10"/>
  <c r="CF62" i="10" s="1"/>
  <c r="CF63" i="10" s="1"/>
  <c r="CE62" i="10"/>
  <c r="M53" i="12"/>
  <c r="M54" i="12" s="1"/>
  <c r="L54" i="12"/>
  <c r="AW53" i="12"/>
  <c r="AW54" i="12" s="1"/>
  <c r="AV54" i="12"/>
  <c r="L195" i="9"/>
  <c r="G196" i="9"/>
  <c r="AW196" i="9" s="1"/>
  <c r="I195" i="9"/>
  <c r="AX195" i="9"/>
  <c r="N300" i="14"/>
  <c r="O300" i="14" s="1"/>
  <c r="O278" i="14"/>
  <c r="AH112" i="9"/>
  <c r="AG113" i="9"/>
  <c r="AD113" i="9" s="1"/>
  <c r="AK24" i="9"/>
  <c r="AL24" i="9" s="1"/>
  <c r="AI25" i="9"/>
  <c r="AN24" i="9"/>
  <c r="H95" i="15"/>
  <c r="D140" i="28"/>
  <c r="E140" i="28" s="1"/>
  <c r="A140" i="28"/>
  <c r="F140" i="28"/>
  <c r="N97" i="25"/>
  <c r="O137" i="18"/>
  <c r="J97" i="13"/>
  <c r="J100" i="18" s="1"/>
  <c r="J60" i="25" s="1"/>
  <c r="D44" i="22"/>
  <c r="J42" i="25"/>
  <c r="BH64" i="10"/>
  <c r="P53" i="12"/>
  <c r="O54" i="12"/>
  <c r="BV53" i="12"/>
  <c r="BV54" i="12" s="1"/>
  <c r="N274" i="14"/>
  <c r="B65" i="12"/>
  <c r="C65" i="12" s="1"/>
  <c r="C206" i="6"/>
  <c r="L270" i="14"/>
  <c r="L292" i="14" s="1"/>
  <c r="AU63" i="12"/>
  <c r="AV63" i="12"/>
  <c r="AW63" i="12" s="1"/>
  <c r="BU54" i="10"/>
  <c r="BV54" i="10" s="1"/>
  <c r="AO54" i="10"/>
  <c r="AP54" i="10" s="1"/>
  <c r="X65" i="12"/>
  <c r="Y65" i="12" s="1"/>
  <c r="W65" i="12"/>
  <c r="I43" i="16"/>
  <c r="I42" i="16" s="1"/>
  <c r="J42" i="16" s="1"/>
  <c r="K42" i="16" s="1"/>
  <c r="AM43" i="9"/>
  <c r="AC44" i="9"/>
  <c r="AM127" i="9"/>
  <c r="AC128" i="9"/>
  <c r="D61" i="10"/>
  <c r="D62" i="10" s="1"/>
  <c r="D63" i="10" s="1"/>
  <c r="C62" i="10"/>
  <c r="AB62" i="12"/>
  <c r="G17" i="25"/>
  <c r="H206" i="6"/>
  <c r="AF65" i="12"/>
  <c r="AG65" i="12" s="1"/>
  <c r="AH65" i="12" s="1"/>
  <c r="D39" i="11"/>
  <c r="F39" i="11" s="1"/>
  <c r="B40" i="11"/>
  <c r="AP6" i="11"/>
  <c r="C40" i="11"/>
  <c r="AR61" i="10"/>
  <c r="AR62" i="10" s="1"/>
  <c r="AR63" i="10" s="1"/>
  <c r="AQ62" i="10"/>
  <c r="AM212" i="9"/>
  <c r="AC213" i="9"/>
  <c r="BQ58" i="10"/>
  <c r="T111" i="9"/>
  <c r="S112" i="9"/>
  <c r="P112" i="9" s="1"/>
  <c r="B149" i="31"/>
  <c r="B148" i="31" s="1"/>
  <c r="B171" i="31" s="1"/>
  <c r="B63" i="31" s="1"/>
  <c r="D51" i="26"/>
  <c r="Q24" i="9"/>
  <c r="R24" i="9" s="1"/>
  <c r="V24" i="9"/>
  <c r="F58" i="17"/>
  <c r="I15" i="22"/>
  <c r="BI62" i="10"/>
  <c r="BG63" i="10"/>
  <c r="BG64" i="10" s="1"/>
  <c r="BE59" i="10"/>
  <c r="BF59" i="10" s="1"/>
  <c r="M208" i="6"/>
  <c r="BJ67" i="12"/>
  <c r="BK67" i="12" s="1"/>
  <c r="BL67" i="12" s="1"/>
  <c r="X64" i="12"/>
  <c r="W64" i="12"/>
  <c r="N301" i="14"/>
  <c r="O301" i="14" s="1"/>
  <c r="O279" i="14"/>
  <c r="AZ11" i="11"/>
  <c r="AZ12" i="11" s="1"/>
  <c r="K38" i="11"/>
  <c r="L38" i="11"/>
  <c r="N38" i="11" s="1"/>
  <c r="Q38" i="11" s="1"/>
  <c r="P38" i="11" s="1"/>
  <c r="M37" i="11"/>
  <c r="O37" i="11" s="1"/>
  <c r="S51" i="12"/>
  <c r="BZ51" i="12" s="1"/>
  <c r="CK46" i="12" s="1"/>
  <c r="BY51" i="12"/>
  <c r="CK43" i="12" s="1"/>
  <c r="L115" i="13" s="1"/>
  <c r="I193" i="13"/>
  <c r="N120" i="13"/>
  <c r="G191" i="13"/>
  <c r="K117" i="13"/>
  <c r="C187" i="13"/>
  <c r="J194" i="13"/>
  <c r="L118" i="13"/>
  <c r="M119" i="13"/>
  <c r="D188" i="13"/>
  <c r="E189" i="13"/>
  <c r="H192" i="13"/>
  <c r="F190" i="13"/>
  <c r="AO16" i="11"/>
  <c r="AO7" i="11"/>
  <c r="AO17" i="11" s="1"/>
  <c r="E63" i="12"/>
  <c r="F63" i="12"/>
  <c r="BA40" i="9"/>
  <c r="BN37" i="9" s="1"/>
  <c r="E203" i="6"/>
  <c r="N62" i="12"/>
  <c r="O62" i="12" s="1"/>
  <c r="BA64" i="10"/>
  <c r="BA66" i="10" s="1"/>
  <c r="AY66" i="10"/>
  <c r="O42" i="9"/>
  <c r="Y41" i="9"/>
  <c r="C42" i="22"/>
  <c r="BA4" i="11"/>
  <c r="BA19" i="11" s="1"/>
  <c r="C222" i="18" s="1"/>
  <c r="H38" i="11"/>
  <c r="G38" i="11" s="1"/>
  <c r="N40" i="18"/>
  <c r="O89" i="15"/>
  <c r="D205" i="6"/>
  <c r="H64" i="12"/>
  <c r="I64" i="12" s="1"/>
  <c r="J64" i="12" s="1"/>
  <c r="F207" i="6"/>
  <c r="T66" i="12"/>
  <c r="U66" i="12" s="1"/>
  <c r="J54" i="10"/>
  <c r="CW54" i="10"/>
  <c r="DJ21" i="10" s="1"/>
  <c r="J2" i="13" s="1"/>
  <c r="CX54" i="10"/>
  <c r="DJ24" i="10" s="1"/>
  <c r="I44" i="17" s="1"/>
  <c r="E157" i="13"/>
  <c r="M87" i="13"/>
  <c r="L86" i="13"/>
  <c r="C155" i="13"/>
  <c r="H160" i="13"/>
  <c r="F158" i="13"/>
  <c r="I161" i="13"/>
  <c r="N88" i="13"/>
  <c r="D156" i="13"/>
  <c r="K85" i="13"/>
  <c r="J162" i="13"/>
  <c r="G159" i="13"/>
  <c r="F93" i="25"/>
  <c r="BA126" i="9"/>
  <c r="R52" i="12"/>
  <c r="Q52" i="12"/>
  <c r="BX52" i="12" s="1"/>
  <c r="CL44" i="12" s="1"/>
  <c r="BW52" i="12"/>
  <c r="AL63" i="12"/>
  <c r="AM63" i="12" s="1"/>
  <c r="AN63" i="12" s="1"/>
  <c r="I204" i="6"/>
  <c r="H67" i="14"/>
  <c r="H78" i="14"/>
  <c r="H41" i="18" s="1"/>
  <c r="H21" i="14"/>
  <c r="H55" i="14" s="1"/>
  <c r="H16" i="22" s="1"/>
  <c r="I16" i="22" s="1"/>
  <c r="CO51" i="12"/>
  <c r="CK42" i="12"/>
  <c r="L83" i="13" s="1"/>
  <c r="O275" i="14"/>
  <c r="AH64" i="12"/>
  <c r="L62" i="12"/>
  <c r="K62" i="12"/>
  <c r="AS195" i="9"/>
  <c r="D195" i="9"/>
  <c r="AT195" i="9" s="1"/>
  <c r="Y212" i="9"/>
  <c r="O213" i="9"/>
  <c r="AC53" i="12"/>
  <c r="AC54" i="12" s="1"/>
  <c r="AD53" i="12"/>
  <c r="AB54" i="12"/>
  <c r="K291" i="14"/>
  <c r="I4" i="25"/>
  <c r="O128" i="9"/>
  <c r="Y127" i="9"/>
  <c r="M286" i="14"/>
  <c r="L297" i="14"/>
  <c r="N276" i="14"/>
  <c r="J205" i="6"/>
  <c r="AR64" i="12"/>
  <c r="AS64" i="12" s="1"/>
  <c r="T197" i="9"/>
  <c r="S198" i="9"/>
  <c r="P198" i="9" s="1"/>
  <c r="F52" i="17"/>
  <c r="G44" i="25"/>
  <c r="G62" i="12"/>
  <c r="G54" i="12"/>
  <c r="D142" i="28"/>
  <c r="E142" i="28" s="1"/>
  <c r="F142" i="28"/>
  <c r="A142" i="28"/>
  <c r="K41" i="9"/>
  <c r="A42" i="9"/>
  <c r="AO53" i="12"/>
  <c r="AO54" i="12" s="1"/>
  <c r="AP53" i="12"/>
  <c r="AN54" i="12"/>
  <c r="AY109" i="9"/>
  <c r="J109" i="9"/>
  <c r="AZ109" i="9" s="1"/>
  <c r="N225" i="14"/>
  <c r="M224" i="14"/>
  <c r="M259" i="14"/>
  <c r="M258" i="14" s="1"/>
  <c r="M51" i="16" s="1"/>
  <c r="M52" i="16" s="1"/>
  <c r="I41" i="14"/>
  <c r="I38" i="14"/>
  <c r="I60" i="15"/>
  <c r="I85" i="15" s="1"/>
  <c r="H23" i="17"/>
  <c r="I34" i="18" s="1"/>
  <c r="I25" i="25" s="1"/>
  <c r="I39" i="14"/>
  <c r="I59" i="15"/>
  <c r="I42" i="14"/>
  <c r="I62" i="15"/>
  <c r="I87" i="15" s="1"/>
  <c r="I63" i="15"/>
  <c r="I88" i="15" s="1"/>
  <c r="I34" i="14"/>
  <c r="I37" i="14"/>
  <c r="I43" i="14"/>
  <c r="I61" i="15"/>
  <c r="I86" i="15" s="1"/>
  <c r="H20" i="17"/>
  <c r="I36" i="14"/>
  <c r="H24" i="17"/>
  <c r="I35" i="18" s="1"/>
  <c r="I26" i="25" s="1"/>
  <c r="I40" i="14"/>
  <c r="I35" i="14"/>
  <c r="BQ59" i="10"/>
  <c r="BQ61" i="10" s="1"/>
  <c r="BO61" i="10"/>
  <c r="AK59" i="10"/>
  <c r="AK61" i="10" s="1"/>
  <c r="AI61" i="10"/>
  <c r="BM66" i="12"/>
  <c r="BN66" i="12"/>
  <c r="BO66" i="12" s="1"/>
  <c r="K63" i="12"/>
  <c r="L63" i="12"/>
  <c r="M63" i="12" s="1"/>
  <c r="AS23" i="9"/>
  <c r="D23" i="9"/>
  <c r="AT23" i="9" s="1"/>
  <c r="N271" i="14"/>
  <c r="A128" i="9"/>
  <c r="K127" i="9"/>
  <c r="AN62" i="12"/>
  <c r="BL8" i="11"/>
  <c r="N37" i="11"/>
  <c r="G204" i="6"/>
  <c r="Z63" i="12"/>
  <c r="AA63" i="12" s="1"/>
  <c r="AB63" i="12" s="1"/>
  <c r="AE197" i="9"/>
  <c r="AF197" i="9" s="1"/>
  <c r="AJ197" i="9"/>
  <c r="G41" i="18"/>
  <c r="BB3" i="11"/>
  <c r="BB18" i="11" s="1"/>
  <c r="E39" i="11"/>
  <c r="M285" i="14"/>
  <c r="L296" i="14"/>
  <c r="H22" i="25"/>
  <c r="H26" i="18"/>
  <c r="H53" i="18"/>
  <c r="AK62" i="12"/>
  <c r="AK58" i="10"/>
  <c r="BK9" i="11"/>
  <c r="BK10" i="11" s="1"/>
  <c r="Q36" i="11"/>
  <c r="P36" i="11" s="1"/>
  <c r="AU62" i="12"/>
  <c r="AV62" i="12"/>
  <c r="N262" i="14"/>
  <c r="O262" i="14" s="1"/>
  <c r="O228" i="14"/>
  <c r="I129" i="13"/>
  <c r="I110" i="18" s="1"/>
  <c r="I70" i="25" s="1"/>
  <c r="BO64" i="12"/>
  <c r="N277" i="14"/>
  <c r="N261" i="14"/>
  <c r="O261" i="14" s="1"/>
  <c r="O227" i="14"/>
  <c r="N207" i="6" l="1"/>
  <c r="BP66" i="12"/>
  <c r="BQ66" i="12" s="1"/>
  <c r="BR66" i="12" s="1"/>
  <c r="BT65" i="12"/>
  <c r="BU65" i="12" s="1"/>
  <c r="BS65" i="12"/>
  <c r="BB65" i="12"/>
  <c r="BC65" i="12" s="1"/>
  <c r="BA65" i="12"/>
  <c r="U59" i="10"/>
  <c r="U61" i="10" s="1"/>
  <c r="S61" i="10"/>
  <c r="K207" i="6"/>
  <c r="AX66" i="12"/>
  <c r="AY66" i="12" s="1"/>
  <c r="AZ66" i="12" s="1"/>
  <c r="M59" i="10"/>
  <c r="M61" i="10" s="1"/>
  <c r="K61" i="10"/>
  <c r="BG63" i="12"/>
  <c r="BH63" i="12"/>
  <c r="BI63" i="12" s="1"/>
  <c r="M58" i="10"/>
  <c r="CZ54" i="10" s="1"/>
  <c r="N272" i="14"/>
  <c r="BW62" i="10"/>
  <c r="BX61" i="10"/>
  <c r="BX62" i="10" s="1"/>
  <c r="BX63" i="10" s="1"/>
  <c r="CN61" i="10"/>
  <c r="CN62" i="10" s="1"/>
  <c r="CN63" i="10" s="1"/>
  <c r="CM62" i="10"/>
  <c r="U38" i="11"/>
  <c r="W38" i="11" s="1"/>
  <c r="Z38" i="11" s="1"/>
  <c r="Y38" i="11" s="1"/>
  <c r="T38" i="11"/>
  <c r="BL16" i="11"/>
  <c r="BL17" i="11" s="1"/>
  <c r="V37" i="11"/>
  <c r="X37" i="11" s="1"/>
  <c r="BD64" i="12"/>
  <c r="BE64" i="12" s="1"/>
  <c r="BF64" i="12" s="1"/>
  <c r="L205" i="6"/>
  <c r="L43" i="16"/>
  <c r="L133" i="18" s="1"/>
  <c r="N299" i="14"/>
  <c r="O299" i="14" s="1"/>
  <c r="O277" i="14"/>
  <c r="H17" i="25"/>
  <c r="Y213" i="9"/>
  <c r="O214" i="9"/>
  <c r="AI64" i="12"/>
  <c r="AJ64" i="12"/>
  <c r="H32" i="25"/>
  <c r="H39" i="18"/>
  <c r="K97" i="13"/>
  <c r="K100" i="18" s="1"/>
  <c r="C151" i="25"/>
  <c r="O43" i="9"/>
  <c r="Y42" i="9"/>
  <c r="BN67" i="12"/>
  <c r="BO67" i="12" s="1"/>
  <c r="BM67" i="12"/>
  <c r="BC3" i="11"/>
  <c r="BC18" i="11" s="1"/>
  <c r="E40" i="11"/>
  <c r="AM44" i="9"/>
  <c r="AC45" i="9"/>
  <c r="B66" i="12"/>
  <c r="C66" i="12" s="1"/>
  <c r="C207" i="6"/>
  <c r="B30" i="2"/>
  <c r="O97" i="25"/>
  <c r="C38" i="23"/>
  <c r="E196" i="9"/>
  <c r="BB195" i="9"/>
  <c r="F195" i="9"/>
  <c r="AV195" i="9" s="1"/>
  <c r="A215" i="9"/>
  <c r="K214" i="9"/>
  <c r="N273" i="14"/>
  <c r="Q37" i="11"/>
  <c r="P37" i="11" s="1"/>
  <c r="BL9" i="11"/>
  <c r="BL10" i="11" s="1"/>
  <c r="BZ14" i="9"/>
  <c r="BK20" i="9"/>
  <c r="BP61" i="10"/>
  <c r="BP62" i="10" s="1"/>
  <c r="BP63" i="10" s="1"/>
  <c r="BO62" i="10"/>
  <c r="A43" i="9"/>
  <c r="K42" i="9"/>
  <c r="N298" i="14"/>
  <c r="O298" i="14" s="1"/>
  <c r="O276" i="14"/>
  <c r="N286" i="14"/>
  <c r="M297" i="14"/>
  <c r="AE53" i="12"/>
  <c r="AE54" i="12" s="1"/>
  <c r="AD54" i="12"/>
  <c r="M62" i="12"/>
  <c r="F78" i="13"/>
  <c r="T78" i="13" s="1"/>
  <c r="H80" i="13"/>
  <c r="V80" i="13" s="1"/>
  <c r="M7" i="13"/>
  <c r="C75" i="13"/>
  <c r="Q75" i="13" s="1"/>
  <c r="K5" i="13"/>
  <c r="J4" i="13"/>
  <c r="J16" i="13" s="1"/>
  <c r="J13" i="18" s="1"/>
  <c r="E77" i="13"/>
  <c r="S77" i="13" s="1"/>
  <c r="D76" i="13"/>
  <c r="R76" i="13" s="1"/>
  <c r="G79" i="13"/>
  <c r="U79" i="13" s="1"/>
  <c r="L6" i="13"/>
  <c r="I81" i="13"/>
  <c r="W81" i="13" s="1"/>
  <c r="J32" i="13"/>
  <c r="N8" i="13"/>
  <c r="N31" i="25"/>
  <c r="O40" i="18"/>
  <c r="M209" i="6"/>
  <c r="BJ68" i="12"/>
  <c r="BK68" i="12" s="1"/>
  <c r="BL68" i="12" s="1"/>
  <c r="BM59" i="10"/>
  <c r="BN59" i="10" s="1"/>
  <c r="AP16" i="11"/>
  <c r="AP7" i="11"/>
  <c r="AP17" i="11" s="1"/>
  <c r="D65" i="12"/>
  <c r="Q53" i="12"/>
  <c r="R53" i="12"/>
  <c r="P54" i="12"/>
  <c r="BW53" i="12"/>
  <c r="AE113" i="9"/>
  <c r="AF113" i="9" s="1"/>
  <c r="AJ113" i="9"/>
  <c r="K118" i="13"/>
  <c r="H193" i="13"/>
  <c r="M120" i="13"/>
  <c r="L119" i="13"/>
  <c r="F191" i="13"/>
  <c r="E190" i="13"/>
  <c r="I194" i="13"/>
  <c r="G192" i="13"/>
  <c r="J117" i="13"/>
  <c r="D189" i="13"/>
  <c r="N121" i="13"/>
  <c r="C188" i="13"/>
  <c r="F23" i="9"/>
  <c r="AV23" i="9" s="1"/>
  <c r="BB23" i="9"/>
  <c r="E24" i="9"/>
  <c r="AC62" i="10"/>
  <c r="AA63" i="10"/>
  <c r="AA64" i="10" s="1"/>
  <c r="AU110" i="9"/>
  <c r="B110" i="9"/>
  <c r="D138" i="28"/>
  <c r="A138" i="28"/>
  <c r="F138" i="28"/>
  <c r="I58" i="18"/>
  <c r="I31" i="18"/>
  <c r="H46" i="17"/>
  <c r="H15" i="17"/>
  <c r="C38" i="22" s="1"/>
  <c r="I58" i="15"/>
  <c r="I33" i="15" s="1"/>
  <c r="I76" i="15" s="1"/>
  <c r="I84" i="15"/>
  <c r="I83" i="15" s="1"/>
  <c r="I95" i="15" s="1"/>
  <c r="G158" i="13"/>
  <c r="D155" i="13"/>
  <c r="I160" i="13"/>
  <c r="H159" i="13"/>
  <c r="N87" i="13"/>
  <c r="L85" i="13"/>
  <c r="E156" i="13"/>
  <c r="J161" i="13"/>
  <c r="K162" i="13"/>
  <c r="M86" i="13"/>
  <c r="C154" i="13"/>
  <c r="F157" i="13"/>
  <c r="T67" i="12"/>
  <c r="U67" i="12" s="1"/>
  <c r="V67" i="12" s="1"/>
  <c r="F208" i="6"/>
  <c r="K129" i="13"/>
  <c r="K110" i="18" s="1"/>
  <c r="K70" i="25" s="1"/>
  <c r="BA11" i="11"/>
  <c r="BA12" i="11" s="1"/>
  <c r="M38" i="11"/>
  <c r="O38" i="11" s="1"/>
  <c r="L39" i="11"/>
  <c r="N39" i="11" s="1"/>
  <c r="Q39" i="11" s="1"/>
  <c r="P39" i="11" s="1"/>
  <c r="K39" i="11"/>
  <c r="Q112" i="9"/>
  <c r="R112" i="9" s="1"/>
  <c r="V112" i="9"/>
  <c r="D64" i="10"/>
  <c r="AW24" i="9"/>
  <c r="K28" i="18"/>
  <c r="J17" i="17"/>
  <c r="G32" i="25"/>
  <c r="G39" i="18"/>
  <c r="BA127" i="9"/>
  <c r="AJ61" i="10"/>
  <c r="AJ62" i="10" s="1"/>
  <c r="AJ63" i="10" s="1"/>
  <c r="AI62" i="10"/>
  <c r="N259" i="14"/>
  <c r="N270" i="14" s="1"/>
  <c r="N224" i="14"/>
  <c r="O225" i="14"/>
  <c r="BA41" i="9"/>
  <c r="BN38" i="9" s="1"/>
  <c r="AT64" i="12"/>
  <c r="I205" i="6"/>
  <c r="AL64" i="12"/>
  <c r="AM64" i="12" s="1"/>
  <c r="S52" i="12"/>
  <c r="BZ52" i="12" s="1"/>
  <c r="CL46" i="12" s="1"/>
  <c r="BY52" i="12"/>
  <c r="CL43" i="12" s="1"/>
  <c r="M115" i="13" s="1"/>
  <c r="K64" i="12"/>
  <c r="L64" i="12"/>
  <c r="M64" i="12" s="1"/>
  <c r="AZ66" i="10"/>
  <c r="AZ67" i="10" s="1"/>
  <c r="AZ68" i="10" s="1"/>
  <c r="AY67" i="10"/>
  <c r="P62" i="12"/>
  <c r="BV62" i="12"/>
  <c r="Y64" i="12"/>
  <c r="G58" i="17"/>
  <c r="AS62" i="10"/>
  <c r="AQ63" i="10"/>
  <c r="AQ64" i="10" s="1"/>
  <c r="C41" i="11"/>
  <c r="AQ6" i="11"/>
  <c r="D40" i="11"/>
  <c r="F40" i="11" s="1"/>
  <c r="B41" i="11"/>
  <c r="AJ65" i="12"/>
  <c r="AK65" i="12" s="1"/>
  <c r="AI65" i="12"/>
  <c r="BA212" i="9"/>
  <c r="L291" i="14"/>
  <c r="O274" i="14"/>
  <c r="BI63" i="10"/>
  <c r="AH24" i="9"/>
  <c r="AG25" i="9"/>
  <c r="AD25" i="9" s="1"/>
  <c r="AY195" i="9"/>
  <c r="J195" i="9"/>
  <c r="AZ195" i="9" s="1"/>
  <c r="CG62" i="10"/>
  <c r="CE63" i="10"/>
  <c r="CE64" i="10" s="1"/>
  <c r="BA5" i="11"/>
  <c r="AZ15" i="11"/>
  <c r="H70" i="25"/>
  <c r="AY23" i="9"/>
  <c r="J23" i="9"/>
  <c r="AZ23" i="9" s="1"/>
  <c r="AC63" i="10"/>
  <c r="AB64" i="10"/>
  <c r="E64" i="12"/>
  <c r="F64" i="12"/>
  <c r="G205" i="6"/>
  <c r="Z64" i="12"/>
  <c r="AA64" i="12" s="1"/>
  <c r="I33" i="14"/>
  <c r="CL42" i="12"/>
  <c r="M83" i="13" s="1"/>
  <c r="CO52" i="12"/>
  <c r="C186" i="13"/>
  <c r="E188" i="13"/>
  <c r="I192" i="13"/>
  <c r="N119" i="13"/>
  <c r="K194" i="13"/>
  <c r="H191" i="13"/>
  <c r="D187" i="13"/>
  <c r="G190" i="13"/>
  <c r="J193" i="13"/>
  <c r="F189" i="13"/>
  <c r="L117" i="13"/>
  <c r="M118" i="13"/>
  <c r="N294" i="14"/>
  <c r="O294" i="14" s="1"/>
  <c r="O272" i="14"/>
  <c r="AW62" i="12"/>
  <c r="G52" i="17"/>
  <c r="H44" i="25"/>
  <c r="N285" i="14"/>
  <c r="O285" i="14" s="1"/>
  <c r="M296" i="14"/>
  <c r="BB4" i="11"/>
  <c r="BB19" i="11" s="1"/>
  <c r="D222" i="18" s="1"/>
  <c r="D151" i="25" s="1"/>
  <c r="H39" i="11"/>
  <c r="G39" i="11" s="1"/>
  <c r="AN197" i="9"/>
  <c r="AK197" i="9"/>
  <c r="AL197" i="9" s="1"/>
  <c r="AI198" i="9"/>
  <c r="AC63" i="12"/>
  <c r="AD63" i="12"/>
  <c r="AE63" i="12" s="1"/>
  <c r="AP62" i="12"/>
  <c r="AO62" i="12"/>
  <c r="A129" i="9"/>
  <c r="K128" i="9"/>
  <c r="N293" i="14"/>
  <c r="O293" i="14" s="1"/>
  <c r="O271" i="14"/>
  <c r="M270" i="14"/>
  <c r="M292" i="14" s="1"/>
  <c r="AQ53" i="12"/>
  <c r="AQ54" i="12" s="1"/>
  <c r="AP54" i="12"/>
  <c r="Q198" i="9"/>
  <c r="R198" i="9" s="1"/>
  <c r="V198" i="9"/>
  <c r="J206" i="6"/>
  <c r="AR65" i="12"/>
  <c r="AS65" i="12" s="1"/>
  <c r="AT65" i="12" s="1"/>
  <c r="Y128" i="9"/>
  <c r="O129" i="9"/>
  <c r="AP63" i="12"/>
  <c r="AQ63" i="12" s="1"/>
  <c r="AO63" i="12"/>
  <c r="V66" i="12"/>
  <c r="D206" i="6"/>
  <c r="H65" i="12"/>
  <c r="I65" i="12" s="1"/>
  <c r="N63" i="12"/>
  <c r="O63" i="12" s="1"/>
  <c r="E204" i="6"/>
  <c r="G63" i="12"/>
  <c r="BI64" i="10"/>
  <c r="BI66" i="10" s="1"/>
  <c r="BG66" i="10"/>
  <c r="U25" i="9"/>
  <c r="W24" i="9"/>
  <c r="X24" i="9" s="1"/>
  <c r="Z24" i="9"/>
  <c r="AM213" i="9"/>
  <c r="AC214" i="9"/>
  <c r="AS63" i="10"/>
  <c r="AR64" i="10"/>
  <c r="AF66" i="12"/>
  <c r="AG66" i="12" s="1"/>
  <c r="H207" i="6"/>
  <c r="AD62" i="12"/>
  <c r="AC62" i="12"/>
  <c r="E62" i="10"/>
  <c r="C63" i="10"/>
  <c r="C64" i="10" s="1"/>
  <c r="AM128" i="9"/>
  <c r="AC129" i="9"/>
  <c r="I133" i="18"/>
  <c r="O43" i="16"/>
  <c r="CG63" i="10"/>
  <c r="CF64" i="10"/>
  <c r="DA54" i="10" l="1"/>
  <c r="DJ23" i="10" s="1"/>
  <c r="D36" i="22" s="1"/>
  <c r="CY59" i="10"/>
  <c r="T61" i="10"/>
  <c r="T62" i="10" s="1"/>
  <c r="T63" i="10" s="1"/>
  <c r="S62" i="10"/>
  <c r="BB66" i="12"/>
  <c r="BC66" i="12" s="1"/>
  <c r="BA66" i="12"/>
  <c r="BS66" i="12"/>
  <c r="BT66" i="12"/>
  <c r="BU66" i="12" s="1"/>
  <c r="M291" i="14"/>
  <c r="K208" i="6"/>
  <c r="AX67" i="12"/>
  <c r="AY67" i="12" s="1"/>
  <c r="AZ67" i="12" s="1"/>
  <c r="N208" i="6"/>
  <c r="BP67" i="12"/>
  <c r="BQ67" i="12" s="1"/>
  <c r="BR67" i="12" s="1"/>
  <c r="BH64" i="12"/>
  <c r="BI64" i="12" s="1"/>
  <c r="BG64" i="12"/>
  <c r="BW63" i="10"/>
  <c r="BW64" i="10" s="1"/>
  <c r="BY62" i="10"/>
  <c r="CC59" i="10" s="1"/>
  <c r="CD59" i="10" s="1"/>
  <c r="L42" i="16"/>
  <c r="M42" i="16" s="1"/>
  <c r="N42" i="16" s="1"/>
  <c r="O42" i="16" s="1"/>
  <c r="CO62" i="10"/>
  <c r="CS59" i="10" s="1"/>
  <c r="CT59" i="10" s="1"/>
  <c r="CM63" i="10"/>
  <c r="CM64" i="10" s="1"/>
  <c r="CN64" i="10"/>
  <c r="CO63" i="10"/>
  <c r="L61" i="10"/>
  <c r="L62" i="10" s="1"/>
  <c r="L63" i="10" s="1"/>
  <c r="K62" i="10"/>
  <c r="L206" i="6"/>
  <c r="BD65" i="12"/>
  <c r="BE65" i="12" s="1"/>
  <c r="BF65" i="12" s="1"/>
  <c r="U39" i="11"/>
  <c r="W39" i="11" s="1"/>
  <c r="Z39" i="11" s="1"/>
  <c r="Y39" i="11" s="1"/>
  <c r="V38" i="11"/>
  <c r="X38" i="11" s="1"/>
  <c r="T39" i="11"/>
  <c r="BY63" i="10"/>
  <c r="BX64" i="10"/>
  <c r="N292" i="14"/>
  <c r="O270" i="14"/>
  <c r="AC215" i="9"/>
  <c r="AM214" i="9"/>
  <c r="D207" i="6"/>
  <c r="H66" i="12"/>
  <c r="I66" i="12" s="1"/>
  <c r="J66" i="12" s="1"/>
  <c r="AR66" i="12"/>
  <c r="AS66" i="12" s="1"/>
  <c r="AT66" i="12" s="1"/>
  <c r="J207" i="6"/>
  <c r="G64" i="12"/>
  <c r="AK62" i="10"/>
  <c r="AI63" i="10"/>
  <c r="AI64" i="10" s="1"/>
  <c r="G30" i="25"/>
  <c r="G38" i="18"/>
  <c r="F209" i="6"/>
  <c r="T68" i="12"/>
  <c r="U68" i="12" s="1"/>
  <c r="O31" i="25"/>
  <c r="B26" i="23"/>
  <c r="AH66" i="12"/>
  <c r="S25" i="9"/>
  <c r="P25" i="9" s="1"/>
  <c r="T24" i="9"/>
  <c r="A130" i="9"/>
  <c r="K129" i="9"/>
  <c r="E64" i="10"/>
  <c r="E66" i="10" s="1"/>
  <c r="C66" i="10"/>
  <c r="AE62" i="12"/>
  <c r="J65" i="12"/>
  <c r="AV65" i="12"/>
  <c r="AW65" i="12" s="1"/>
  <c r="AU65" i="12"/>
  <c r="L129" i="13"/>
  <c r="L110" i="18" s="1"/>
  <c r="L70" i="25" s="1"/>
  <c r="BB5" i="11"/>
  <c r="BA20" i="11"/>
  <c r="CK59" i="10"/>
  <c r="CL59" i="10" s="1"/>
  <c r="D41" i="11"/>
  <c r="F41" i="11" s="1"/>
  <c r="C42" i="11"/>
  <c r="B42" i="11"/>
  <c r="AR6" i="11"/>
  <c r="AS64" i="10"/>
  <c r="AS66" i="10" s="1"/>
  <c r="AQ66" i="10"/>
  <c r="BA67" i="10"/>
  <c r="AY68" i="10"/>
  <c r="AY69" i="10" s="1"/>
  <c r="AN64" i="12"/>
  <c r="AU64" i="12"/>
  <c r="AV64" i="12"/>
  <c r="K19" i="25"/>
  <c r="Z112" i="9"/>
  <c r="W112" i="9"/>
  <c r="X112" i="9" s="1"/>
  <c r="U113" i="9"/>
  <c r="L40" i="11"/>
  <c r="N40" i="11" s="1"/>
  <c r="Q40" i="11" s="1"/>
  <c r="P40" i="11" s="1"/>
  <c r="M39" i="11"/>
  <c r="O39" i="11" s="1"/>
  <c r="K40" i="11"/>
  <c r="BB11" i="11"/>
  <c r="BB12" i="11" s="1"/>
  <c r="AC64" i="10"/>
  <c r="AC66" i="10" s="1"/>
  <c r="AA66" i="10"/>
  <c r="J129" i="13"/>
  <c r="J110" i="18" s="1"/>
  <c r="CM42" i="12"/>
  <c r="CO53" i="12"/>
  <c r="BW54" i="12"/>
  <c r="CO54" i="12" s="1"/>
  <c r="F65" i="12"/>
  <c r="E65" i="12"/>
  <c r="BJ69" i="12"/>
  <c r="BK69" i="12" s="1"/>
  <c r="BL69" i="12" s="1"/>
  <c r="M210" i="6"/>
  <c r="A216" i="9"/>
  <c r="K215" i="9"/>
  <c r="AU196" i="9"/>
  <c r="B196" i="9"/>
  <c r="O44" i="9"/>
  <c r="Y43" i="9"/>
  <c r="K60" i="25"/>
  <c r="AQ62" i="12"/>
  <c r="E155" i="13"/>
  <c r="N86" i="13"/>
  <c r="F156" i="13"/>
  <c r="L162" i="13"/>
  <c r="I159" i="13"/>
  <c r="K161" i="13"/>
  <c r="G157" i="13"/>
  <c r="C153" i="13"/>
  <c r="J160" i="13"/>
  <c r="M85" i="13"/>
  <c r="D154" i="13"/>
  <c r="H158" i="13"/>
  <c r="BA68" i="10"/>
  <c r="AZ69" i="10"/>
  <c r="CA13" i="9"/>
  <c r="BI21" i="9"/>
  <c r="BJ21" i="9" s="1"/>
  <c r="AN113" i="9"/>
  <c r="AI114" i="9"/>
  <c r="AK113" i="9"/>
  <c r="AL113" i="9" s="1"/>
  <c r="D29" i="22"/>
  <c r="I13" i="17"/>
  <c r="BQ62" i="10"/>
  <c r="BO63" i="10"/>
  <c r="BO64" i="10" s="1"/>
  <c r="B67" i="12"/>
  <c r="C67" i="12" s="1"/>
  <c r="C208" i="6"/>
  <c r="AK64" i="12"/>
  <c r="B49" i="2"/>
  <c r="C54" i="16"/>
  <c r="AM129" i="9"/>
  <c r="AC130" i="9"/>
  <c r="I59" i="10"/>
  <c r="AF67" i="12"/>
  <c r="AG67" i="12" s="1"/>
  <c r="AH67" i="12" s="1"/>
  <c r="H208" i="6"/>
  <c r="BH66" i="10"/>
  <c r="BH67" i="10" s="1"/>
  <c r="BH68" i="10" s="1"/>
  <c r="BG67" i="10"/>
  <c r="P63" i="12"/>
  <c r="BV63" i="12"/>
  <c r="O130" i="9"/>
  <c r="Y129" i="9"/>
  <c r="W198" i="9"/>
  <c r="X198" i="9" s="1"/>
  <c r="Z198" i="9"/>
  <c r="U199" i="9"/>
  <c r="BA128" i="9"/>
  <c r="Z65" i="12"/>
  <c r="AA65" i="12" s="1"/>
  <c r="AB65" i="12" s="1"/>
  <c r="G206" i="6"/>
  <c r="BM20" i="9"/>
  <c r="BZ17" i="9"/>
  <c r="CG64" i="10"/>
  <c r="CG66" i="10" s="1"/>
  <c r="CE66" i="10"/>
  <c r="AE25" i="9"/>
  <c r="AF25" i="9" s="1"/>
  <c r="AJ25" i="9"/>
  <c r="N296" i="14"/>
  <c r="O296" i="14" s="1"/>
  <c r="AQ16" i="11"/>
  <c r="AQ7" i="11"/>
  <c r="AQ17" i="11" s="1"/>
  <c r="AW59" i="10"/>
  <c r="AX59" i="10" s="1"/>
  <c r="R62" i="12"/>
  <c r="Q62" i="12"/>
  <c r="BW62" i="12"/>
  <c r="F188" i="13"/>
  <c r="L194" i="13"/>
  <c r="J192" i="13"/>
  <c r="N118" i="13"/>
  <c r="D186" i="13"/>
  <c r="H190" i="13"/>
  <c r="I191" i="13"/>
  <c r="E187" i="13"/>
  <c r="M117" i="13"/>
  <c r="C185" i="13"/>
  <c r="K193" i="13"/>
  <c r="G189" i="13"/>
  <c r="O224" i="14"/>
  <c r="AJ64" i="10"/>
  <c r="AK63" i="10"/>
  <c r="W67" i="12"/>
  <c r="X67" i="12"/>
  <c r="Y67" i="12" s="1"/>
  <c r="I49" i="25"/>
  <c r="H110" i="9"/>
  <c r="AR110" i="9"/>
  <c r="C110" i="9"/>
  <c r="AG59" i="10"/>
  <c r="AH59" i="10" s="1"/>
  <c r="S53" i="12"/>
  <c r="R54" i="12"/>
  <c r="BY53" i="12"/>
  <c r="BA42" i="9"/>
  <c r="BN39" i="9" s="1"/>
  <c r="BQ63" i="10"/>
  <c r="BP64" i="10"/>
  <c r="N295" i="14"/>
  <c r="O295" i="14" s="1"/>
  <c r="O273" i="14"/>
  <c r="L108" i="28"/>
  <c r="D66" i="12"/>
  <c r="BC4" i="11"/>
  <c r="BC19" i="11" s="1"/>
  <c r="E222" i="18" s="1"/>
  <c r="E151" i="25" s="1"/>
  <c r="H40" i="11"/>
  <c r="G40" i="11" s="1"/>
  <c r="H30" i="25"/>
  <c r="H38" i="18"/>
  <c r="L93" i="25"/>
  <c r="I93" i="25"/>
  <c r="O133" i="18"/>
  <c r="N64" i="12"/>
  <c r="O64" i="12" s="1"/>
  <c r="E205" i="6"/>
  <c r="AB64" i="12"/>
  <c r="I206" i="6"/>
  <c r="AL65" i="12"/>
  <c r="AM65" i="12" s="1"/>
  <c r="AN65" i="12" s="1"/>
  <c r="L97" i="13"/>
  <c r="L100" i="18" s="1"/>
  <c r="L60" i="25" s="1"/>
  <c r="E138" i="28"/>
  <c r="E148" i="28" s="1"/>
  <c r="D148" i="28"/>
  <c r="W66" i="12"/>
  <c r="X66" i="12"/>
  <c r="AG198" i="9"/>
  <c r="AD198" i="9" s="1"/>
  <c r="AH197" i="9"/>
  <c r="I67" i="14"/>
  <c r="I78" i="14"/>
  <c r="I41" i="18" s="1"/>
  <c r="I21" i="14"/>
  <c r="I55" i="14" s="1"/>
  <c r="C39" i="22" s="1"/>
  <c r="BL20" i="9"/>
  <c r="BZ16" i="9"/>
  <c r="BD3" i="11"/>
  <c r="BD18" i="11" s="1"/>
  <c r="E41" i="11"/>
  <c r="N258" i="14"/>
  <c r="O259" i="14"/>
  <c r="E63" i="10"/>
  <c r="I22" i="25"/>
  <c r="I53" i="18"/>
  <c r="I26" i="18"/>
  <c r="AU24" i="9"/>
  <c r="B24" i="9"/>
  <c r="BA213" i="9"/>
  <c r="Q54" i="12"/>
  <c r="BX53" i="12"/>
  <c r="BM68" i="12"/>
  <c r="BN68" i="12"/>
  <c r="BO68" i="12" s="1"/>
  <c r="J12" i="18"/>
  <c r="J5" i="25"/>
  <c r="O286" i="14"/>
  <c r="N297" i="14"/>
  <c r="O297" i="14" s="1"/>
  <c r="A44" i="9"/>
  <c r="K43" i="9"/>
  <c r="AC46" i="9"/>
  <c r="AM45" i="9"/>
  <c r="O215" i="9"/>
  <c r="Y214" i="9"/>
  <c r="BT67" i="12" l="1"/>
  <c r="BU67" i="12" s="1"/>
  <c r="BS67" i="12"/>
  <c r="N209" i="6"/>
  <c r="BP68" i="12"/>
  <c r="BQ68" i="12" s="1"/>
  <c r="BR68" i="12" s="1"/>
  <c r="U62" i="10"/>
  <c r="Y59" i="10" s="1"/>
  <c r="Z59" i="10" s="1"/>
  <c r="S63" i="10"/>
  <c r="S64" i="10" s="1"/>
  <c r="BB67" i="12"/>
  <c r="BC67" i="12" s="1"/>
  <c r="BA67" i="12"/>
  <c r="T64" i="10"/>
  <c r="AX68" i="12"/>
  <c r="AY68" i="12" s="1"/>
  <c r="AZ68" i="12" s="1"/>
  <c r="K209" i="6"/>
  <c r="U40" i="11"/>
  <c r="W40" i="11" s="1"/>
  <c r="Z40" i="11" s="1"/>
  <c r="Y40" i="11" s="1"/>
  <c r="V39" i="11"/>
  <c r="X39" i="11" s="1"/>
  <c r="T40" i="11"/>
  <c r="L207" i="6"/>
  <c r="BD66" i="12"/>
  <c r="BE66" i="12" s="1"/>
  <c r="BF66" i="12" s="1"/>
  <c r="K63" i="10"/>
  <c r="K64" i="10" s="1"/>
  <c r="M62" i="10"/>
  <c r="Q59" i="10" s="1"/>
  <c r="R59" i="10" s="1"/>
  <c r="CO64" i="10"/>
  <c r="CO66" i="10" s="1"/>
  <c r="CM66" i="10"/>
  <c r="BY64" i="10"/>
  <c r="BY66" i="10" s="1"/>
  <c r="BW66" i="10"/>
  <c r="L64" i="10"/>
  <c r="BH65" i="12"/>
  <c r="BI65" i="12" s="1"/>
  <c r="BG65" i="12"/>
  <c r="BA214" i="9"/>
  <c r="CM44" i="12"/>
  <c r="CN44" i="12" s="1"/>
  <c r="BX54" i="12"/>
  <c r="BD4" i="11"/>
  <c r="BD19" i="11" s="1"/>
  <c r="F222" i="18" s="1"/>
  <c r="F151" i="25" s="1"/>
  <c r="H41" i="11"/>
  <c r="G41" i="11" s="1"/>
  <c r="Y66" i="12"/>
  <c r="AP65" i="12"/>
  <c r="AQ65" i="12" s="1"/>
  <c r="AO65" i="12"/>
  <c r="CM43" i="12"/>
  <c r="BY54" i="12"/>
  <c r="D110" i="9"/>
  <c r="AT110" i="9" s="1"/>
  <c r="AS110" i="9"/>
  <c r="BX62" i="12"/>
  <c r="AK25" i="9"/>
  <c r="AL25" i="9" s="1"/>
  <c r="AI26" i="9"/>
  <c r="AN25" i="9"/>
  <c r="BH69" i="10"/>
  <c r="H209" i="6"/>
  <c r="AF68" i="12"/>
  <c r="AG68" i="12" s="1"/>
  <c r="AH68" i="12" s="1"/>
  <c r="AM130" i="9"/>
  <c r="AC131" i="9"/>
  <c r="AG114" i="9"/>
  <c r="AD114" i="9" s="1"/>
  <c r="AH113" i="9"/>
  <c r="S113" i="9"/>
  <c r="P113" i="9" s="1"/>
  <c r="T112" i="9"/>
  <c r="BA43" i="9"/>
  <c r="BN40" i="9" s="1"/>
  <c r="N65" i="12"/>
  <c r="O65" i="12" s="1"/>
  <c r="E206" i="6"/>
  <c r="S54" i="12"/>
  <c r="BZ53" i="12"/>
  <c r="CF66" i="10"/>
  <c r="CF67" i="10" s="1"/>
  <c r="CF68" i="10" s="1"/>
  <c r="CE67" i="10"/>
  <c r="R63" i="12"/>
  <c r="Q63" i="12"/>
  <c r="BX63" i="12" s="1"/>
  <c r="CC64" i="12" s="1"/>
  <c r="BW63" i="12"/>
  <c r="N83" i="13"/>
  <c r="CN42" i="12"/>
  <c r="CN45" i="12" s="1"/>
  <c r="Z162" i="13" s="1"/>
  <c r="A45" i="9"/>
  <c r="K44" i="9"/>
  <c r="I17" i="25"/>
  <c r="P64" i="12"/>
  <c r="BV64" i="12"/>
  <c r="F66" i="12"/>
  <c r="E66" i="12"/>
  <c r="M129" i="13"/>
  <c r="M110" i="18" s="1"/>
  <c r="M70" i="25" s="1"/>
  <c r="CB62" i="12"/>
  <c r="CO62" i="12"/>
  <c r="BI67" i="10"/>
  <c r="BG68" i="10"/>
  <c r="BG69" i="10" s="1"/>
  <c r="J59" i="10"/>
  <c r="D67" i="12"/>
  <c r="BU59" i="10"/>
  <c r="BV59" i="10" s="1"/>
  <c r="Q153" i="13"/>
  <c r="O45" i="9"/>
  <c r="Y44" i="9"/>
  <c r="BN69" i="12"/>
  <c r="BM69" i="12"/>
  <c r="AB66" i="10"/>
  <c r="AB67" i="10" s="1"/>
  <c r="AB68" i="10" s="1"/>
  <c r="AA67" i="10"/>
  <c r="M40" i="11"/>
  <c r="O40" i="11" s="1"/>
  <c r="K41" i="11"/>
  <c r="BC11" i="11"/>
  <c r="BC12" i="11" s="1"/>
  <c r="L41" i="11"/>
  <c r="N41" i="11" s="1"/>
  <c r="Q41" i="11" s="1"/>
  <c r="P41" i="11" s="1"/>
  <c r="BB20" i="11"/>
  <c r="BC5" i="11"/>
  <c r="L65" i="12"/>
  <c r="K65" i="12"/>
  <c r="BA129" i="9"/>
  <c r="T69" i="12"/>
  <c r="U69" i="12" s="1"/>
  <c r="V69" i="12" s="1"/>
  <c r="F210" i="6"/>
  <c r="AK64" i="10"/>
  <c r="AK66" i="10" s="1"/>
  <c r="AI66" i="10"/>
  <c r="L66" i="12"/>
  <c r="M66" i="12" s="1"/>
  <c r="K66" i="12"/>
  <c r="J4" i="25"/>
  <c r="AC64" i="12"/>
  <c r="AD64" i="12"/>
  <c r="J59" i="15"/>
  <c r="J43" i="14"/>
  <c r="J36" i="14"/>
  <c r="I23" i="17"/>
  <c r="J34" i="18" s="1"/>
  <c r="J25" i="25" s="1"/>
  <c r="J41" i="14"/>
  <c r="J34" i="14"/>
  <c r="J39" i="14"/>
  <c r="J61" i="15"/>
  <c r="J86" i="15" s="1"/>
  <c r="J60" i="15"/>
  <c r="J85" i="15" s="1"/>
  <c r="J63" i="15"/>
  <c r="J88" i="15" s="1"/>
  <c r="J62" i="15"/>
  <c r="J87" i="15" s="1"/>
  <c r="J42" i="14"/>
  <c r="I20" i="17"/>
  <c r="J37" i="14"/>
  <c r="J38" i="14"/>
  <c r="J35" i="14"/>
  <c r="I24" i="17"/>
  <c r="J35" i="18" s="1"/>
  <c r="J26" i="25" s="1"/>
  <c r="J40" i="14"/>
  <c r="BE64" i="10"/>
  <c r="BF64" i="10" s="1"/>
  <c r="AR16" i="11"/>
  <c r="AR7" i="11"/>
  <c r="AR17" i="11" s="1"/>
  <c r="A131" i="9"/>
  <c r="K130" i="9"/>
  <c r="AI66" i="12"/>
  <c r="AJ66" i="12"/>
  <c r="D208" i="6"/>
  <c r="H67" i="12"/>
  <c r="I67" i="12" s="1"/>
  <c r="N291" i="14"/>
  <c r="O292" i="14"/>
  <c r="O291" i="14" s="1"/>
  <c r="Y215" i="9"/>
  <c r="O216" i="9"/>
  <c r="AM46" i="9"/>
  <c r="AC47" i="9"/>
  <c r="H24" i="9"/>
  <c r="C24" i="9"/>
  <c r="AR24" i="9"/>
  <c r="I32" i="25"/>
  <c r="I39" i="18"/>
  <c r="AJ198" i="9"/>
  <c r="AE198" i="9"/>
  <c r="AF198" i="9" s="1"/>
  <c r="BT68" i="12"/>
  <c r="BS68" i="12"/>
  <c r="AL66" i="12"/>
  <c r="AM66" i="12" s="1"/>
  <c r="AN66" i="12" s="1"/>
  <c r="I207" i="6"/>
  <c r="S62" i="12"/>
  <c r="BY62" i="12"/>
  <c r="BZ18" i="9"/>
  <c r="AD65" i="12"/>
  <c r="AE65" i="12" s="1"/>
  <c r="AC65" i="12"/>
  <c r="T198" i="9"/>
  <c r="S199" i="9"/>
  <c r="P199" i="9" s="1"/>
  <c r="AI67" i="12"/>
  <c r="AJ67" i="12"/>
  <c r="AK67" i="12" s="1"/>
  <c r="C218" i="18"/>
  <c r="C53" i="16"/>
  <c r="D53" i="16" s="1"/>
  <c r="E53" i="16" s="1"/>
  <c r="BQ64" i="10"/>
  <c r="BQ66" i="10" s="1"/>
  <c r="BO66" i="10"/>
  <c r="D42" i="22"/>
  <c r="M97" i="13"/>
  <c r="M100" i="18" s="1"/>
  <c r="M60" i="25" s="1"/>
  <c r="AB86" i="13"/>
  <c r="A217" i="9"/>
  <c r="K216" i="9"/>
  <c r="J70" i="25"/>
  <c r="AO64" i="12"/>
  <c r="AP64" i="12"/>
  <c r="AR66" i="10"/>
  <c r="AR67" i="10" s="1"/>
  <c r="AR68" i="10" s="1"/>
  <c r="AQ67" i="10"/>
  <c r="AS6" i="11"/>
  <c r="C43" i="11"/>
  <c r="D42" i="11"/>
  <c r="F42" i="11" s="1"/>
  <c r="B43" i="11"/>
  <c r="G29" i="25"/>
  <c r="G54" i="18"/>
  <c r="AO59" i="10"/>
  <c r="AP59" i="10" s="1"/>
  <c r="CX59" i="10" s="1"/>
  <c r="DK24" i="10" s="1"/>
  <c r="J44" i="17" s="1"/>
  <c r="J208" i="6"/>
  <c r="AR67" i="12"/>
  <c r="AS67" i="12" s="1"/>
  <c r="I44" i="25"/>
  <c r="H52" i="17"/>
  <c r="O93" i="25"/>
  <c r="C34" i="23"/>
  <c r="Z66" i="12"/>
  <c r="AA66" i="12" s="1"/>
  <c r="G207" i="6"/>
  <c r="Y130" i="9"/>
  <c r="O131" i="9"/>
  <c r="R154" i="13"/>
  <c r="CA12" i="9"/>
  <c r="K51" i="18" s="1"/>
  <c r="BG21" i="9"/>
  <c r="BH21" i="9" s="1"/>
  <c r="N51" i="16"/>
  <c r="O258" i="14"/>
  <c r="H29" i="25"/>
  <c r="H54" i="18"/>
  <c r="AX110" i="9"/>
  <c r="I110" i="9"/>
  <c r="G111" i="9"/>
  <c r="AW111" i="9" s="1"/>
  <c r="L110" i="9"/>
  <c r="B180" i="28"/>
  <c r="F61" i="26"/>
  <c r="C158" i="31" s="1"/>
  <c r="B67" i="2"/>
  <c r="B68" i="12"/>
  <c r="C68" i="12" s="1"/>
  <c r="C209" i="6"/>
  <c r="AR196" i="9"/>
  <c r="C196" i="9"/>
  <c r="H196" i="9"/>
  <c r="M211" i="6"/>
  <c r="BJ70" i="12"/>
  <c r="BK70" i="12" s="1"/>
  <c r="BL70" i="12" s="1"/>
  <c r="G65" i="12"/>
  <c r="AW64" i="12"/>
  <c r="BA69" i="10"/>
  <c r="BA71" i="10" s="1"/>
  <c r="AY71" i="10"/>
  <c r="BE3" i="11"/>
  <c r="BE18" i="11" s="1"/>
  <c r="E42" i="11"/>
  <c r="D66" i="10"/>
  <c r="D67" i="10" s="1"/>
  <c r="D68" i="10" s="1"/>
  <c r="C67" i="10"/>
  <c r="V25" i="9"/>
  <c r="Q25" i="9"/>
  <c r="R25" i="9" s="1"/>
  <c r="V68" i="12"/>
  <c r="AV66" i="12"/>
  <c r="AW66" i="12" s="1"/>
  <c r="AU66" i="12"/>
  <c r="AM215" i="9"/>
  <c r="AC216" i="9"/>
  <c r="U64" i="10" l="1"/>
  <c r="U66" i="10" s="1"/>
  <c r="S66" i="10"/>
  <c r="K210" i="6"/>
  <c r="AX69" i="12"/>
  <c r="AY69" i="12" s="1"/>
  <c r="AZ69" i="12" s="1"/>
  <c r="BA68" i="12"/>
  <c r="BB68" i="12"/>
  <c r="BC68" i="12" s="1"/>
  <c r="BP69" i="12"/>
  <c r="BQ69" i="12" s="1"/>
  <c r="BR69" i="12" s="1"/>
  <c r="N210" i="6"/>
  <c r="U63" i="10"/>
  <c r="M63" i="10"/>
  <c r="CZ59" i="10" s="1"/>
  <c r="L208" i="6"/>
  <c r="BD67" i="12"/>
  <c r="BE67" i="12" s="1"/>
  <c r="BF67" i="12" s="1"/>
  <c r="BW67" i="10"/>
  <c r="BX66" i="10"/>
  <c r="BX67" i="10" s="1"/>
  <c r="BX68" i="10" s="1"/>
  <c r="U41" i="11"/>
  <c r="W41" i="11" s="1"/>
  <c r="Z41" i="11" s="1"/>
  <c r="Y41" i="11" s="1"/>
  <c r="T41" i="11"/>
  <c r="V40" i="11"/>
  <c r="X40" i="11" s="1"/>
  <c r="K66" i="10"/>
  <c r="M64" i="10"/>
  <c r="M66" i="10" s="1"/>
  <c r="CM67" i="10"/>
  <c r="CN66" i="10"/>
  <c r="CN67" i="10" s="1"/>
  <c r="CN68" i="10" s="1"/>
  <c r="BH66" i="12"/>
  <c r="BI66" i="12" s="1"/>
  <c r="BG66" i="12"/>
  <c r="E67" i="10"/>
  <c r="C68" i="10"/>
  <c r="C69" i="10" s="1"/>
  <c r="AY72" i="10"/>
  <c r="AZ71" i="10"/>
  <c r="AZ72" i="10" s="1"/>
  <c r="AZ73" i="10" s="1"/>
  <c r="M212" i="6"/>
  <c r="BJ71" i="12"/>
  <c r="BK71" i="12" s="1"/>
  <c r="BL71" i="12" s="1"/>
  <c r="D68" i="12"/>
  <c r="Y131" i="9"/>
  <c r="O132" i="9"/>
  <c r="AB66" i="12"/>
  <c r="AS16" i="11"/>
  <c r="AS7" i="11"/>
  <c r="AS17" i="11" s="1"/>
  <c r="I208" i="6"/>
  <c r="AL67" i="12"/>
  <c r="AM67" i="12" s="1"/>
  <c r="AN67" i="12" s="1"/>
  <c r="I38" i="18"/>
  <c r="I30" i="25"/>
  <c r="J31" i="18"/>
  <c r="I46" i="17"/>
  <c r="I15" i="17"/>
  <c r="D38" i="22" s="1"/>
  <c r="G66" i="12"/>
  <c r="N66" i="12"/>
  <c r="O66" i="12" s="1"/>
  <c r="E207" i="6"/>
  <c r="AE114" i="9"/>
  <c r="AF114" i="9" s="1"/>
  <c r="AJ114" i="9"/>
  <c r="H210" i="6"/>
  <c r="AF69" i="12"/>
  <c r="AG69" i="12" s="1"/>
  <c r="N115" i="13"/>
  <c r="CN43" i="12"/>
  <c r="CN47" i="12" s="1"/>
  <c r="D69" i="10"/>
  <c r="BE4" i="11"/>
  <c r="BE19" i="11" s="1"/>
  <c r="G222" i="18" s="1"/>
  <c r="H42" i="11"/>
  <c r="G42" i="11" s="1"/>
  <c r="N52" i="16"/>
  <c r="O51" i="16"/>
  <c r="K42" i="25"/>
  <c r="E44" i="22"/>
  <c r="AR68" i="12"/>
  <c r="AS68" i="12" s="1"/>
  <c r="AT68" i="12" s="1"/>
  <c r="J209" i="6"/>
  <c r="AR69" i="10"/>
  <c r="AA85" i="13"/>
  <c r="CB63" i="12"/>
  <c r="AX24" i="9"/>
  <c r="L24" i="9"/>
  <c r="G25" i="9"/>
  <c r="I24" i="9"/>
  <c r="H68" i="12"/>
  <c r="I68" i="12" s="1"/>
  <c r="J68" i="12" s="1"/>
  <c r="D209" i="6"/>
  <c r="BA130" i="9"/>
  <c r="T156" i="13"/>
  <c r="M41" i="11"/>
  <c r="O41" i="11" s="1"/>
  <c r="L42" i="11"/>
  <c r="N42" i="11" s="1"/>
  <c r="Q42" i="11" s="1"/>
  <c r="P42" i="11" s="1"/>
  <c r="K42" i="11"/>
  <c r="BD11" i="11"/>
  <c r="BD12" i="11" s="1"/>
  <c r="O46" i="9"/>
  <c r="Y45" i="9"/>
  <c r="BM64" i="10"/>
  <c r="BN64" i="10" s="1"/>
  <c r="C149" i="13"/>
  <c r="BA44" i="9"/>
  <c r="BN41" i="9" s="1"/>
  <c r="W159" i="13"/>
  <c r="CG67" i="10"/>
  <c r="CE68" i="10"/>
  <c r="CE69" i="10" s="1"/>
  <c r="CM46" i="12"/>
  <c r="CN46" i="12" s="1"/>
  <c r="BZ54" i="12"/>
  <c r="CB64" i="12"/>
  <c r="AK66" i="12"/>
  <c r="T70" i="12"/>
  <c r="U70" i="12" s="1"/>
  <c r="F211" i="6"/>
  <c r="AC67" i="10"/>
  <c r="AA68" i="10"/>
  <c r="AA69" i="10" s="1"/>
  <c r="E67" i="12"/>
  <c r="F67" i="12"/>
  <c r="W68" i="12"/>
  <c r="X68" i="12"/>
  <c r="D196" i="9"/>
  <c r="AT196" i="9" s="1"/>
  <c r="AS196" i="9"/>
  <c r="X160" i="13"/>
  <c r="AC217" i="9"/>
  <c r="AM216" i="9"/>
  <c r="Z25" i="9"/>
  <c r="W25" i="9"/>
  <c r="X25" i="9" s="1"/>
  <c r="U26" i="9"/>
  <c r="BM70" i="12"/>
  <c r="BN70" i="12"/>
  <c r="BO70" i="12" s="1"/>
  <c r="C210" i="6"/>
  <c r="B69" i="12"/>
  <c r="C69" i="12" s="1"/>
  <c r="F110" i="9"/>
  <c r="AV110" i="9" s="1"/>
  <c r="BB110" i="9"/>
  <c r="E111" i="9"/>
  <c r="J9" i="3"/>
  <c r="H45" i="25"/>
  <c r="G4" i="24" s="1"/>
  <c r="U157" i="13"/>
  <c r="G208" i="6"/>
  <c r="Z67" i="12"/>
  <c r="AA67" i="12" s="1"/>
  <c r="AB67" i="12" s="1"/>
  <c r="BF3" i="11"/>
  <c r="BF18" i="11" s="1"/>
  <c r="E43" i="11"/>
  <c r="A218" i="9"/>
  <c r="K217" i="9"/>
  <c r="BP66" i="10"/>
  <c r="BP67" i="10" s="1"/>
  <c r="BP68" i="10" s="1"/>
  <c r="BO67" i="10"/>
  <c r="F54" i="16"/>
  <c r="F53" i="16" s="1"/>
  <c r="G53" i="16" s="1"/>
  <c r="H53" i="16" s="1"/>
  <c r="BZ62" i="12"/>
  <c r="AN198" i="9"/>
  <c r="AI199" i="9"/>
  <c r="AK198" i="9"/>
  <c r="AL198" i="9" s="1"/>
  <c r="AM47" i="9"/>
  <c r="AC48" i="9"/>
  <c r="A132" i="9"/>
  <c r="K131" i="9"/>
  <c r="J33" i="14"/>
  <c r="M65" i="12"/>
  <c r="BO69" i="12"/>
  <c r="DA59" i="10"/>
  <c r="DK23" i="10" s="1"/>
  <c r="E36" i="22" s="1"/>
  <c r="CY64" i="10"/>
  <c r="A46" i="9"/>
  <c r="K45" i="9"/>
  <c r="CC62" i="12"/>
  <c r="D149" i="13" s="1"/>
  <c r="CO63" i="12"/>
  <c r="CF69" i="10"/>
  <c r="Q113" i="9"/>
  <c r="R113" i="9" s="1"/>
  <c r="V113" i="9"/>
  <c r="AI68" i="12"/>
  <c r="AJ68" i="12"/>
  <c r="AK68" i="12" s="1"/>
  <c r="AH25" i="9"/>
  <c r="AG26" i="9"/>
  <c r="AD26" i="9" s="1"/>
  <c r="AQ64" i="12"/>
  <c r="BU68" i="12"/>
  <c r="J58" i="15"/>
  <c r="J33" i="15" s="1"/>
  <c r="J76" i="15" s="1"/>
  <c r="J84" i="15"/>
  <c r="J83" i="15" s="1"/>
  <c r="J95" i="15" s="1"/>
  <c r="BI69" i="10"/>
  <c r="BI71" i="10" s="1"/>
  <c r="BG71" i="10"/>
  <c r="R64" i="12"/>
  <c r="Q64" i="12"/>
  <c r="BX64" i="12" s="1"/>
  <c r="CD64" i="12" s="1"/>
  <c r="BW64" i="12"/>
  <c r="AB96" i="13"/>
  <c r="V89" i="13"/>
  <c r="S86" i="13"/>
  <c r="T88" i="13"/>
  <c r="Y92" i="13"/>
  <c r="U89" i="13"/>
  <c r="R85" i="13"/>
  <c r="X91" i="13"/>
  <c r="V90" i="13"/>
  <c r="Y93" i="13"/>
  <c r="R86" i="13"/>
  <c r="Q162" i="13"/>
  <c r="AB95" i="13"/>
  <c r="T87" i="13"/>
  <c r="X92" i="13"/>
  <c r="Z94" i="13"/>
  <c r="Q85" i="13"/>
  <c r="Q97" i="13" s="1"/>
  <c r="C101" i="18" s="1"/>
  <c r="W91" i="13"/>
  <c r="AA95" i="13"/>
  <c r="Z93" i="13"/>
  <c r="U88" i="13"/>
  <c r="AA94" i="13"/>
  <c r="W90" i="13"/>
  <c r="S87" i="13"/>
  <c r="AA92" i="13"/>
  <c r="T85" i="13"/>
  <c r="T97" i="13" s="1"/>
  <c r="F101" i="18" s="1"/>
  <c r="AB93" i="13"/>
  <c r="Y91" i="13"/>
  <c r="Z91" i="13"/>
  <c r="Z92" i="13"/>
  <c r="R162" i="13"/>
  <c r="Q161" i="13"/>
  <c r="T86" i="13"/>
  <c r="V87" i="13"/>
  <c r="W89" i="13"/>
  <c r="Y90" i="13"/>
  <c r="AA93" i="13"/>
  <c r="X90" i="13"/>
  <c r="U86" i="13"/>
  <c r="AB94" i="13"/>
  <c r="Q160" i="13"/>
  <c r="W88" i="13"/>
  <c r="X89" i="13"/>
  <c r="R161" i="13"/>
  <c r="U87" i="13"/>
  <c r="S162" i="13"/>
  <c r="V88" i="13"/>
  <c r="S85" i="13"/>
  <c r="Z90" i="13"/>
  <c r="Y89" i="13"/>
  <c r="Q158" i="13"/>
  <c r="T162" i="13"/>
  <c r="S161" i="13"/>
  <c r="AA90" i="13"/>
  <c r="AA91" i="13"/>
  <c r="AB92" i="13"/>
  <c r="Z89" i="13"/>
  <c r="X87" i="13"/>
  <c r="V85" i="13"/>
  <c r="W86" i="13"/>
  <c r="U85" i="13"/>
  <c r="R160" i="13"/>
  <c r="T161" i="13"/>
  <c r="V86" i="13"/>
  <c r="S160" i="13"/>
  <c r="X88" i="13"/>
  <c r="AB91" i="13"/>
  <c r="Q159" i="13"/>
  <c r="U162" i="13"/>
  <c r="R159" i="13"/>
  <c r="Y88" i="13"/>
  <c r="W87" i="13"/>
  <c r="V162" i="13"/>
  <c r="S159" i="13"/>
  <c r="Y87" i="13"/>
  <c r="AB90" i="13"/>
  <c r="R158" i="13"/>
  <c r="T160" i="13"/>
  <c r="Q157" i="13"/>
  <c r="W85" i="13"/>
  <c r="AA89" i="13"/>
  <c r="U161" i="13"/>
  <c r="Z88" i="13"/>
  <c r="X86" i="13"/>
  <c r="R157" i="13"/>
  <c r="Q156" i="13"/>
  <c r="U160" i="13"/>
  <c r="T159" i="13"/>
  <c r="V161" i="13"/>
  <c r="Z87" i="13"/>
  <c r="AA88" i="13"/>
  <c r="W162" i="13"/>
  <c r="S158" i="13"/>
  <c r="AB89" i="13"/>
  <c r="X85" i="13"/>
  <c r="Y86" i="13"/>
  <c r="AA87" i="13"/>
  <c r="R156" i="13"/>
  <c r="Q155" i="13"/>
  <c r="W161" i="13"/>
  <c r="V160" i="13"/>
  <c r="X162" i="13"/>
  <c r="Y85" i="13"/>
  <c r="S157" i="13"/>
  <c r="U159" i="13"/>
  <c r="AB88" i="13"/>
  <c r="Z86" i="13"/>
  <c r="T158" i="13"/>
  <c r="W160" i="13"/>
  <c r="AB87" i="13"/>
  <c r="T157" i="13"/>
  <c r="R155" i="13"/>
  <c r="U158" i="13"/>
  <c r="Q154" i="13"/>
  <c r="S156" i="13"/>
  <c r="Y162" i="13"/>
  <c r="AA86" i="13"/>
  <c r="X161" i="13"/>
  <c r="Z85" i="13"/>
  <c r="V159" i="13"/>
  <c r="G197" i="9"/>
  <c r="AW197" i="9" s="1"/>
  <c r="AX196" i="9"/>
  <c r="I196" i="9"/>
  <c r="L196" i="9"/>
  <c r="S155" i="13"/>
  <c r="L180" i="28"/>
  <c r="AY110" i="9"/>
  <c r="J110" i="9"/>
  <c r="AZ110" i="9" s="1"/>
  <c r="AT67" i="12"/>
  <c r="G45" i="25"/>
  <c r="F4" i="24" s="1"/>
  <c r="J8" i="3"/>
  <c r="B44" i="11"/>
  <c r="D43" i="11"/>
  <c r="F43" i="11" s="1"/>
  <c r="C44" i="11"/>
  <c r="AT6" i="11"/>
  <c r="AS67" i="10"/>
  <c r="AQ68" i="10"/>
  <c r="AQ69" i="10" s="1"/>
  <c r="Y161" i="13"/>
  <c r="C147" i="25"/>
  <c r="C216" i="18"/>
  <c r="V199" i="9"/>
  <c r="Q199" i="9"/>
  <c r="R199" i="9" s="1"/>
  <c r="AO66" i="12"/>
  <c r="AP66" i="12"/>
  <c r="AQ66" i="12" s="1"/>
  <c r="D24" i="9"/>
  <c r="AT24" i="9" s="1"/>
  <c r="AS24" i="9"/>
  <c r="Y216" i="9"/>
  <c r="BA216" i="9" s="1"/>
  <c r="O217" i="9"/>
  <c r="J67" i="12"/>
  <c r="AE64" i="12"/>
  <c r="AJ66" i="10"/>
  <c r="AJ67" i="10" s="1"/>
  <c r="AJ68" i="10" s="1"/>
  <c r="AI67" i="10"/>
  <c r="W69" i="12"/>
  <c r="X69" i="12"/>
  <c r="Y69" i="12" s="1"/>
  <c r="BD5" i="11"/>
  <c r="BC20" i="11"/>
  <c r="AC68" i="10"/>
  <c r="AB69" i="10"/>
  <c r="V158" i="13"/>
  <c r="CW59" i="10"/>
  <c r="DK21" i="10" s="1"/>
  <c r="K2" i="13" s="1"/>
  <c r="F155" i="13"/>
  <c r="T155" i="13" s="1"/>
  <c r="D153" i="13"/>
  <c r="R153" i="13" s="1"/>
  <c r="C152" i="13"/>
  <c r="Q152" i="13" s="1"/>
  <c r="J159" i="13"/>
  <c r="X159" i="13" s="1"/>
  <c r="L161" i="13"/>
  <c r="Z161" i="13" s="1"/>
  <c r="E154" i="13"/>
  <c r="S154" i="13" s="1"/>
  <c r="I158" i="13"/>
  <c r="W158" i="13" s="1"/>
  <c r="K160" i="13"/>
  <c r="Y160" i="13" s="1"/>
  <c r="M162" i="13"/>
  <c r="AA162" i="13" s="1"/>
  <c r="G156" i="13"/>
  <c r="U156" i="13" s="1"/>
  <c r="N85" i="13"/>
  <c r="H157" i="13"/>
  <c r="V157" i="13" s="1"/>
  <c r="O83" i="13"/>
  <c r="S63" i="12"/>
  <c r="BZ63" i="12" s="1"/>
  <c r="CC66" i="12" s="1"/>
  <c r="BY63" i="12"/>
  <c r="CC63" i="12" s="1"/>
  <c r="D181" i="13" s="1"/>
  <c r="P65" i="12"/>
  <c r="BV65" i="12"/>
  <c r="BA215" i="9"/>
  <c r="AM131" i="9"/>
  <c r="AC132" i="9"/>
  <c r="BI68" i="10"/>
  <c r="BP70" i="12" l="1"/>
  <c r="BQ70" i="12" s="1"/>
  <c r="BR70" i="12" s="1"/>
  <c r="N211" i="6"/>
  <c r="BS69" i="12"/>
  <c r="BT69" i="12"/>
  <c r="BU69" i="12" s="1"/>
  <c r="Z97" i="13"/>
  <c r="L101" i="18" s="1"/>
  <c r="Y97" i="13"/>
  <c r="K101" i="18" s="1"/>
  <c r="BA69" i="12"/>
  <c r="BB69" i="12"/>
  <c r="BC69" i="12" s="1"/>
  <c r="K211" i="6"/>
  <c r="AX70" i="12"/>
  <c r="AY70" i="12" s="1"/>
  <c r="AZ70" i="12" s="1"/>
  <c r="S67" i="10"/>
  <c r="T66" i="10"/>
  <c r="T67" i="10" s="1"/>
  <c r="T68" i="10" s="1"/>
  <c r="CN69" i="10"/>
  <c r="BY67" i="10"/>
  <c r="CC64" i="10" s="1"/>
  <c r="CD64" i="10" s="1"/>
  <c r="BW68" i="10"/>
  <c r="BW69" i="10" s="1"/>
  <c r="X97" i="13"/>
  <c r="J101" i="18" s="1"/>
  <c r="I115" i="17" s="1"/>
  <c r="V97" i="13"/>
  <c r="H101" i="18" s="1"/>
  <c r="R97" i="13"/>
  <c r="D101" i="18" s="1"/>
  <c r="CM68" i="10"/>
  <c r="CM69" i="10" s="1"/>
  <c r="CO67" i="10"/>
  <c r="CS64" i="10" s="1"/>
  <c r="CT64" i="10" s="1"/>
  <c r="T42" i="11"/>
  <c r="U42" i="11"/>
  <c r="W42" i="11" s="1"/>
  <c r="Z42" i="11" s="1"/>
  <c r="Y42" i="11" s="1"/>
  <c r="V41" i="11"/>
  <c r="X41" i="11" s="1"/>
  <c r="BG67" i="12"/>
  <c r="BH67" i="12"/>
  <c r="BI67" i="12" s="1"/>
  <c r="L209" i="6"/>
  <c r="BD68" i="12"/>
  <c r="BE68" i="12" s="1"/>
  <c r="BF68" i="12" s="1"/>
  <c r="L66" i="10"/>
  <c r="L67" i="10" s="1"/>
  <c r="L68" i="10" s="1"/>
  <c r="K67" i="10"/>
  <c r="BX69" i="10"/>
  <c r="BY68" i="10"/>
  <c r="I54" i="16"/>
  <c r="I218" i="18" s="1"/>
  <c r="L61" i="25"/>
  <c r="K115" i="17"/>
  <c r="D61" i="25"/>
  <c r="C115" i="17"/>
  <c r="AC69" i="10"/>
  <c r="AC71" i="10" s="1"/>
  <c r="AA71" i="10"/>
  <c r="CG69" i="10"/>
  <c r="CG71" i="10" s="1"/>
  <c r="CE71" i="10"/>
  <c r="G155" i="13"/>
  <c r="C151" i="13"/>
  <c r="K159" i="13"/>
  <c r="F154" i="13"/>
  <c r="H156" i="13"/>
  <c r="J158" i="13"/>
  <c r="L160" i="13"/>
  <c r="N162" i="13"/>
  <c r="M161" i="13"/>
  <c r="E153" i="13"/>
  <c r="D152" i="13"/>
  <c r="I157" i="13"/>
  <c r="AW25" i="9"/>
  <c r="L28" i="18"/>
  <c r="K17" i="17"/>
  <c r="AC66" i="12"/>
  <c r="AD66" i="12"/>
  <c r="BN71" i="12"/>
  <c r="BO71" i="12" s="1"/>
  <c r="BM71" i="12"/>
  <c r="R65" i="12"/>
  <c r="Q65" i="12"/>
  <c r="BX65" i="12" s="1"/>
  <c r="BW65" i="12"/>
  <c r="L67" i="12"/>
  <c r="K67" i="12"/>
  <c r="AT16" i="11"/>
  <c r="AT7" i="11"/>
  <c r="AT17" i="11" s="1"/>
  <c r="AY196" i="9"/>
  <c r="J196" i="9"/>
  <c r="AZ196" i="9" s="1"/>
  <c r="U97" i="13"/>
  <c r="G101" i="18" s="1"/>
  <c r="C61" i="25"/>
  <c r="B115" i="17"/>
  <c r="S64" i="12"/>
  <c r="BZ64" i="12" s="1"/>
  <c r="CD66" i="12" s="1"/>
  <c r="BY64" i="12"/>
  <c r="CD63" i="12" s="1"/>
  <c r="E181" i="13" s="1"/>
  <c r="CG68" i="10"/>
  <c r="BA45" i="9"/>
  <c r="BN42" i="9" s="1"/>
  <c r="A133" i="9"/>
  <c r="K132" i="9"/>
  <c r="BP69" i="10"/>
  <c r="Z68" i="12"/>
  <c r="AA68" i="12" s="1"/>
  <c r="AB68" i="12" s="1"/>
  <c r="G209" i="6"/>
  <c r="Y68" i="12"/>
  <c r="AG64" i="10"/>
  <c r="AH64" i="10" s="1"/>
  <c r="CK64" i="10"/>
  <c r="CL64" i="10" s="1"/>
  <c r="Y46" i="9"/>
  <c r="O47" i="9"/>
  <c r="AR69" i="12"/>
  <c r="AS69" i="12" s="1"/>
  <c r="J210" i="6"/>
  <c r="E68" i="10"/>
  <c r="AH69" i="12"/>
  <c r="N67" i="12"/>
  <c r="O67" i="12" s="1"/>
  <c r="E208" i="6"/>
  <c r="I29" i="25"/>
  <c r="E68" i="12"/>
  <c r="F68" i="12"/>
  <c r="AZ74" i="10"/>
  <c r="I64" i="10"/>
  <c r="AB85" i="13"/>
  <c r="AB97" i="13" s="1"/>
  <c r="N101" i="18" s="1"/>
  <c r="N97" i="13"/>
  <c r="N100" i="18" s="1"/>
  <c r="G115" i="17"/>
  <c r="H61" i="25"/>
  <c r="J67" i="14"/>
  <c r="J78" i="14"/>
  <c r="J41" i="18" s="1"/>
  <c r="J21" i="14"/>
  <c r="J55" i="14" s="1"/>
  <c r="D39" i="22" s="1"/>
  <c r="I58" i="17" s="1"/>
  <c r="AM48" i="9"/>
  <c r="AC49" i="9"/>
  <c r="AH198" i="9"/>
  <c r="AG199" i="9"/>
  <c r="AD199" i="9" s="1"/>
  <c r="B70" i="12"/>
  <c r="C70" i="12" s="1"/>
  <c r="C211" i="6"/>
  <c r="W199" i="9"/>
  <c r="X199" i="9" s="1"/>
  <c r="Z199" i="9"/>
  <c r="U200" i="9"/>
  <c r="J189" i="13"/>
  <c r="E184" i="13"/>
  <c r="I188" i="13"/>
  <c r="K190" i="13"/>
  <c r="N193" i="13"/>
  <c r="M192" i="13"/>
  <c r="G186" i="13"/>
  <c r="H187" i="13"/>
  <c r="D183" i="13"/>
  <c r="F185" i="13"/>
  <c r="L191" i="13"/>
  <c r="B82" i="28"/>
  <c r="AK67" i="10"/>
  <c r="AI68" i="10"/>
  <c r="AI69" i="10" s="1"/>
  <c r="Y217" i="9"/>
  <c r="O218" i="9"/>
  <c r="C145" i="25"/>
  <c r="G78" i="13"/>
  <c r="U78" i="13" s="1"/>
  <c r="F77" i="13"/>
  <c r="T77" i="13" s="1"/>
  <c r="D75" i="13"/>
  <c r="R75" i="13" s="1"/>
  <c r="K4" i="13"/>
  <c r="K16" i="13" s="1"/>
  <c r="K13" i="18" s="1"/>
  <c r="I80" i="13"/>
  <c r="W80" i="13" s="1"/>
  <c r="M6" i="13"/>
  <c r="N7" i="13"/>
  <c r="H79" i="13"/>
  <c r="V79" i="13" s="1"/>
  <c r="K32" i="13"/>
  <c r="E76" i="13"/>
  <c r="S76" i="13" s="1"/>
  <c r="J81" i="13"/>
  <c r="X81" i="13" s="1"/>
  <c r="C74" i="13"/>
  <c r="Q74" i="13" s="1"/>
  <c r="L5" i="13"/>
  <c r="BE5" i="11"/>
  <c r="BD20" i="11"/>
  <c r="AJ69" i="10"/>
  <c r="AK68" i="10"/>
  <c r="AS69" i="10"/>
  <c r="AS71" i="10" s="1"/>
  <c r="AQ71" i="10"/>
  <c r="BG3" i="11"/>
  <c r="BG18" i="11" s="1"/>
  <c r="E44" i="11"/>
  <c r="W97" i="13"/>
  <c r="I101" i="18" s="1"/>
  <c r="S97" i="13"/>
  <c r="E101" i="18" s="1"/>
  <c r="BH71" i="10"/>
  <c r="BH72" i="10" s="1"/>
  <c r="BH73" i="10" s="1"/>
  <c r="BG72" i="10"/>
  <c r="AJ26" i="9"/>
  <c r="AE26" i="9"/>
  <c r="AF26" i="9" s="1"/>
  <c r="W113" i="9"/>
  <c r="X113" i="9" s="1"/>
  <c r="U114" i="9"/>
  <c r="Z113" i="9"/>
  <c r="A47" i="9"/>
  <c r="K46" i="9"/>
  <c r="D69" i="12"/>
  <c r="T25" i="9"/>
  <c r="S26" i="9"/>
  <c r="P26" i="9" s="1"/>
  <c r="F212" i="6"/>
  <c r="T71" i="12"/>
  <c r="U71" i="12" s="1"/>
  <c r="V71" i="12" s="1"/>
  <c r="AY24" i="9"/>
  <c r="J24" i="9"/>
  <c r="AZ24" i="9" s="1"/>
  <c r="C181" i="13"/>
  <c r="AV68" i="12"/>
  <c r="AW68" i="12" s="1"/>
  <c r="AU68" i="12"/>
  <c r="O52" i="16"/>
  <c r="AF70" i="12"/>
  <c r="AG70" i="12" s="1"/>
  <c r="AH70" i="12" s="1"/>
  <c r="H211" i="6"/>
  <c r="P66" i="12"/>
  <c r="BV66" i="12"/>
  <c r="AO67" i="12"/>
  <c r="AP67" i="12"/>
  <c r="BA72" i="10"/>
  <c r="AY73" i="10"/>
  <c r="AY74" i="10" s="1"/>
  <c r="CA14" i="9"/>
  <c r="BK21" i="9"/>
  <c r="K61" i="25"/>
  <c r="J115" i="17"/>
  <c r="CD62" i="12"/>
  <c r="E149" i="13" s="1"/>
  <c r="CO64" i="12"/>
  <c r="F218" i="18"/>
  <c r="K218" i="9"/>
  <c r="A219" i="9"/>
  <c r="B111" i="9"/>
  <c r="AU111" i="9"/>
  <c r="V70" i="12"/>
  <c r="M42" i="11"/>
  <c r="O42" i="11" s="1"/>
  <c r="BE11" i="11"/>
  <c r="BE12" i="11" s="1"/>
  <c r="K43" i="11"/>
  <c r="L43" i="11"/>
  <c r="N43" i="11" s="1"/>
  <c r="Q43" i="11" s="1"/>
  <c r="P43" i="11" s="1"/>
  <c r="D210" i="6"/>
  <c r="H69" i="12"/>
  <c r="I69" i="12" s="1"/>
  <c r="S118" i="13"/>
  <c r="AA126" i="13"/>
  <c r="V121" i="13"/>
  <c r="U120" i="13"/>
  <c r="W122" i="13"/>
  <c r="X123" i="13"/>
  <c r="Q194" i="13"/>
  <c r="R117" i="13"/>
  <c r="AB127" i="13"/>
  <c r="Y124" i="13"/>
  <c r="Z125" i="13"/>
  <c r="T119" i="13"/>
  <c r="W123" i="13"/>
  <c r="S117" i="13"/>
  <c r="S119" i="13"/>
  <c r="Z126" i="13"/>
  <c r="AB126" i="13"/>
  <c r="U119" i="13"/>
  <c r="AA125" i="13"/>
  <c r="W121" i="13"/>
  <c r="AB128" i="13"/>
  <c r="V120" i="13"/>
  <c r="V122" i="13"/>
  <c r="T120" i="13"/>
  <c r="U121" i="13"/>
  <c r="R118" i="13"/>
  <c r="Y123" i="13"/>
  <c r="Q117" i="13"/>
  <c r="Q129" i="13" s="1"/>
  <c r="Y125" i="13"/>
  <c r="Q193" i="13"/>
  <c r="Z124" i="13"/>
  <c r="AA127" i="13"/>
  <c r="X122" i="13"/>
  <c r="T118" i="13"/>
  <c r="X124" i="13"/>
  <c r="R194" i="13"/>
  <c r="S193" i="13"/>
  <c r="Q191" i="13"/>
  <c r="Y121" i="13"/>
  <c r="R192" i="13"/>
  <c r="Z122" i="13"/>
  <c r="V118" i="13"/>
  <c r="AA123" i="13"/>
  <c r="T194" i="13"/>
  <c r="X120" i="13"/>
  <c r="W119" i="13"/>
  <c r="AB124" i="13"/>
  <c r="U117" i="13"/>
  <c r="AA124" i="13"/>
  <c r="U118" i="13"/>
  <c r="Q192" i="13"/>
  <c r="Y122" i="13"/>
  <c r="V119" i="13"/>
  <c r="Z123" i="13"/>
  <c r="X121" i="13"/>
  <c r="S194" i="13"/>
  <c r="AB125" i="13"/>
  <c r="W120" i="13"/>
  <c r="T117" i="13"/>
  <c r="R193" i="13"/>
  <c r="U193" i="13"/>
  <c r="Q189" i="13"/>
  <c r="R190" i="13"/>
  <c r="W117" i="13"/>
  <c r="X118" i="13"/>
  <c r="AB122" i="13"/>
  <c r="V194" i="13"/>
  <c r="Y119" i="13"/>
  <c r="AA121" i="13"/>
  <c r="T192" i="13"/>
  <c r="Z120" i="13"/>
  <c r="S191" i="13"/>
  <c r="X119" i="13"/>
  <c r="U194" i="13"/>
  <c r="Y120" i="13"/>
  <c r="T193" i="13"/>
  <c r="Z121" i="13"/>
  <c r="AA122" i="13"/>
  <c r="W118" i="13"/>
  <c r="Q190" i="13"/>
  <c r="V117" i="13"/>
  <c r="S192" i="13"/>
  <c r="R191" i="13"/>
  <c r="AB123" i="13"/>
  <c r="Z118" i="13"/>
  <c r="X194" i="13"/>
  <c r="T190" i="13"/>
  <c r="U191" i="13"/>
  <c r="AA119" i="13"/>
  <c r="AB120" i="13"/>
  <c r="R188" i="13"/>
  <c r="V192" i="13"/>
  <c r="S189" i="13"/>
  <c r="W193" i="13"/>
  <c r="Y117" i="13"/>
  <c r="Q187" i="13"/>
  <c r="U190" i="13"/>
  <c r="Z117" i="13"/>
  <c r="X117" i="13"/>
  <c r="AB119" i="13"/>
  <c r="U192" i="13"/>
  <c r="AB121" i="13"/>
  <c r="S188" i="13"/>
  <c r="V193" i="13"/>
  <c r="V191" i="13"/>
  <c r="Z119" i="13"/>
  <c r="R187" i="13"/>
  <c r="T191" i="13"/>
  <c r="W194" i="13"/>
  <c r="W192" i="13"/>
  <c r="Y118" i="13"/>
  <c r="T189" i="13"/>
  <c r="Y194" i="13"/>
  <c r="AA120" i="13"/>
  <c r="AA118" i="13"/>
  <c r="R189" i="13"/>
  <c r="Q186" i="13"/>
  <c r="Q188" i="13"/>
  <c r="S190" i="13"/>
  <c r="X193" i="13"/>
  <c r="Q185" i="13"/>
  <c r="AA117" i="13"/>
  <c r="X192" i="13"/>
  <c r="Z194" i="13"/>
  <c r="T188" i="13"/>
  <c r="Y193" i="13"/>
  <c r="R186" i="13"/>
  <c r="S187" i="13"/>
  <c r="W191" i="13"/>
  <c r="U189" i="13"/>
  <c r="AB118" i="13"/>
  <c r="V190" i="13"/>
  <c r="AI115" i="9"/>
  <c r="AN114" i="9"/>
  <c r="AK114" i="9"/>
  <c r="AL114" i="9" s="1"/>
  <c r="J22" i="25"/>
  <c r="J53" i="18"/>
  <c r="J26" i="18"/>
  <c r="AL68" i="12"/>
  <c r="AM68" i="12" s="1"/>
  <c r="I209" i="6"/>
  <c r="E69" i="10"/>
  <c r="E71" i="10" s="1"/>
  <c r="C71" i="10"/>
  <c r="AM132" i="9"/>
  <c r="AC133" i="9"/>
  <c r="AW64" i="10"/>
  <c r="AX64" i="10" s="1"/>
  <c r="D44" i="11"/>
  <c r="F44" i="11" s="1"/>
  <c r="AU6" i="11"/>
  <c r="C45" i="11"/>
  <c r="B45" i="11"/>
  <c r="AV67" i="12"/>
  <c r="AU67" i="12"/>
  <c r="BB196" i="9"/>
  <c r="E197" i="9"/>
  <c r="F196" i="9"/>
  <c r="AV196" i="9" s="1"/>
  <c r="F61" i="25"/>
  <c r="E115" i="17"/>
  <c r="E152" i="13"/>
  <c r="G154" i="13"/>
  <c r="J157" i="13"/>
  <c r="N161" i="13"/>
  <c r="L159" i="13"/>
  <c r="I156" i="13"/>
  <c r="M160" i="13"/>
  <c r="F153" i="13"/>
  <c r="D151" i="13"/>
  <c r="H155" i="13"/>
  <c r="K158" i="13"/>
  <c r="BA131" i="9"/>
  <c r="CB66" i="12"/>
  <c r="BQ67" i="10"/>
  <c r="BO68" i="10"/>
  <c r="BO69" i="10" s="1"/>
  <c r="H43" i="11"/>
  <c r="G43" i="11" s="1"/>
  <c r="BF4" i="11"/>
  <c r="BF19" i="11" s="1"/>
  <c r="H222" i="18" s="1"/>
  <c r="H151" i="25" s="1"/>
  <c r="AC67" i="12"/>
  <c r="AD67" i="12"/>
  <c r="AE67" i="12" s="1"/>
  <c r="AM217" i="9"/>
  <c r="AC218" i="9"/>
  <c r="G67" i="12"/>
  <c r="K68" i="12"/>
  <c r="L68" i="12"/>
  <c r="M68" i="12" s="1"/>
  <c r="E25" i="9"/>
  <c r="F24" i="9"/>
  <c r="AV24" i="9" s="1"/>
  <c r="BB24" i="9"/>
  <c r="AA97" i="13"/>
  <c r="M101" i="18" s="1"/>
  <c r="AS68" i="10"/>
  <c r="G151" i="25"/>
  <c r="I190" i="13"/>
  <c r="W190" i="13" s="1"/>
  <c r="L193" i="13"/>
  <c r="Z193" i="13" s="1"/>
  <c r="D185" i="13"/>
  <c r="R185" i="13" s="1"/>
  <c r="N117" i="13"/>
  <c r="C184" i="13"/>
  <c r="Q184" i="13" s="1"/>
  <c r="H189" i="13"/>
  <c r="V189" i="13" s="1"/>
  <c r="M194" i="13"/>
  <c r="AA194" i="13" s="1"/>
  <c r="G188" i="13"/>
  <c r="U188" i="13" s="1"/>
  <c r="F187" i="13"/>
  <c r="T187" i="13" s="1"/>
  <c r="E186" i="13"/>
  <c r="S186" i="13" s="1"/>
  <c r="J191" i="13"/>
  <c r="X191" i="13" s="1"/>
  <c r="K192" i="13"/>
  <c r="Y192" i="13" s="1"/>
  <c r="O115" i="13"/>
  <c r="B51" i="2" s="1"/>
  <c r="B66" i="2" s="1"/>
  <c r="O133" i="9"/>
  <c r="Y132" i="9"/>
  <c r="M213" i="6"/>
  <c r="BJ72" i="12"/>
  <c r="BK72" i="12" s="1"/>
  <c r="BL72" i="12" s="1"/>
  <c r="S129" i="13" l="1"/>
  <c r="J61" i="25"/>
  <c r="T69" i="10"/>
  <c r="U67" i="10"/>
  <c r="Y64" i="10" s="1"/>
  <c r="Z64" i="10" s="1"/>
  <c r="S68" i="10"/>
  <c r="S69" i="10" s="1"/>
  <c r="AA129" i="13"/>
  <c r="BB70" i="12"/>
  <c r="BC70" i="12" s="1"/>
  <c r="BA70" i="12"/>
  <c r="N212" i="6"/>
  <c r="BP71" i="12"/>
  <c r="BQ71" i="12" s="1"/>
  <c r="BR71" i="12" s="1"/>
  <c r="K212" i="6"/>
  <c r="AX71" i="12"/>
  <c r="AY71" i="12" s="1"/>
  <c r="BS70" i="12"/>
  <c r="BT70" i="12"/>
  <c r="BU70" i="12" s="1"/>
  <c r="BG68" i="12"/>
  <c r="BH68" i="12"/>
  <c r="BI68" i="12" s="1"/>
  <c r="CO69" i="10"/>
  <c r="CO71" i="10" s="1"/>
  <c r="CM71" i="10"/>
  <c r="BY69" i="10"/>
  <c r="BY71" i="10" s="1"/>
  <c r="BW71" i="10"/>
  <c r="BD69" i="12"/>
  <c r="BE69" i="12" s="1"/>
  <c r="BF69" i="12" s="1"/>
  <c r="L210" i="6"/>
  <c r="BA217" i="9"/>
  <c r="BQ68" i="10"/>
  <c r="K68" i="10"/>
  <c r="K69" i="10" s="1"/>
  <c r="M67" i="10"/>
  <c r="Q64" i="10" s="1"/>
  <c r="R64" i="10" s="1"/>
  <c r="V42" i="11"/>
  <c r="X42" i="11" s="1"/>
  <c r="T43" i="11"/>
  <c r="U43" i="11"/>
  <c r="W43" i="11" s="1"/>
  <c r="Z43" i="11" s="1"/>
  <c r="Y43" i="11" s="1"/>
  <c r="CO68" i="10"/>
  <c r="L69" i="10"/>
  <c r="M68" i="10"/>
  <c r="BJ73" i="12"/>
  <c r="BK73" i="12" s="1"/>
  <c r="Z166" i="6"/>
  <c r="C220" i="28" s="1"/>
  <c r="BU64" i="10"/>
  <c r="BV64" i="10" s="1"/>
  <c r="BM21" i="9"/>
  <c r="CA17" i="9"/>
  <c r="H44" i="11"/>
  <c r="G44" i="11" s="1"/>
  <c r="BG4" i="11"/>
  <c r="BG19" i="11" s="1"/>
  <c r="I222" i="18" s="1"/>
  <c r="K5" i="25"/>
  <c r="K12" i="18"/>
  <c r="AO64" i="10"/>
  <c r="AP64" i="10" s="1"/>
  <c r="B71" i="12"/>
  <c r="C71" i="12" s="1"/>
  <c r="C212" i="6"/>
  <c r="AM49" i="9"/>
  <c r="AC50" i="9"/>
  <c r="S65" i="12"/>
  <c r="BY65" i="12"/>
  <c r="CF71" i="10"/>
  <c r="CF72" i="10" s="1"/>
  <c r="CF73" i="10" s="1"/>
  <c r="CE72" i="10"/>
  <c r="AC219" i="9"/>
  <c r="AM218" i="9"/>
  <c r="AL69" i="12"/>
  <c r="AM69" i="12" s="1"/>
  <c r="AN69" i="12" s="1"/>
  <c r="I210" i="6"/>
  <c r="W129" i="13"/>
  <c r="U129" i="13"/>
  <c r="R129" i="13"/>
  <c r="J69" i="12"/>
  <c r="F152" i="13"/>
  <c r="I155" i="13"/>
  <c r="N160" i="13"/>
  <c r="G153" i="13"/>
  <c r="M159" i="13"/>
  <c r="E151" i="13"/>
  <c r="L158" i="13"/>
  <c r="J156" i="13"/>
  <c r="H154" i="13"/>
  <c r="K157" i="13"/>
  <c r="H212" i="6"/>
  <c r="AF71" i="12"/>
  <c r="AG71" i="12" s="1"/>
  <c r="AH71" i="12" s="1"/>
  <c r="W71" i="12"/>
  <c r="X71" i="12"/>
  <c r="Y71" i="12" s="1"/>
  <c r="A48" i="9"/>
  <c r="K47" i="9"/>
  <c r="BH74" i="10"/>
  <c r="AQ72" i="10"/>
  <c r="AR71" i="10"/>
  <c r="AR72" i="10" s="1"/>
  <c r="AR73" i="10" s="1"/>
  <c r="BE20" i="11"/>
  <c r="BF5" i="11"/>
  <c r="AK69" i="10"/>
  <c r="AK71" i="10" s="1"/>
  <c r="AI71" i="10"/>
  <c r="M82" i="28"/>
  <c r="J82" i="28"/>
  <c r="AJ199" i="9"/>
  <c r="AE199" i="9"/>
  <c r="AF199" i="9" s="1"/>
  <c r="J64" i="10"/>
  <c r="CX64" i="10" s="1"/>
  <c r="DL24" i="10" s="1"/>
  <c r="K44" i="17" s="1"/>
  <c r="CW64" i="10"/>
  <c r="DL21" i="10" s="1"/>
  <c r="L2" i="13" s="1"/>
  <c r="P67" i="12"/>
  <c r="BV67" i="12"/>
  <c r="J211" i="6"/>
  <c r="AR70" i="12"/>
  <c r="AS70" i="12" s="1"/>
  <c r="AT70" i="12" s="1"/>
  <c r="AD68" i="12"/>
  <c r="AE68" i="12" s="1"/>
  <c r="AC68" i="12"/>
  <c r="F115" i="17"/>
  <c r="G61" i="25"/>
  <c r="CO65" i="12"/>
  <c r="CE62" i="12"/>
  <c r="CB13" i="9"/>
  <c r="BI22" i="9"/>
  <c r="BJ22" i="9" s="1"/>
  <c r="AB117" i="13"/>
  <c r="AB129" i="13" s="1"/>
  <c r="N129" i="13"/>
  <c r="N110" i="18" s="1"/>
  <c r="AH114" i="9"/>
  <c r="AG115" i="9"/>
  <c r="AD115" i="9" s="1"/>
  <c r="Z129" i="13"/>
  <c r="A220" i="9"/>
  <c r="K219" i="9"/>
  <c r="I189" i="13"/>
  <c r="C183" i="13"/>
  <c r="M193" i="13"/>
  <c r="N194" i="13"/>
  <c r="K191" i="13"/>
  <c r="G187" i="13"/>
  <c r="D184" i="13"/>
  <c r="E185" i="13"/>
  <c r="J190" i="13"/>
  <c r="F186" i="13"/>
  <c r="H188" i="13"/>
  <c r="L192" i="13"/>
  <c r="O134" i="9"/>
  <c r="Y133" i="9"/>
  <c r="AU25" i="9"/>
  <c r="B25" i="9"/>
  <c r="BQ69" i="10"/>
  <c r="BQ71" i="10" s="1"/>
  <c r="BO71" i="10"/>
  <c r="D163" i="13"/>
  <c r="D185" i="18" s="1"/>
  <c r="D114" i="25" s="1"/>
  <c r="AW67" i="12"/>
  <c r="BM72" i="12"/>
  <c r="BN72" i="12"/>
  <c r="BO72" i="12" s="1"/>
  <c r="M61" i="25"/>
  <c r="L115" i="17"/>
  <c r="AU197" i="9"/>
  <c r="B197" i="9"/>
  <c r="B46" i="11"/>
  <c r="AV6" i="11"/>
  <c r="C46" i="11"/>
  <c r="D45" i="11"/>
  <c r="F45" i="11" s="1"/>
  <c r="D71" i="10"/>
  <c r="D72" i="10" s="1"/>
  <c r="D73" i="10" s="1"/>
  <c r="C72" i="10"/>
  <c r="AN68" i="12"/>
  <c r="X129" i="13"/>
  <c r="Y129" i="13"/>
  <c r="T129" i="13"/>
  <c r="H70" i="12"/>
  <c r="I70" i="12" s="1"/>
  <c r="J70" i="12" s="1"/>
  <c r="D211" i="6"/>
  <c r="C111" i="9"/>
  <c r="AR111" i="9"/>
  <c r="H111" i="9"/>
  <c r="F147" i="25"/>
  <c r="BA74" i="10"/>
  <c r="BA76" i="10" s="1"/>
  <c r="AY76" i="10"/>
  <c r="AI70" i="12"/>
  <c r="AJ70" i="12"/>
  <c r="AK70" i="12" s="1"/>
  <c r="F213" i="6"/>
  <c r="T72" i="12"/>
  <c r="U72" i="12" s="1"/>
  <c r="V72" i="12" s="1"/>
  <c r="F69" i="12"/>
  <c r="E69" i="12"/>
  <c r="S114" i="9"/>
  <c r="P114" i="9" s="1"/>
  <c r="T113" i="9"/>
  <c r="AI27" i="9"/>
  <c r="AK26" i="9"/>
  <c r="AL26" i="9" s="1"/>
  <c r="AN26" i="9"/>
  <c r="E29" i="22"/>
  <c r="J13" i="17"/>
  <c r="T199" i="9"/>
  <c r="S200" i="9"/>
  <c r="P200" i="9" s="1"/>
  <c r="J32" i="25"/>
  <c r="J39" i="18"/>
  <c r="N60" i="25"/>
  <c r="O100" i="18"/>
  <c r="BA73" i="10"/>
  <c r="AT69" i="12"/>
  <c r="BA132" i="9"/>
  <c r="CE64" i="12"/>
  <c r="AB71" i="10"/>
  <c r="AB72" i="10" s="1"/>
  <c r="AB73" i="10" s="1"/>
  <c r="AA72" i="10"/>
  <c r="I53" i="16"/>
  <c r="J53" i="16" s="1"/>
  <c r="K53" i="16" s="1"/>
  <c r="E45" i="11"/>
  <c r="BH3" i="11"/>
  <c r="BH18" i="11" s="1"/>
  <c r="J17" i="25"/>
  <c r="E61" i="25"/>
  <c r="D115" i="17"/>
  <c r="Y218" i="9"/>
  <c r="BA218" i="9" s="1"/>
  <c r="O219" i="9"/>
  <c r="M115" i="17"/>
  <c r="N61" i="25"/>
  <c r="AJ69" i="12"/>
  <c r="AI69" i="12"/>
  <c r="A134" i="9"/>
  <c r="K133" i="9"/>
  <c r="O101" i="18"/>
  <c r="AE66" i="12"/>
  <c r="I147" i="25"/>
  <c r="AU16" i="11"/>
  <c r="AU7" i="11"/>
  <c r="AU17" i="11" s="1"/>
  <c r="AC134" i="9"/>
  <c r="AM133" i="9"/>
  <c r="I52" i="17"/>
  <c r="J44" i="25"/>
  <c r="V129" i="13"/>
  <c r="K44" i="11"/>
  <c r="BF11" i="11"/>
  <c r="BF12" i="11" s="1"/>
  <c r="M43" i="11"/>
  <c r="O43" i="11" s="1"/>
  <c r="L44" i="11"/>
  <c r="N44" i="11" s="1"/>
  <c r="Q44" i="11" s="1"/>
  <c r="P44" i="11" s="1"/>
  <c r="W70" i="12"/>
  <c r="X70" i="12"/>
  <c r="BE69" i="10"/>
  <c r="BF69" i="10" s="1"/>
  <c r="AQ67" i="12"/>
  <c r="Q66" i="12"/>
  <c r="R66" i="12"/>
  <c r="BW66" i="12"/>
  <c r="CA16" i="9"/>
  <c r="BL21" i="9"/>
  <c r="V26" i="9"/>
  <c r="Q26" i="9"/>
  <c r="R26" i="9" s="1"/>
  <c r="BA46" i="9"/>
  <c r="BN43" i="9" s="1"/>
  <c r="BI72" i="10"/>
  <c r="BG73" i="10"/>
  <c r="BG74" i="10" s="1"/>
  <c r="I61" i="25"/>
  <c r="H115" i="17"/>
  <c r="D195" i="13"/>
  <c r="D195" i="18" s="1"/>
  <c r="D124" i="25" s="1"/>
  <c r="D70" i="12"/>
  <c r="G68" i="12"/>
  <c r="N68" i="12"/>
  <c r="O68" i="12" s="1"/>
  <c r="E209" i="6"/>
  <c r="O48" i="9"/>
  <c r="Y47" i="9"/>
  <c r="Z69" i="12"/>
  <c r="AA69" i="12" s="1"/>
  <c r="G210" i="6"/>
  <c r="H186" i="13"/>
  <c r="E183" i="13"/>
  <c r="J188" i="13"/>
  <c r="N192" i="13"/>
  <c r="K189" i="13"/>
  <c r="G185" i="13"/>
  <c r="I187" i="13"/>
  <c r="L190" i="13"/>
  <c r="M191" i="13"/>
  <c r="F184" i="13"/>
  <c r="M67" i="12"/>
  <c r="L19" i="25"/>
  <c r="C163" i="13"/>
  <c r="C185" i="18" s="1"/>
  <c r="U69" i="10" l="1"/>
  <c r="U71" i="10" s="1"/>
  <c r="S71" i="10"/>
  <c r="AZ71" i="12"/>
  <c r="K213" i="6"/>
  <c r="AX72" i="12"/>
  <c r="AY72" i="12" s="1"/>
  <c r="AZ72" i="12" s="1"/>
  <c r="U68" i="10"/>
  <c r="CZ64" i="10" s="1"/>
  <c r="CY69" i="10" s="1"/>
  <c r="BT71" i="12"/>
  <c r="BU71" i="12" s="1"/>
  <c r="BS71" i="12"/>
  <c r="N213" i="6"/>
  <c r="BP72" i="12"/>
  <c r="BQ72" i="12" s="1"/>
  <c r="BR72" i="12" s="1"/>
  <c r="BD70" i="12"/>
  <c r="BE70" i="12" s="1"/>
  <c r="BF70" i="12" s="1"/>
  <c r="L211" i="6"/>
  <c r="CM72" i="10"/>
  <c r="CN71" i="10"/>
  <c r="CN72" i="10" s="1"/>
  <c r="CN73" i="10" s="1"/>
  <c r="N115" i="17"/>
  <c r="M69" i="10"/>
  <c r="M71" i="10" s="1"/>
  <c r="K71" i="10"/>
  <c r="BG69" i="12"/>
  <c r="BH69" i="12"/>
  <c r="BI69" i="12" s="1"/>
  <c r="U44" i="11"/>
  <c r="W44" i="11" s="1"/>
  <c r="Z44" i="11" s="1"/>
  <c r="Y44" i="11" s="1"/>
  <c r="V43" i="11"/>
  <c r="X43" i="11" s="1"/>
  <c r="T44" i="11"/>
  <c r="BX71" i="10"/>
  <c r="BX72" i="10" s="1"/>
  <c r="BX73" i="10" s="1"/>
  <c r="BW72" i="10"/>
  <c r="BI73" i="10"/>
  <c r="L54" i="16"/>
  <c r="L53" i="16" s="1"/>
  <c r="M53" i="16" s="1"/>
  <c r="N53" i="16" s="1"/>
  <c r="O53" i="16" s="1"/>
  <c r="B78" i="2" s="1"/>
  <c r="H61" i="26" s="1"/>
  <c r="D158" i="31" s="1"/>
  <c r="AG27" i="9"/>
  <c r="AD27" i="9" s="1"/>
  <c r="AH26" i="9"/>
  <c r="H71" i="12"/>
  <c r="I71" i="12" s="1"/>
  <c r="J71" i="12" s="1"/>
  <c r="D212" i="6"/>
  <c r="AW6" i="11"/>
  <c r="B47" i="11"/>
  <c r="C47" i="11"/>
  <c r="D46" i="11"/>
  <c r="F46" i="11" s="1"/>
  <c r="CE63" i="12"/>
  <c r="K4" i="25"/>
  <c r="Y70" i="12"/>
  <c r="AK69" i="12"/>
  <c r="Y219" i="9"/>
  <c r="O220" i="9"/>
  <c r="J20" i="17"/>
  <c r="K60" i="15"/>
  <c r="K85" i="15" s="1"/>
  <c r="K37" i="14"/>
  <c r="K34" i="14"/>
  <c r="K63" i="15"/>
  <c r="K88" i="15" s="1"/>
  <c r="K36" i="14"/>
  <c r="K42" i="14"/>
  <c r="K62" i="15"/>
  <c r="K87" i="15" s="1"/>
  <c r="K43" i="14"/>
  <c r="K61" i="15"/>
  <c r="K86" i="15" s="1"/>
  <c r="K41" i="14"/>
  <c r="K38" i="14"/>
  <c r="J23" i="17"/>
  <c r="K34" i="18" s="1"/>
  <c r="K25" i="25" s="1"/>
  <c r="K39" i="14"/>
  <c r="K59" i="15"/>
  <c r="J24" i="17"/>
  <c r="K35" i="18" s="1"/>
  <c r="K26" i="25" s="1"/>
  <c r="K40" i="14"/>
  <c r="K35" i="14"/>
  <c r="T73" i="12"/>
  <c r="U73" i="12" s="1"/>
  <c r="Z159" i="6"/>
  <c r="C213" i="28" s="1"/>
  <c r="AP68" i="12"/>
  <c r="AO68" i="12"/>
  <c r="E46" i="11"/>
  <c r="BI3" i="11"/>
  <c r="BI18" i="11" s="1"/>
  <c r="BP71" i="10"/>
  <c r="BP72" i="10" s="1"/>
  <c r="BP73" i="10" s="1"/>
  <c r="BO72" i="10"/>
  <c r="CB12" i="9"/>
  <c r="BG22" i="9"/>
  <c r="BH22" i="9" s="1"/>
  <c r="AJ115" i="9"/>
  <c r="AE115" i="9"/>
  <c r="AF115" i="9" s="1"/>
  <c r="BG5" i="11"/>
  <c r="BF20" i="11"/>
  <c r="AS72" i="10"/>
  <c r="AQ73" i="10"/>
  <c r="AQ74" i="10" s="1"/>
  <c r="K48" i="9"/>
  <c r="A49" i="9"/>
  <c r="AJ71" i="12"/>
  <c r="AK71" i="12" s="1"/>
  <c r="AI71" i="12"/>
  <c r="AO69" i="12"/>
  <c r="AP69" i="12"/>
  <c r="AQ69" i="12" s="1"/>
  <c r="AC220" i="9"/>
  <c r="AM219" i="9"/>
  <c r="AC51" i="9"/>
  <c r="AM50" i="9"/>
  <c r="G220" i="28"/>
  <c r="B220" i="28"/>
  <c r="F70" i="12"/>
  <c r="E70" i="12"/>
  <c r="CO66" i="12"/>
  <c r="CF62" i="12"/>
  <c r="G149" i="13" s="1"/>
  <c r="AC72" i="10"/>
  <c r="AA73" i="10"/>
  <c r="AA74" i="10" s="1"/>
  <c r="V114" i="9"/>
  <c r="Q114" i="9"/>
  <c r="R114" i="9" s="1"/>
  <c r="K220" i="9"/>
  <c r="A221" i="9"/>
  <c r="F149" i="13"/>
  <c r="BI74" i="10"/>
  <c r="BI76" i="10" s="1"/>
  <c r="BG76" i="10"/>
  <c r="Z70" i="12"/>
  <c r="AA70" i="12" s="1"/>
  <c r="AB70" i="12" s="1"/>
  <c r="G211" i="6"/>
  <c r="BX66" i="12"/>
  <c r="BA133" i="9"/>
  <c r="AB69" i="12"/>
  <c r="N69" i="12"/>
  <c r="O69" i="12" s="1"/>
  <c r="E210" i="6"/>
  <c r="BM69" i="10"/>
  <c r="BN69" i="10" s="1"/>
  <c r="BG11" i="11"/>
  <c r="BG12" i="11" s="1"/>
  <c r="K45" i="11"/>
  <c r="L45" i="11"/>
  <c r="N45" i="11" s="1"/>
  <c r="Q45" i="11" s="1"/>
  <c r="P45" i="11" s="1"/>
  <c r="M44" i="11"/>
  <c r="O44" i="11" s="1"/>
  <c r="K134" i="9"/>
  <c r="A135" i="9"/>
  <c r="AU69" i="12"/>
  <c r="AV69" i="12"/>
  <c r="J30" i="25"/>
  <c r="J38" i="18"/>
  <c r="E42" i="22"/>
  <c r="G69" i="12"/>
  <c r="AY77" i="10"/>
  <c r="AZ76" i="10"/>
  <c r="AZ77" i="10" s="1"/>
  <c r="AZ78" i="10" s="1"/>
  <c r="D111" i="9"/>
  <c r="AT111" i="9" s="1"/>
  <c r="AS111" i="9"/>
  <c r="E72" i="10"/>
  <c r="C73" i="10"/>
  <c r="C74" i="10" s="1"/>
  <c r="AV16" i="11"/>
  <c r="AV7" i="11"/>
  <c r="AV17" i="11" s="1"/>
  <c r="AR197" i="9"/>
  <c r="H197" i="9"/>
  <c r="C197" i="9"/>
  <c r="BA219" i="9"/>
  <c r="R67" i="12"/>
  <c r="Q67" i="12"/>
  <c r="BX67" i="12" s="1"/>
  <c r="CG64" i="12" s="1"/>
  <c r="BW67" i="12"/>
  <c r="AJ71" i="10"/>
  <c r="AJ72" i="10" s="1"/>
  <c r="AJ73" i="10" s="1"/>
  <c r="AI72" i="10"/>
  <c r="H213" i="6"/>
  <c r="AF72" i="12"/>
  <c r="AG72" i="12" s="1"/>
  <c r="AH72" i="12" s="1"/>
  <c r="CG72" i="10"/>
  <c r="CE73" i="10"/>
  <c r="CE74" i="10" s="1"/>
  <c r="I151" i="25"/>
  <c r="BL73" i="12"/>
  <c r="BK74" i="12"/>
  <c r="C114" i="25"/>
  <c r="E195" i="13"/>
  <c r="E195" i="18" s="1"/>
  <c r="E124" i="25" s="1"/>
  <c r="P68" i="12"/>
  <c r="BV68" i="12"/>
  <c r="D74" i="10"/>
  <c r="O135" i="9"/>
  <c r="Y134" i="9"/>
  <c r="AU70" i="12"/>
  <c r="AV70" i="12"/>
  <c r="AW70" i="12" s="1"/>
  <c r="CF74" i="10"/>
  <c r="CG73" i="10"/>
  <c r="C213" i="6"/>
  <c r="B72" i="12"/>
  <c r="C72" i="12" s="1"/>
  <c r="Y48" i="9"/>
  <c r="O49" i="9"/>
  <c r="U27" i="9"/>
  <c r="W26" i="9"/>
  <c r="X26" i="9" s="1"/>
  <c r="Z26" i="9"/>
  <c r="S66" i="12"/>
  <c r="BZ66" i="12" s="1"/>
  <c r="CF66" i="12" s="1"/>
  <c r="BY66" i="12"/>
  <c r="CF63" i="12" s="1"/>
  <c r="G181" i="13" s="1"/>
  <c r="AC135" i="9"/>
  <c r="AM134" i="9"/>
  <c r="C5" i="23"/>
  <c r="E47" i="2"/>
  <c r="O61" i="25"/>
  <c r="BH4" i="11"/>
  <c r="BH19" i="11" s="1"/>
  <c r="J222" i="18" s="1"/>
  <c r="J151" i="25" s="1"/>
  <c r="H45" i="11"/>
  <c r="G45" i="11" s="1"/>
  <c r="AB74" i="10"/>
  <c r="AC73" i="10"/>
  <c r="O60" i="25"/>
  <c r="E31" i="2"/>
  <c r="E79" i="2" s="1"/>
  <c r="V200" i="9"/>
  <c r="Q200" i="9"/>
  <c r="R200" i="9" s="1"/>
  <c r="W72" i="12"/>
  <c r="X72" i="12"/>
  <c r="Y72" i="12" s="1"/>
  <c r="G112" i="9"/>
  <c r="AW112" i="9" s="1"/>
  <c r="I111" i="9"/>
  <c r="L111" i="9"/>
  <c r="AX111" i="9"/>
  <c r="K70" i="12"/>
  <c r="L70" i="12"/>
  <c r="M70" i="12" s="1"/>
  <c r="C25" i="9"/>
  <c r="AR25" i="9"/>
  <c r="H25" i="9"/>
  <c r="C195" i="13"/>
  <c r="C195" i="18" s="1"/>
  <c r="N70" i="25"/>
  <c r="O110" i="18"/>
  <c r="O70" i="25" s="1"/>
  <c r="AR71" i="12"/>
  <c r="AS71" i="12" s="1"/>
  <c r="AT71" i="12" s="1"/>
  <c r="J212" i="6"/>
  <c r="C73" i="13"/>
  <c r="Q73" i="13" s="1"/>
  <c r="I79" i="13"/>
  <c r="W79" i="13" s="1"/>
  <c r="K81" i="13"/>
  <c r="Y81" i="13" s="1"/>
  <c r="L32" i="13"/>
  <c r="L4" i="13"/>
  <c r="L16" i="13" s="1"/>
  <c r="L13" i="18" s="1"/>
  <c r="F76" i="13"/>
  <c r="T76" i="13" s="1"/>
  <c r="H78" i="13"/>
  <c r="V78" i="13" s="1"/>
  <c r="D74" i="13"/>
  <c r="R74" i="13" s="1"/>
  <c r="G77" i="13"/>
  <c r="U77" i="13" s="1"/>
  <c r="E75" i="13"/>
  <c r="S75" i="13" s="1"/>
  <c r="J80" i="13"/>
  <c r="X80" i="13" s="1"/>
  <c r="N6" i="13"/>
  <c r="M5" i="13"/>
  <c r="AN199" i="9"/>
  <c r="AK199" i="9"/>
  <c r="AL199" i="9" s="1"/>
  <c r="AI200" i="9"/>
  <c r="AR74" i="10"/>
  <c r="BA47" i="9"/>
  <c r="BN44" i="9" s="1"/>
  <c r="E163" i="13"/>
  <c r="E185" i="18" s="1"/>
  <c r="E114" i="25" s="1"/>
  <c r="K69" i="12"/>
  <c r="L69" i="12"/>
  <c r="I211" i="6"/>
  <c r="AL70" i="12"/>
  <c r="AM70" i="12" s="1"/>
  <c r="AN70" i="12" s="1"/>
  <c r="BZ65" i="12"/>
  <c r="D71" i="12"/>
  <c r="CA18" i="9"/>
  <c r="BA72" i="12" l="1"/>
  <c r="BB72" i="12"/>
  <c r="BC72" i="12" s="1"/>
  <c r="AX73" i="12"/>
  <c r="AY73" i="12" s="1"/>
  <c r="AZ73" i="12" s="1"/>
  <c r="Z164" i="6"/>
  <c r="C218" i="28" s="1"/>
  <c r="AY74" i="12"/>
  <c r="BS72" i="12"/>
  <c r="BT72" i="12"/>
  <c r="BU72" i="12" s="1"/>
  <c r="BA71" i="12"/>
  <c r="BB71" i="12"/>
  <c r="DA64" i="10"/>
  <c r="DL23" i="10" s="1"/>
  <c r="F36" i="22" s="1"/>
  <c r="BP73" i="12"/>
  <c r="BQ73" i="12" s="1"/>
  <c r="Z167" i="6"/>
  <c r="C221" i="28" s="1"/>
  <c r="T71" i="10"/>
  <c r="T72" i="10" s="1"/>
  <c r="T73" i="10" s="1"/>
  <c r="S72" i="10"/>
  <c r="E73" i="10"/>
  <c r="T45" i="11"/>
  <c r="V44" i="11"/>
  <c r="X44" i="11" s="1"/>
  <c r="U45" i="11"/>
  <c r="W45" i="11" s="1"/>
  <c r="Z45" i="11" s="1"/>
  <c r="Y45" i="11" s="1"/>
  <c r="CN74" i="10"/>
  <c r="L71" i="10"/>
  <c r="L72" i="10" s="1"/>
  <c r="L73" i="10" s="1"/>
  <c r="K72" i="10"/>
  <c r="CM73" i="10"/>
  <c r="CM74" i="10" s="1"/>
  <c r="CO72" i="10"/>
  <c r="CS69" i="10" s="1"/>
  <c r="CT69" i="10" s="1"/>
  <c r="BY72" i="10"/>
  <c r="CC69" i="10" s="1"/>
  <c r="CD69" i="10" s="1"/>
  <c r="BW73" i="10"/>
  <c r="BW74" i="10" s="1"/>
  <c r="L212" i="6"/>
  <c r="BD71" i="12"/>
  <c r="BE71" i="12" s="1"/>
  <c r="BF71" i="12" s="1"/>
  <c r="BX74" i="10"/>
  <c r="BY73" i="10"/>
  <c r="BH70" i="12"/>
  <c r="BI70" i="12" s="1"/>
  <c r="BG70" i="12"/>
  <c r="K13" i="17"/>
  <c r="F29" i="22"/>
  <c r="D197" i="9"/>
  <c r="AT197" i="9" s="1"/>
  <c r="AS197" i="9"/>
  <c r="AW69" i="12"/>
  <c r="M45" i="11"/>
  <c r="O45" i="11" s="1"/>
  <c r="K46" i="11"/>
  <c r="BH11" i="11"/>
  <c r="BH12" i="11" s="1"/>
  <c r="L46" i="11"/>
  <c r="N46" i="11" s="1"/>
  <c r="Q46" i="11" s="1"/>
  <c r="P46" i="11" s="1"/>
  <c r="G213" i="28"/>
  <c r="B213" i="28"/>
  <c r="F181" i="13"/>
  <c r="BJ3" i="11"/>
  <c r="BJ18" i="11" s="1"/>
  <c r="E47" i="11"/>
  <c r="CE66" i="12"/>
  <c r="AY111" i="9"/>
  <c r="J111" i="9"/>
  <c r="AZ111" i="9" s="1"/>
  <c r="R68" i="12"/>
  <c r="Q68" i="12"/>
  <c r="BX68" i="12" s="1"/>
  <c r="CH64" i="12" s="1"/>
  <c r="BW68" i="12"/>
  <c r="AI72" i="12"/>
  <c r="AJ72" i="12"/>
  <c r="AJ74" i="10"/>
  <c r="J29" i="25"/>
  <c r="J54" i="18"/>
  <c r="AC70" i="12"/>
  <c r="AD70" i="12"/>
  <c r="AE70" i="12" s="1"/>
  <c r="A222" i="9"/>
  <c r="K221" i="9"/>
  <c r="W114" i="9"/>
  <c r="X114" i="9" s="1"/>
  <c r="U115" i="9"/>
  <c r="Z114" i="9"/>
  <c r="AM220" i="9"/>
  <c r="AC221" i="9"/>
  <c r="A50" i="9"/>
  <c r="K49" i="9"/>
  <c r="AW69" i="10"/>
  <c r="AX69" i="10" s="1"/>
  <c r="K33" i="14"/>
  <c r="Y220" i="9"/>
  <c r="O221" i="9"/>
  <c r="AW16" i="11"/>
  <c r="AW7" i="11"/>
  <c r="AW17" i="11" s="1"/>
  <c r="AJ27" i="9"/>
  <c r="AE27" i="9"/>
  <c r="AF27" i="9" s="1"/>
  <c r="AO70" i="12"/>
  <c r="AP70" i="12"/>
  <c r="AQ70" i="12" s="1"/>
  <c r="C124" i="25"/>
  <c r="K135" i="9"/>
  <c r="A136" i="9"/>
  <c r="E211" i="6"/>
  <c r="N70" i="12"/>
  <c r="O70" i="12" s="1"/>
  <c r="H46" i="11"/>
  <c r="G46" i="11" s="1"/>
  <c r="BI4" i="11"/>
  <c r="BI19" i="11" s="1"/>
  <c r="K222" i="18" s="1"/>
  <c r="K151" i="25" s="1"/>
  <c r="AS73" i="10"/>
  <c r="AG200" i="9"/>
  <c r="AD200" i="9" s="1"/>
  <c r="AH199" i="9"/>
  <c r="AC136" i="9"/>
  <c r="AM135" i="9"/>
  <c r="T26" i="9"/>
  <c r="S27" i="9"/>
  <c r="P27" i="9" s="1"/>
  <c r="E71" i="12"/>
  <c r="F71" i="12"/>
  <c r="M69" i="12"/>
  <c r="L5" i="25"/>
  <c r="L12" i="18"/>
  <c r="I25" i="9"/>
  <c r="L25" i="9"/>
  <c r="AX25" i="9"/>
  <c r="G26" i="9"/>
  <c r="Z200" i="9"/>
  <c r="U201" i="9"/>
  <c r="W200" i="9"/>
  <c r="X200" i="9" s="1"/>
  <c r="Y135" i="9"/>
  <c r="O136" i="9"/>
  <c r="CK69" i="10"/>
  <c r="CL69" i="10" s="1"/>
  <c r="AF73" i="12"/>
  <c r="AG73" i="12" s="1"/>
  <c r="Z161" i="6"/>
  <c r="C215" i="28" s="1"/>
  <c r="CG62" i="12"/>
  <c r="CO67" i="12"/>
  <c r="I69" i="10"/>
  <c r="BA77" i="10"/>
  <c r="AY80" i="10"/>
  <c r="AY78" i="10"/>
  <c r="BA78" i="10" s="1"/>
  <c r="AD69" i="12"/>
  <c r="AC69" i="12"/>
  <c r="CF64" i="12"/>
  <c r="BA220" i="9"/>
  <c r="AC74" i="10"/>
  <c r="AC76" i="10" s="1"/>
  <c r="AA76" i="10"/>
  <c r="BA48" i="9"/>
  <c r="BN45" i="9" s="1"/>
  <c r="AQ68" i="12"/>
  <c r="K58" i="15"/>
  <c r="K33" i="15" s="1"/>
  <c r="K76" i="15" s="1"/>
  <c r="K84" i="15"/>
  <c r="K83" i="15" s="1"/>
  <c r="K95" i="15" s="1"/>
  <c r="H72" i="12"/>
  <c r="I72" i="12" s="1"/>
  <c r="J72" i="12" s="1"/>
  <c r="D213" i="6"/>
  <c r="L218" i="18"/>
  <c r="O54" i="16"/>
  <c r="J213" i="6"/>
  <c r="AR72" i="12"/>
  <c r="AS72" i="12" s="1"/>
  <c r="AT72" i="12" s="1"/>
  <c r="I185" i="13"/>
  <c r="N190" i="13"/>
  <c r="G183" i="13"/>
  <c r="L188" i="13"/>
  <c r="J186" i="13"/>
  <c r="M189" i="13"/>
  <c r="H184" i="13"/>
  <c r="K187" i="13"/>
  <c r="D72" i="12"/>
  <c r="G70" i="12"/>
  <c r="AM51" i="9"/>
  <c r="AC52" i="9"/>
  <c r="AS74" i="10"/>
  <c r="AS76" i="10" s="1"/>
  <c r="AQ76" i="10"/>
  <c r="BQ72" i="10"/>
  <c r="BO73" i="10"/>
  <c r="BO74" i="10" s="1"/>
  <c r="K71" i="12"/>
  <c r="L71" i="12"/>
  <c r="M71" i="12" s="1"/>
  <c r="I212" i="6"/>
  <c r="AL71" i="12"/>
  <c r="AM71" i="12" s="1"/>
  <c r="AN71" i="12" s="1"/>
  <c r="AU71" i="12"/>
  <c r="AV71" i="12"/>
  <c r="AW71" i="12" s="1"/>
  <c r="D25" i="9"/>
  <c r="AT25" i="9" s="1"/>
  <c r="AS25" i="9"/>
  <c r="E112" i="9"/>
  <c r="F111" i="9"/>
  <c r="AV111" i="9" s="1"/>
  <c r="BB111" i="9"/>
  <c r="Y49" i="9"/>
  <c r="O50" i="9"/>
  <c r="B73" i="12"/>
  <c r="C73" i="12" s="1"/>
  <c r="Z156" i="6"/>
  <c r="C210" i="28" s="1"/>
  <c r="BN73" i="12"/>
  <c r="BM73" i="12"/>
  <c r="BM74" i="12" s="1"/>
  <c r="BL74" i="12"/>
  <c r="CG74" i="10"/>
  <c r="CG76" i="10" s="1"/>
  <c r="CE76" i="10"/>
  <c r="AK72" i="10"/>
  <c r="AI73" i="10"/>
  <c r="AI74" i="10" s="1"/>
  <c r="S67" i="12"/>
  <c r="BY67" i="12"/>
  <c r="CG63" i="12" s="1"/>
  <c r="H181" i="13" s="1"/>
  <c r="I197" i="9"/>
  <c r="L197" i="9"/>
  <c r="AX197" i="9"/>
  <c r="G198" i="9"/>
  <c r="AW198" i="9" s="1"/>
  <c r="E74" i="10"/>
  <c r="E76" i="10" s="1"/>
  <c r="C76" i="10"/>
  <c r="BA134" i="9"/>
  <c r="P69" i="12"/>
  <c r="BV69" i="12"/>
  <c r="G212" i="6"/>
  <c r="Z71" i="12"/>
  <c r="AA71" i="12" s="1"/>
  <c r="AB71" i="12" s="1"/>
  <c r="BH76" i="10"/>
  <c r="BH77" i="10" s="1"/>
  <c r="BH78" i="10" s="1"/>
  <c r="BG77" i="10"/>
  <c r="H153" i="13"/>
  <c r="N159" i="13"/>
  <c r="G152" i="13"/>
  <c r="F151" i="13"/>
  <c r="L157" i="13"/>
  <c r="M158" i="13"/>
  <c r="K156" i="13"/>
  <c r="I154" i="13"/>
  <c r="J155" i="13"/>
  <c r="AG69" i="10"/>
  <c r="AH69" i="10" s="1"/>
  <c r="I153" i="13"/>
  <c r="K155" i="13"/>
  <c r="H152" i="13"/>
  <c r="N158" i="13"/>
  <c r="G151" i="13"/>
  <c r="J154" i="13"/>
  <c r="M157" i="13"/>
  <c r="L156" i="13"/>
  <c r="D220" i="28"/>
  <c r="E220" i="28" s="1"/>
  <c r="A220" i="28"/>
  <c r="F220" i="28"/>
  <c r="BH5" i="11"/>
  <c r="BG20" i="11"/>
  <c r="AN115" i="9"/>
  <c r="AK115" i="9"/>
  <c r="AL115" i="9" s="1"/>
  <c r="AI116" i="9"/>
  <c r="BQ73" i="10"/>
  <c r="BP74" i="10"/>
  <c r="V73" i="12"/>
  <c r="U74" i="12"/>
  <c r="K31" i="18"/>
  <c r="J46" i="17"/>
  <c r="J48" i="17" s="1"/>
  <c r="J15" i="17"/>
  <c r="E38" i="22" s="1"/>
  <c r="C48" i="11"/>
  <c r="AX6" i="11"/>
  <c r="D47" i="11"/>
  <c r="F47" i="11" s="1"/>
  <c r="B48" i="11"/>
  <c r="U72" i="10" l="1"/>
  <c r="Y69" i="10" s="1"/>
  <c r="Z69" i="10" s="1"/>
  <c r="S73" i="10"/>
  <c r="S74" i="10" s="1"/>
  <c r="T74" i="10"/>
  <c r="G221" i="28"/>
  <c r="B221" i="28"/>
  <c r="BR73" i="12"/>
  <c r="BQ74" i="12"/>
  <c r="G218" i="28"/>
  <c r="B218" i="28"/>
  <c r="BA73" i="12"/>
  <c r="BA74" i="12" s="1"/>
  <c r="BB73" i="12"/>
  <c r="BC73" i="12" s="1"/>
  <c r="AZ74" i="12"/>
  <c r="BC71" i="12"/>
  <c r="BB74" i="12"/>
  <c r="L213" i="6"/>
  <c r="BD73" i="12" s="1"/>
  <c r="BE73" i="12" s="1"/>
  <c r="BF73" i="12" s="1"/>
  <c r="BH73" i="12" s="1"/>
  <c r="BD72" i="12"/>
  <c r="BE72" i="12" s="1"/>
  <c r="Z165" i="6"/>
  <c r="C219" i="28" s="1"/>
  <c r="CO74" i="10"/>
  <c r="CO76" i="10" s="1"/>
  <c r="CM76" i="10"/>
  <c r="BY74" i="10"/>
  <c r="BY76" i="10" s="1"/>
  <c r="BW76" i="10"/>
  <c r="M72" i="10"/>
  <c r="Q69" i="10" s="1"/>
  <c r="R69" i="10" s="1"/>
  <c r="K73" i="10"/>
  <c r="K74" i="10" s="1"/>
  <c r="L74" i="10"/>
  <c r="BH71" i="12"/>
  <c r="BI71" i="12" s="1"/>
  <c r="BG71" i="12"/>
  <c r="CO73" i="10"/>
  <c r="T46" i="11"/>
  <c r="U46" i="11"/>
  <c r="W46" i="11" s="1"/>
  <c r="Z46" i="11" s="1"/>
  <c r="Y46" i="11" s="1"/>
  <c r="V45" i="11"/>
  <c r="X45" i="11" s="1"/>
  <c r="BZ67" i="12"/>
  <c r="B210" i="28"/>
  <c r="G210" i="28"/>
  <c r="BK22" i="9"/>
  <c r="CB14" i="9"/>
  <c r="AB76" i="10"/>
  <c r="AB77" i="10" s="1"/>
  <c r="AB78" i="10" s="1"/>
  <c r="AA77" i="10"/>
  <c r="BB25" i="9"/>
  <c r="F25" i="9"/>
  <c r="AV25" i="9" s="1"/>
  <c r="E26" i="9"/>
  <c r="AE200" i="9"/>
  <c r="AF200" i="9" s="1"/>
  <c r="AJ200" i="9"/>
  <c r="K136" i="9"/>
  <c r="A137" i="9"/>
  <c r="K67" i="14"/>
  <c r="K78" i="14"/>
  <c r="K41" i="18" s="1"/>
  <c r="K21" i="14"/>
  <c r="K55" i="14" s="1"/>
  <c r="E39" i="22" s="1"/>
  <c r="J58" i="17" s="1"/>
  <c r="K50" i="9"/>
  <c r="A51" i="9"/>
  <c r="BG73" i="12"/>
  <c r="F42" i="22"/>
  <c r="AY6" i="11"/>
  <c r="D48" i="11"/>
  <c r="F48" i="11" s="1"/>
  <c r="B49" i="11"/>
  <c r="C49" i="11"/>
  <c r="X73" i="12"/>
  <c r="W73" i="12"/>
  <c r="W74" i="12" s="1"/>
  <c r="V74" i="12"/>
  <c r="AC71" i="12"/>
  <c r="AD71" i="12"/>
  <c r="AE71" i="12" s="1"/>
  <c r="F197" i="9"/>
  <c r="AV197" i="9" s="1"/>
  <c r="E198" i="9"/>
  <c r="BB197" i="9"/>
  <c r="AK74" i="10"/>
  <c r="AK76" i="10" s="1"/>
  <c r="AI76" i="10"/>
  <c r="BO73" i="12"/>
  <c r="BO74" i="12" s="1"/>
  <c r="BN74" i="12"/>
  <c r="D73" i="12"/>
  <c r="C74" i="12"/>
  <c r="AL72" i="12"/>
  <c r="AM72" i="12" s="1"/>
  <c r="AN72" i="12" s="1"/>
  <c r="I213" i="6"/>
  <c r="BQ74" i="10"/>
  <c r="BQ76" i="10" s="1"/>
  <c r="BO76" i="10"/>
  <c r="AC53" i="9"/>
  <c r="AM52" i="9"/>
  <c r="AR73" i="12"/>
  <c r="AS73" i="12" s="1"/>
  <c r="Z163" i="6"/>
  <c r="C217" i="28" s="1"/>
  <c r="L72" i="12"/>
  <c r="M72" i="12" s="1"/>
  <c r="K72" i="12"/>
  <c r="AE69" i="12"/>
  <c r="B215" i="28"/>
  <c r="G215" i="28"/>
  <c r="Y136" i="9"/>
  <c r="O137" i="9"/>
  <c r="S201" i="9"/>
  <c r="P201" i="9" s="1"/>
  <c r="T200" i="9"/>
  <c r="AY25" i="9"/>
  <c r="J25" i="9"/>
  <c r="AZ25" i="9" s="1"/>
  <c r="BA135" i="9"/>
  <c r="AM221" i="9"/>
  <c r="AC222" i="9"/>
  <c r="AK72" i="12"/>
  <c r="S68" i="12"/>
  <c r="BZ68" i="12" s="1"/>
  <c r="CH66" i="12" s="1"/>
  <c r="BY68" i="12"/>
  <c r="CH63" i="12" s="1"/>
  <c r="I181" i="13" s="1"/>
  <c r="I186" i="13"/>
  <c r="K188" i="13"/>
  <c r="H185" i="13"/>
  <c r="L189" i="13"/>
  <c r="F183" i="13"/>
  <c r="M190" i="13"/>
  <c r="N191" i="13"/>
  <c r="J187" i="13"/>
  <c r="G184" i="13"/>
  <c r="L59" i="15"/>
  <c r="L38" i="14"/>
  <c r="L36" i="14"/>
  <c r="K20" i="17"/>
  <c r="L63" i="15"/>
  <c r="L88" i="15" s="1"/>
  <c r="L60" i="15"/>
  <c r="L85" i="15" s="1"/>
  <c r="L41" i="14"/>
  <c r="L37" i="14"/>
  <c r="L62" i="15"/>
  <c r="L87" i="15" s="1"/>
  <c r="L39" i="14"/>
  <c r="K23" i="17"/>
  <c r="L34" i="18" s="1"/>
  <c r="L25" i="25" s="1"/>
  <c r="L43" i="14"/>
  <c r="L61" i="15"/>
  <c r="L86" i="15" s="1"/>
  <c r="L42" i="14"/>
  <c r="L34" i="14"/>
  <c r="K24" i="17"/>
  <c r="L35" i="18" s="1"/>
  <c r="L26" i="25" s="1"/>
  <c r="L40" i="14"/>
  <c r="L35" i="14"/>
  <c r="BK3" i="11"/>
  <c r="BK18" i="11" s="1"/>
  <c r="E48" i="11"/>
  <c r="R69" i="12"/>
  <c r="Q69" i="12"/>
  <c r="BX69" i="12" s="1"/>
  <c r="CI64" i="12" s="1"/>
  <c r="BW69" i="12"/>
  <c r="BE74" i="10"/>
  <c r="BA80" i="10"/>
  <c r="BA81" i="10" s="1"/>
  <c r="J50" i="17"/>
  <c r="J49" i="17"/>
  <c r="BI5" i="11"/>
  <c r="BH20" i="11"/>
  <c r="G163" i="13"/>
  <c r="G185" i="18" s="1"/>
  <c r="G114" i="25" s="1"/>
  <c r="G213" i="6"/>
  <c r="Z72" i="12"/>
  <c r="AA72" i="12" s="1"/>
  <c r="AB72" i="12" s="1"/>
  <c r="AY197" i="9"/>
  <c r="J197" i="9"/>
  <c r="AZ197" i="9" s="1"/>
  <c r="O51" i="9"/>
  <c r="Y50" i="9"/>
  <c r="AR76" i="10"/>
  <c r="AR77" i="10" s="1"/>
  <c r="AR78" i="10" s="1"/>
  <c r="AQ77" i="10"/>
  <c r="E72" i="12"/>
  <c r="F72" i="12"/>
  <c r="J69" i="10"/>
  <c r="AH73" i="12"/>
  <c r="AG74" i="12"/>
  <c r="M28" i="18"/>
  <c r="L17" i="17"/>
  <c r="AW26" i="9"/>
  <c r="L4" i="25"/>
  <c r="AC137" i="9"/>
  <c r="AM136" i="9"/>
  <c r="P70" i="12"/>
  <c r="BV70" i="12"/>
  <c r="AK27" i="9"/>
  <c r="AL27" i="9" s="1"/>
  <c r="AN27" i="9"/>
  <c r="AI28" i="9"/>
  <c r="Y221" i="9"/>
  <c r="O222" i="9"/>
  <c r="BA221" i="9"/>
  <c r="AK73" i="10"/>
  <c r="BJ4" i="11"/>
  <c r="BJ19" i="11" s="1"/>
  <c r="L222" i="18" s="1"/>
  <c r="L151" i="25" s="1"/>
  <c r="H47" i="11"/>
  <c r="G47" i="11" s="1"/>
  <c r="D76" i="10"/>
  <c r="D77" i="10" s="1"/>
  <c r="D78" i="10" s="1"/>
  <c r="C123" i="28"/>
  <c r="C77" i="10"/>
  <c r="CF76" i="10"/>
  <c r="CF77" i="10" s="1"/>
  <c r="CF78" i="10" s="1"/>
  <c r="CE77" i="10"/>
  <c r="AP71" i="12"/>
  <c r="AO71" i="12"/>
  <c r="AV72" i="12"/>
  <c r="AW72" i="12" s="1"/>
  <c r="AU72" i="12"/>
  <c r="H73" i="12"/>
  <c r="I73" i="12" s="1"/>
  <c r="Z157" i="6"/>
  <c r="C211" i="28" s="1"/>
  <c r="H149" i="13"/>
  <c r="AX16" i="11"/>
  <c r="AX7" i="11"/>
  <c r="AX17" i="11" s="1"/>
  <c r="K22" i="25"/>
  <c r="K53" i="18"/>
  <c r="K26" i="18"/>
  <c r="AH115" i="9"/>
  <c r="AG116" i="9"/>
  <c r="AD116" i="9" s="1"/>
  <c r="F163" i="13"/>
  <c r="F185" i="18" s="1"/>
  <c r="BI77" i="10"/>
  <c r="BG80" i="10"/>
  <c r="BG78" i="10"/>
  <c r="BI78" i="10" s="1"/>
  <c r="M188" i="13"/>
  <c r="L187" i="13"/>
  <c r="J185" i="13"/>
  <c r="H183" i="13"/>
  <c r="N189" i="13"/>
  <c r="I184" i="13"/>
  <c r="K186" i="13"/>
  <c r="AO69" i="10"/>
  <c r="AP69" i="10" s="1"/>
  <c r="B112" i="9"/>
  <c r="AU112" i="9"/>
  <c r="BU69" i="10"/>
  <c r="BV69" i="10" s="1"/>
  <c r="CX69" i="10" s="1"/>
  <c r="DM24" i="10" s="1"/>
  <c r="L44" i="17" s="1"/>
  <c r="L147" i="25"/>
  <c r="O218" i="18"/>
  <c r="AZ80" i="10"/>
  <c r="AY81" i="10"/>
  <c r="G71" i="12"/>
  <c r="Q27" i="9"/>
  <c r="R27" i="9" s="1"/>
  <c r="V27" i="9"/>
  <c r="E212" i="6"/>
  <c r="N71" i="12"/>
  <c r="O71" i="12" s="1"/>
  <c r="BA49" i="9"/>
  <c r="BN46" i="9" s="1"/>
  <c r="S115" i="9"/>
  <c r="P115" i="9" s="1"/>
  <c r="T114" i="9"/>
  <c r="A223" i="9"/>
  <c r="K222" i="9"/>
  <c r="J45" i="25"/>
  <c r="I4" i="24" s="1"/>
  <c r="J11" i="3"/>
  <c r="CO68" i="12"/>
  <c r="CH62" i="12"/>
  <c r="I149" i="13" s="1"/>
  <c r="A213" i="28"/>
  <c r="F213" i="28"/>
  <c r="D213" i="28"/>
  <c r="E213" i="28" s="1"/>
  <c r="L47" i="11"/>
  <c r="N47" i="11" s="1"/>
  <c r="Q47" i="11" s="1"/>
  <c r="P47" i="11" s="1"/>
  <c r="K47" i="11"/>
  <c r="BI11" i="11"/>
  <c r="BI12" i="11" s="1"/>
  <c r="M46" i="11"/>
  <c r="O46" i="11" s="1"/>
  <c r="BT73" i="12" l="1"/>
  <c r="BS73" i="12"/>
  <c r="BS74" i="12" s="1"/>
  <c r="BR74" i="12"/>
  <c r="D221" i="28"/>
  <c r="E221" i="28" s="1"/>
  <c r="A221" i="28"/>
  <c r="F221" i="28"/>
  <c r="BC74" i="12"/>
  <c r="U73" i="10"/>
  <c r="CZ69" i="10" s="1"/>
  <c r="A218" i="28"/>
  <c r="D218" i="28"/>
  <c r="E218" i="28" s="1"/>
  <c r="F218" i="28"/>
  <c r="U74" i="10"/>
  <c r="U76" i="10" s="1"/>
  <c r="S76" i="10"/>
  <c r="T47" i="11"/>
  <c r="U47" i="11"/>
  <c r="W47" i="11" s="1"/>
  <c r="Z47" i="11" s="1"/>
  <c r="Y47" i="11" s="1"/>
  <c r="V46" i="11"/>
  <c r="X46" i="11" s="1"/>
  <c r="M73" i="10"/>
  <c r="BW77" i="10"/>
  <c r="BX76" i="10"/>
  <c r="BX77" i="10" s="1"/>
  <c r="BX78" i="10" s="1"/>
  <c r="B219" i="28"/>
  <c r="G219" i="28"/>
  <c r="L33" i="14"/>
  <c r="BF72" i="12"/>
  <c r="BE74" i="12"/>
  <c r="M74" i="10"/>
  <c r="M76" i="10" s="1"/>
  <c r="K76" i="10"/>
  <c r="CN76" i="10"/>
  <c r="CN77" i="10" s="1"/>
  <c r="CN78" i="10" s="1"/>
  <c r="CM77" i="10"/>
  <c r="A224" i="9"/>
  <c r="K223" i="9"/>
  <c r="F114" i="25"/>
  <c r="J73" i="12"/>
  <c r="I74" i="12"/>
  <c r="M19" i="25"/>
  <c r="I151" i="13"/>
  <c r="L154" i="13"/>
  <c r="M155" i="13"/>
  <c r="N156" i="13"/>
  <c r="K153" i="13"/>
  <c r="J152" i="13"/>
  <c r="N72" i="12"/>
  <c r="O72" i="12" s="1"/>
  <c r="E213" i="6"/>
  <c r="K44" i="25"/>
  <c r="J52" i="17"/>
  <c r="B211" i="28"/>
  <c r="G211" i="28"/>
  <c r="C124" i="28"/>
  <c r="E77" i="10"/>
  <c r="C80" i="10"/>
  <c r="C78" i="10"/>
  <c r="C125" i="28" s="1"/>
  <c r="AM137" i="9"/>
  <c r="AC138" i="9"/>
  <c r="AI73" i="12"/>
  <c r="AI74" i="12" s="1"/>
  <c r="AJ73" i="12"/>
  <c r="AH74" i="12"/>
  <c r="L58" i="18"/>
  <c r="N49" i="17"/>
  <c r="BK4" i="11"/>
  <c r="BK19" i="11" s="1"/>
  <c r="M222" i="18" s="1"/>
  <c r="M151" i="25" s="1"/>
  <c r="H48" i="11"/>
  <c r="G48" i="11" s="1"/>
  <c r="L31" i="18"/>
  <c r="K46" i="17"/>
  <c r="K15" i="17"/>
  <c r="F38" i="22" s="1"/>
  <c r="F195" i="13"/>
  <c r="F195" i="18" s="1"/>
  <c r="CB16" i="9"/>
  <c r="BL22" i="9"/>
  <c r="G195" i="13"/>
  <c r="G195" i="18" s="1"/>
  <c r="G124" i="25" s="1"/>
  <c r="AC54" i="9"/>
  <c r="AM53" i="9"/>
  <c r="F73" i="12"/>
  <c r="E73" i="12"/>
  <c r="D74" i="12"/>
  <c r="AJ76" i="10"/>
  <c r="AJ77" i="10" s="1"/>
  <c r="AJ78" i="10" s="1"/>
  <c r="AI77" i="10"/>
  <c r="AU198" i="9"/>
  <c r="B198" i="9"/>
  <c r="BL3" i="11"/>
  <c r="BL18" i="11" s="1"/>
  <c r="E49" i="11"/>
  <c r="BA136" i="9"/>
  <c r="CG66" i="12"/>
  <c r="AJ116" i="9"/>
  <c r="AE116" i="9"/>
  <c r="AF116" i="9" s="1"/>
  <c r="AQ71" i="12"/>
  <c r="K32" i="25"/>
  <c r="K39" i="18"/>
  <c r="BH80" i="10"/>
  <c r="BG81" i="10"/>
  <c r="CG77" i="10"/>
  <c r="CE80" i="10"/>
  <c r="CE78" i="10"/>
  <c r="E78" i="10"/>
  <c r="AG28" i="9"/>
  <c r="AD28" i="9" s="1"/>
  <c r="AH27" i="9"/>
  <c r="R70" i="12"/>
  <c r="Q70" i="12"/>
  <c r="BX70" i="12" s="1"/>
  <c r="BW70" i="12"/>
  <c r="CW69" i="10"/>
  <c r="DM21" i="10" s="1"/>
  <c r="M2" i="13" s="1"/>
  <c r="Y51" i="9"/>
  <c r="O52" i="9"/>
  <c r="Z73" i="12"/>
  <c r="AA73" i="12" s="1"/>
  <c r="Z160" i="6"/>
  <c r="C214" i="28" s="1"/>
  <c r="BJ5" i="11"/>
  <c r="BI20" i="11"/>
  <c r="Q201" i="9"/>
  <c r="R201" i="9" s="1"/>
  <c r="V201" i="9"/>
  <c r="D215" i="28"/>
  <c r="E215" i="28" s="1"/>
  <c r="F215" i="28"/>
  <c r="A215" i="28"/>
  <c r="G217" i="28"/>
  <c r="B217" i="28"/>
  <c r="BP76" i="10"/>
  <c r="BP77" i="10" s="1"/>
  <c r="BP78" i="10" s="1"/>
  <c r="BO77" i="10"/>
  <c r="AP72" i="12"/>
  <c r="AQ72" i="12" s="1"/>
  <c r="AO72" i="12"/>
  <c r="Y73" i="12"/>
  <c r="Y74" i="12" s="1"/>
  <c r="X74" i="12"/>
  <c r="A52" i="9"/>
  <c r="K51" i="9"/>
  <c r="AU26" i="9"/>
  <c r="B26" i="9"/>
  <c r="AC77" i="10"/>
  <c r="AA80" i="10"/>
  <c r="AA78" i="10"/>
  <c r="Z27" i="9"/>
  <c r="U28" i="9"/>
  <c r="W27" i="9"/>
  <c r="X27" i="9" s="1"/>
  <c r="H195" i="13"/>
  <c r="H195" i="18" s="1"/>
  <c r="H124" i="25" s="1"/>
  <c r="G123" i="28"/>
  <c r="A123" i="28"/>
  <c r="B123" i="28"/>
  <c r="F123" i="28" s="1"/>
  <c r="D123" i="28"/>
  <c r="AC72" i="12"/>
  <c r="AD72" i="12"/>
  <c r="S69" i="12"/>
  <c r="BY69" i="12"/>
  <c r="CI63" i="12" s="1"/>
  <c r="J181" i="13" s="1"/>
  <c r="L67" i="14"/>
  <c r="L78" i="14"/>
  <c r="L41" i="18" s="1"/>
  <c r="L21" i="14"/>
  <c r="L55" i="14" s="1"/>
  <c r="AL73" i="12"/>
  <c r="AM73" i="12" s="1"/>
  <c r="Z162" i="6"/>
  <c r="C216" i="28" s="1"/>
  <c r="AZ6" i="11"/>
  <c r="C50" i="11"/>
  <c r="E50" i="11" s="1"/>
  <c r="H50" i="11" s="1"/>
  <c r="G50" i="11" s="1"/>
  <c r="D49" i="11"/>
  <c r="F49" i="11" s="1"/>
  <c r="B50" i="11"/>
  <c r="BI73" i="12"/>
  <c r="K48" i="11"/>
  <c r="BJ11" i="11"/>
  <c r="BJ12" i="11" s="1"/>
  <c r="L48" i="11"/>
  <c r="N48" i="11" s="1"/>
  <c r="Q48" i="11" s="1"/>
  <c r="P48" i="11" s="1"/>
  <c r="M47" i="11"/>
  <c r="O47" i="11" s="1"/>
  <c r="O147" i="25"/>
  <c r="D34" i="23"/>
  <c r="Q115" i="9"/>
  <c r="R115" i="9" s="1"/>
  <c r="V115" i="9"/>
  <c r="P71" i="12"/>
  <c r="BV71" i="12"/>
  <c r="AZ81" i="10"/>
  <c r="AZ88" i="10" s="1"/>
  <c r="AY88" i="10"/>
  <c r="C112" i="9"/>
  <c r="AR112" i="9"/>
  <c r="H112" i="9"/>
  <c r="BM74" i="10"/>
  <c r="BI80" i="10"/>
  <c r="BI81" i="10" s="1"/>
  <c r="K17" i="25"/>
  <c r="L155" i="13"/>
  <c r="H151" i="13"/>
  <c r="N157" i="13"/>
  <c r="I152" i="13"/>
  <c r="K154" i="13"/>
  <c r="M156" i="13"/>
  <c r="J153" i="13"/>
  <c r="CG78" i="10"/>
  <c r="O223" i="9"/>
  <c r="Y222" i="9"/>
  <c r="CC13" i="9"/>
  <c r="BI23" i="9"/>
  <c r="BJ23" i="9" s="1"/>
  <c r="G72" i="12"/>
  <c r="AS77" i="10"/>
  <c r="AQ80" i="10"/>
  <c r="AQ78" i="10"/>
  <c r="AS78" i="10" s="1"/>
  <c r="BF74" i="10"/>
  <c r="BF79" i="10" s="1"/>
  <c r="BE79" i="10"/>
  <c r="BC79" i="10" s="1"/>
  <c r="CO69" i="12"/>
  <c r="CI62" i="12"/>
  <c r="J149" i="13" s="1"/>
  <c r="L58" i="15"/>
  <c r="L33" i="15" s="1"/>
  <c r="L76" i="15" s="1"/>
  <c r="L84" i="15"/>
  <c r="L83" i="15" s="1"/>
  <c r="L95" i="15" s="1"/>
  <c r="N188" i="13"/>
  <c r="L186" i="13"/>
  <c r="M187" i="13"/>
  <c r="K185" i="13"/>
  <c r="J184" i="13"/>
  <c r="I183" i="13"/>
  <c r="AC223" i="9"/>
  <c r="AM222" i="9"/>
  <c r="BM22" i="9"/>
  <c r="CB17" i="9"/>
  <c r="Y137" i="9"/>
  <c r="O138" i="9"/>
  <c r="AT73" i="12"/>
  <c r="AS74" i="12"/>
  <c r="AY16" i="11"/>
  <c r="AY7" i="11"/>
  <c r="AY17" i="11" s="1"/>
  <c r="BA50" i="9"/>
  <c r="BN47" i="9" s="1"/>
  <c r="K137" i="9"/>
  <c r="A138" i="9"/>
  <c r="AI201" i="9"/>
  <c r="AK200" i="9"/>
  <c r="AL200" i="9" s="1"/>
  <c r="AN200" i="9"/>
  <c r="AC78" i="10"/>
  <c r="D210" i="28"/>
  <c r="F210" i="28"/>
  <c r="A210" i="28"/>
  <c r="DA69" i="10" l="1"/>
  <c r="DM23" i="10" s="1"/>
  <c r="G36" i="22" s="1"/>
  <c r="CY74" i="10"/>
  <c r="T76" i="10"/>
  <c r="T77" i="10" s="1"/>
  <c r="T78" i="10" s="1"/>
  <c r="S77" i="10"/>
  <c r="BA222" i="9"/>
  <c r="BU73" i="12"/>
  <c r="BU74" i="12" s="1"/>
  <c r="BT74" i="12"/>
  <c r="BH72" i="12"/>
  <c r="BG72" i="12"/>
  <c r="BG74" i="12" s="1"/>
  <c r="BF74" i="12"/>
  <c r="L76" i="10"/>
  <c r="L77" i="10" s="1"/>
  <c r="L78" i="10" s="1"/>
  <c r="K77" i="10"/>
  <c r="BY77" i="10"/>
  <c r="BW80" i="10"/>
  <c r="BW78" i="10"/>
  <c r="BY78" i="10" s="1"/>
  <c r="T48" i="11"/>
  <c r="U48" i="11"/>
  <c r="W48" i="11" s="1"/>
  <c r="Z48" i="11" s="1"/>
  <c r="Y48" i="11" s="1"/>
  <c r="V47" i="11"/>
  <c r="X47" i="11" s="1"/>
  <c r="CM78" i="10"/>
  <c r="CO78" i="10" s="1"/>
  <c r="CO77" i="10"/>
  <c r="CM80" i="10"/>
  <c r="A219" i="28"/>
  <c r="D219" i="28"/>
  <c r="E219" i="28" s="1"/>
  <c r="F219" i="28"/>
  <c r="AX112" i="9"/>
  <c r="G113" i="9"/>
  <c r="AW113" i="9" s="1"/>
  <c r="I112" i="9"/>
  <c r="L112" i="9"/>
  <c r="BZ69" i="12"/>
  <c r="AC55" i="9"/>
  <c r="AM54" i="9"/>
  <c r="AM138" i="9"/>
  <c r="AC139" i="9"/>
  <c r="E210" i="28"/>
  <c r="AH200" i="9"/>
  <c r="AG201" i="9"/>
  <c r="AD201" i="9" s="1"/>
  <c r="BA137" i="9"/>
  <c r="CB18" i="9"/>
  <c r="I195" i="13"/>
  <c r="I195" i="18" s="1"/>
  <c r="I124" i="25" s="1"/>
  <c r="AW74" i="10"/>
  <c r="AS80" i="10"/>
  <c r="AS81" i="10" s="1"/>
  <c r="AY147" i="10"/>
  <c r="AY90" i="10"/>
  <c r="AY91" i="10" s="1"/>
  <c r="Q71" i="12"/>
  <c r="BX71" i="12" s="1"/>
  <c r="CK64" i="12" s="1"/>
  <c r="R71" i="12"/>
  <c r="BW71" i="12"/>
  <c r="L49" i="11"/>
  <c r="N49" i="11" s="1"/>
  <c r="Q49" i="11" s="1"/>
  <c r="P49" i="11" s="1"/>
  <c r="M48" i="11"/>
  <c r="O48" i="11" s="1"/>
  <c r="BK11" i="11"/>
  <c r="BK12" i="11" s="1"/>
  <c r="K49" i="11"/>
  <c r="B216" i="28"/>
  <c r="G216" i="28"/>
  <c r="K184" i="13"/>
  <c r="M186" i="13"/>
  <c r="L185" i="13"/>
  <c r="N187" i="13"/>
  <c r="J183" i="13"/>
  <c r="E123" i="28"/>
  <c r="AG74" i="10"/>
  <c r="AC80" i="10"/>
  <c r="AC81" i="10" s="1"/>
  <c r="A53" i="9"/>
  <c r="K52" i="9"/>
  <c r="F217" i="28"/>
  <c r="D217" i="28"/>
  <c r="E217" i="28" s="1"/>
  <c r="A217" i="28"/>
  <c r="Y52" i="9"/>
  <c r="O53" i="9"/>
  <c r="CJ62" i="12"/>
  <c r="K149" i="13" s="1"/>
  <c r="CO70" i="12"/>
  <c r="AJ28" i="9"/>
  <c r="AE28" i="9"/>
  <c r="AF28" i="9" s="1"/>
  <c r="CK74" i="10"/>
  <c r="CG80" i="10"/>
  <c r="CG81" i="10" s="1"/>
  <c r="H198" i="9"/>
  <c r="C198" i="9"/>
  <c r="AR198" i="9"/>
  <c r="L22" i="25"/>
  <c r="L53" i="18"/>
  <c r="L26" i="18"/>
  <c r="D125" i="28"/>
  <c r="E125" i="28" s="1"/>
  <c r="B125" i="28"/>
  <c r="F125" i="28" s="1"/>
  <c r="A125" i="28"/>
  <c r="G125" i="28"/>
  <c r="L73" i="12"/>
  <c r="K73" i="12"/>
  <c r="K74" i="12" s="1"/>
  <c r="J74" i="12"/>
  <c r="F39" i="22"/>
  <c r="H26" i="9"/>
  <c r="C26" i="9"/>
  <c r="AR26" i="9"/>
  <c r="AK116" i="9"/>
  <c r="AL116" i="9" s="1"/>
  <c r="AN116" i="9"/>
  <c r="AI117" i="9"/>
  <c r="A211" i="28"/>
  <c r="D211" i="28"/>
  <c r="E211" i="28" s="1"/>
  <c r="F211" i="28"/>
  <c r="O139" i="9"/>
  <c r="Y138" i="9"/>
  <c r="N155" i="13"/>
  <c r="J151" i="13"/>
  <c r="L153" i="13"/>
  <c r="M154" i="13"/>
  <c r="K152" i="13"/>
  <c r="BN74" i="10"/>
  <c r="BN79" i="10" s="1"/>
  <c r="BM79" i="10"/>
  <c r="BK79" i="10" s="1"/>
  <c r="AZ16" i="11"/>
  <c r="F52" i="26" s="1"/>
  <c r="AZ7" i="11"/>
  <c r="AZ17" i="11" s="1"/>
  <c r="L32" i="25"/>
  <c r="L39" i="18"/>
  <c r="AE72" i="12"/>
  <c r="S28" i="9"/>
  <c r="P28" i="9" s="1"/>
  <c r="T27" i="9"/>
  <c r="BG23" i="9"/>
  <c r="BH23" i="9" s="1"/>
  <c r="CC12" i="9"/>
  <c r="M51" i="18" s="1"/>
  <c r="BQ77" i="10"/>
  <c r="BO80" i="10"/>
  <c r="BO78" i="10"/>
  <c r="B214" i="28"/>
  <c r="G214" i="28"/>
  <c r="I78" i="13"/>
  <c r="W78" i="13" s="1"/>
  <c r="J79" i="13"/>
  <c r="X79" i="13" s="1"/>
  <c r="E74" i="13"/>
  <c r="S74" i="13" s="1"/>
  <c r="F75" i="13"/>
  <c r="T75" i="13" s="1"/>
  <c r="D73" i="13"/>
  <c r="R73" i="13" s="1"/>
  <c r="N5" i="13"/>
  <c r="M4" i="13"/>
  <c r="M16" i="13" s="1"/>
  <c r="M13" i="18" s="1"/>
  <c r="G76" i="13"/>
  <c r="U76" i="13" s="1"/>
  <c r="H77" i="13"/>
  <c r="V77" i="13" s="1"/>
  <c r="C72" i="13"/>
  <c r="Q72" i="13" s="1"/>
  <c r="L81" i="13"/>
  <c r="Z81" i="13" s="1"/>
  <c r="K80" i="13"/>
  <c r="Y80" i="13" s="1"/>
  <c r="M32" i="13"/>
  <c r="S70" i="12"/>
  <c r="BZ70" i="12" s="1"/>
  <c r="CJ66" i="12" s="1"/>
  <c r="BY70" i="12"/>
  <c r="CJ63" i="12" s="1"/>
  <c r="BG88" i="10"/>
  <c r="BH81" i="10"/>
  <c r="BH88" i="10" s="1"/>
  <c r="K38" i="18"/>
  <c r="K30" i="25"/>
  <c r="BL4" i="11"/>
  <c r="BL19" i="11" s="1"/>
  <c r="N222" i="18" s="1"/>
  <c r="H49" i="11"/>
  <c r="G49" i="11" s="1"/>
  <c r="AK77" i="10"/>
  <c r="AI80" i="10"/>
  <c r="AI78" i="10"/>
  <c r="G73" i="12"/>
  <c r="F74" i="12"/>
  <c r="L49" i="25"/>
  <c r="O58" i="18"/>
  <c r="AK73" i="12"/>
  <c r="AK74" i="12" s="1"/>
  <c r="AJ74" i="12"/>
  <c r="I74" i="10"/>
  <c r="E80" i="10"/>
  <c r="E81" i="10" s="1"/>
  <c r="N73" i="12"/>
  <c r="O73" i="12" s="1"/>
  <c r="Z158" i="6"/>
  <c r="C212" i="28" s="1"/>
  <c r="K224" i="9"/>
  <c r="A225" i="9"/>
  <c r="H163" i="13"/>
  <c r="H185" i="18" s="1"/>
  <c r="AZ89" i="10"/>
  <c r="BA88" i="10"/>
  <c r="AZ147" i="10"/>
  <c r="Z115" i="9"/>
  <c r="U116" i="9"/>
  <c r="W115" i="9"/>
  <c r="X115" i="9" s="1"/>
  <c r="AN73" i="12"/>
  <c r="AM74" i="12"/>
  <c r="W201" i="9"/>
  <c r="X201" i="9" s="1"/>
  <c r="Z201" i="9"/>
  <c r="U202" i="9"/>
  <c r="BK5" i="11"/>
  <c r="BJ20" i="11"/>
  <c r="CJ64" i="12"/>
  <c r="E74" i="12"/>
  <c r="D80" i="10"/>
  <c r="C127" i="28"/>
  <c r="C81" i="10"/>
  <c r="K138" i="9"/>
  <c r="A139" i="9"/>
  <c r="AV73" i="12"/>
  <c r="AU73" i="12"/>
  <c r="AU74" i="12" s="1"/>
  <c r="AT74" i="12"/>
  <c r="AC224" i="9"/>
  <c r="AM223" i="9"/>
  <c r="AR80" i="10"/>
  <c r="AQ81" i="10"/>
  <c r="Y223" i="9"/>
  <c r="O224" i="9"/>
  <c r="AS112" i="9"/>
  <c r="D112" i="9"/>
  <c r="AT112" i="9" s="1"/>
  <c r="B51" i="11"/>
  <c r="BA6" i="11"/>
  <c r="C51" i="11"/>
  <c r="E51" i="11" s="1"/>
  <c r="H51" i="11" s="1"/>
  <c r="G51" i="11" s="1"/>
  <c r="D50" i="11"/>
  <c r="F50" i="11" s="1"/>
  <c r="AB80" i="10"/>
  <c r="AA81" i="10"/>
  <c r="BA51" i="9"/>
  <c r="BN48" i="9" s="1"/>
  <c r="BQ78" i="10"/>
  <c r="AB73" i="12"/>
  <c r="AA74" i="12"/>
  <c r="CF80" i="10"/>
  <c r="CE81" i="10"/>
  <c r="AK78" i="10"/>
  <c r="F124" i="25"/>
  <c r="B124" i="28"/>
  <c r="F124" i="28" s="1"/>
  <c r="D124" i="28"/>
  <c r="E124" i="28" s="1"/>
  <c r="A124" i="28"/>
  <c r="G124" i="28"/>
  <c r="P72" i="12"/>
  <c r="BV72" i="12"/>
  <c r="I163" i="13"/>
  <c r="I185" i="18" s="1"/>
  <c r="I114" i="25" s="1"/>
  <c r="U77" i="10" l="1"/>
  <c r="S80" i="10"/>
  <c r="S78" i="10"/>
  <c r="U78" i="10"/>
  <c r="CN80" i="10"/>
  <c r="CM81" i="10"/>
  <c r="BX80" i="10"/>
  <c r="BW81" i="10"/>
  <c r="CO80" i="10"/>
  <c r="CO81" i="10" s="1"/>
  <c r="CS74" i="10"/>
  <c r="CC74" i="10"/>
  <c r="BY80" i="10"/>
  <c r="BY81" i="10" s="1"/>
  <c r="U49" i="11"/>
  <c r="W49" i="11" s="1"/>
  <c r="Z49" i="11" s="1"/>
  <c r="Y49" i="11" s="1"/>
  <c r="V48" i="11"/>
  <c r="X48" i="11" s="1"/>
  <c r="T49" i="11"/>
  <c r="K78" i="10"/>
  <c r="M78" i="10" s="1"/>
  <c r="CZ74" i="10" s="1"/>
  <c r="M77" i="10"/>
  <c r="K80" i="10"/>
  <c r="BI72" i="12"/>
  <c r="BI74" i="12" s="1"/>
  <c r="BH74" i="12"/>
  <c r="AB81" i="10"/>
  <c r="AB88" i="10" s="1"/>
  <c r="AA88" i="10"/>
  <c r="C52" i="11"/>
  <c r="E52" i="11" s="1"/>
  <c r="H52" i="11" s="1"/>
  <c r="G52" i="11" s="1"/>
  <c r="D51" i="11"/>
  <c r="F51" i="11" s="1"/>
  <c r="B52" i="11"/>
  <c r="BB6" i="11"/>
  <c r="AW73" i="12"/>
  <c r="AW74" i="12" s="1"/>
  <c r="AV74" i="12"/>
  <c r="AJ80" i="10"/>
  <c r="AI81" i="10"/>
  <c r="BP80" i="10"/>
  <c r="BO81" i="10"/>
  <c r="L38" i="18"/>
  <c r="L29" i="25" s="1"/>
  <c r="L30" i="25"/>
  <c r="J163" i="13"/>
  <c r="J185" i="18" s="1"/>
  <c r="J114" i="25" s="1"/>
  <c r="AX26" i="9"/>
  <c r="I26" i="9"/>
  <c r="L26" i="9"/>
  <c r="G27" i="9"/>
  <c r="CL74" i="10"/>
  <c r="CK79" i="10"/>
  <c r="CI79" i="10" s="1"/>
  <c r="S71" i="12"/>
  <c r="BZ71" i="12" s="1"/>
  <c r="CK66" i="12" s="1"/>
  <c r="BY71" i="12"/>
  <c r="CK63" i="12" s="1"/>
  <c r="L181" i="13" s="1"/>
  <c r="AQ88" i="10"/>
  <c r="AR81" i="10"/>
  <c r="AR88" i="10" s="1"/>
  <c r="BA21" i="11"/>
  <c r="BA7" i="11"/>
  <c r="BA22" i="11" s="1"/>
  <c r="C128" i="28"/>
  <c r="C88" i="10"/>
  <c r="D81" i="10"/>
  <c r="D88" i="10" s="1"/>
  <c r="BA89" i="10"/>
  <c r="BE89" i="10" s="1"/>
  <c r="AZ93" i="10"/>
  <c r="K225" i="9"/>
  <c r="A226" i="9"/>
  <c r="B212" i="28"/>
  <c r="G212" i="28"/>
  <c r="G222" i="28" s="1"/>
  <c r="N151" i="25"/>
  <c r="O222" i="18"/>
  <c r="BG147" i="10"/>
  <c r="BG90" i="10"/>
  <c r="C149" i="31"/>
  <c r="C148" i="31" s="1"/>
  <c r="C171" i="31" s="1"/>
  <c r="C63" i="31" s="1"/>
  <c r="F51" i="26"/>
  <c r="AS26" i="9"/>
  <c r="D26" i="9"/>
  <c r="AT26" i="9" s="1"/>
  <c r="M73" i="12"/>
  <c r="M74" i="12" s="1"/>
  <c r="L74" i="12"/>
  <c r="BA52" i="9"/>
  <c r="BN49" i="9" s="1"/>
  <c r="M49" i="11"/>
  <c r="O49" i="11" s="1"/>
  <c r="K50" i="11"/>
  <c r="L50" i="11"/>
  <c r="N50" i="11" s="1"/>
  <c r="Q50" i="11" s="1"/>
  <c r="P50" i="11" s="1"/>
  <c r="BL11" i="11"/>
  <c r="BL12" i="11" s="1"/>
  <c r="CK62" i="12"/>
  <c r="L149" i="13" s="1"/>
  <c r="CO71" i="12"/>
  <c r="AZ90" i="10"/>
  <c r="AM55" i="9"/>
  <c r="AC56" i="9"/>
  <c r="AY112" i="9"/>
  <c r="J112" i="9"/>
  <c r="AZ112" i="9" s="1"/>
  <c r="AC73" i="12"/>
  <c r="AC74" i="12" s="1"/>
  <c r="AD73" i="12"/>
  <c r="AB74" i="12"/>
  <c r="S116" i="9"/>
  <c r="P116" i="9" s="1"/>
  <c r="T115" i="9"/>
  <c r="M12" i="18"/>
  <c r="M5" i="25"/>
  <c r="A214" i="28"/>
  <c r="F214" i="28"/>
  <c r="D214" i="28"/>
  <c r="E214" i="28" s="1"/>
  <c r="CF81" i="10"/>
  <c r="CF88" i="10" s="1"/>
  <c r="CE88" i="10"/>
  <c r="AC225" i="9"/>
  <c r="AM224" i="9"/>
  <c r="K139" i="9"/>
  <c r="A140" i="9"/>
  <c r="AP73" i="12"/>
  <c r="AO73" i="12"/>
  <c r="AO74" i="12" s="1"/>
  <c r="AN74" i="12"/>
  <c r="H114" i="25"/>
  <c r="G74" i="12"/>
  <c r="AO74" i="10"/>
  <c r="AK80" i="10"/>
  <c r="AK81" i="10" s="1"/>
  <c r="K29" i="25"/>
  <c r="K54" i="18"/>
  <c r="BU74" i="10"/>
  <c r="BQ80" i="10"/>
  <c r="BQ81" i="10" s="1"/>
  <c r="Q28" i="9"/>
  <c r="R28" i="9" s="1"/>
  <c r="V28" i="9"/>
  <c r="Y139" i="9"/>
  <c r="O140" i="9"/>
  <c r="BA223" i="9"/>
  <c r="L44" i="25"/>
  <c r="K52" i="17"/>
  <c r="AS198" i="9"/>
  <c r="D198" i="9"/>
  <c r="AT198" i="9" s="1"/>
  <c r="N154" i="13"/>
  <c r="M153" i="13"/>
  <c r="K151" i="13"/>
  <c r="L152" i="13"/>
  <c r="AX74" i="10"/>
  <c r="AX79" i="10" s="1"/>
  <c r="AW79" i="10"/>
  <c r="AU79" i="10" s="1"/>
  <c r="AJ201" i="9"/>
  <c r="AE201" i="9"/>
  <c r="AF201" i="9" s="1"/>
  <c r="CI66" i="12"/>
  <c r="Q72" i="12"/>
  <c r="BX72" i="12" s="1"/>
  <c r="CL64" i="12" s="1"/>
  <c r="R72" i="12"/>
  <c r="BW72" i="12"/>
  <c r="O225" i="9"/>
  <c r="Y224" i="9"/>
  <c r="D127" i="28"/>
  <c r="E127" i="28" s="1"/>
  <c r="B127" i="28"/>
  <c r="F127" i="28" s="1"/>
  <c r="G127" i="28"/>
  <c r="A127" i="28"/>
  <c r="BK20" i="11"/>
  <c r="BL5" i="11"/>
  <c r="P73" i="12"/>
  <c r="O74" i="12"/>
  <c r="BV73" i="12"/>
  <c r="BV74" i="12" s="1"/>
  <c r="K181" i="13"/>
  <c r="L17" i="25"/>
  <c r="A54" i="9"/>
  <c r="K53" i="9"/>
  <c r="J195" i="13"/>
  <c r="J195" i="18" s="1"/>
  <c r="AC140" i="9"/>
  <c r="AM139" i="9"/>
  <c r="BA138" i="9"/>
  <c r="T201" i="9"/>
  <c r="S202" i="9"/>
  <c r="P202" i="9" s="1"/>
  <c r="BA147" i="10"/>
  <c r="J74" i="10"/>
  <c r="J79" i="10" s="1"/>
  <c r="I79" i="10"/>
  <c r="G79" i="10" s="1"/>
  <c r="O49" i="25"/>
  <c r="B44" i="23"/>
  <c r="B6" i="2"/>
  <c r="BH89" i="10"/>
  <c r="BH147" i="10"/>
  <c r="BI88" i="10"/>
  <c r="L13" i="17"/>
  <c r="G29" i="22"/>
  <c r="G44" i="22"/>
  <c r="M42" i="25"/>
  <c r="AH116" i="9"/>
  <c r="AG117" i="9"/>
  <c r="AD117" i="9" s="1"/>
  <c r="AX198" i="9"/>
  <c r="G199" i="9"/>
  <c r="AW199" i="9" s="1"/>
  <c r="I198" i="9"/>
  <c r="L198" i="9"/>
  <c r="AI29" i="9"/>
  <c r="AN28" i="9"/>
  <c r="AK28" i="9"/>
  <c r="AL28" i="9" s="1"/>
  <c r="Y53" i="9"/>
  <c r="O54" i="9"/>
  <c r="AH74" i="10"/>
  <c r="AH79" i="10" s="1"/>
  <c r="AG79" i="10"/>
  <c r="AE79" i="10" s="1"/>
  <c r="A216" i="28"/>
  <c r="D216" i="28"/>
  <c r="E216" i="28" s="1"/>
  <c r="F216" i="28"/>
  <c r="AY92" i="10"/>
  <c r="AZ91" i="10"/>
  <c r="AZ92" i="10" s="1"/>
  <c r="E113" i="9"/>
  <c r="F112" i="9"/>
  <c r="AV112" i="9" s="1"/>
  <c r="BB112" i="9"/>
  <c r="BA224" i="9" l="1"/>
  <c r="T80" i="10"/>
  <c r="S81" i="10"/>
  <c r="U80" i="10"/>
  <c r="U81" i="10" s="1"/>
  <c r="Y74" i="10"/>
  <c r="DA74" i="10"/>
  <c r="DN23" i="10" s="1"/>
  <c r="CZ79" i="10"/>
  <c r="D23" i="26" s="1"/>
  <c r="V49" i="11"/>
  <c r="X49" i="11" s="1"/>
  <c r="U50" i="11"/>
  <c r="W50" i="11" s="1"/>
  <c r="Z50" i="11" s="1"/>
  <c r="Y50" i="11" s="1"/>
  <c r="T50" i="11"/>
  <c r="CC79" i="10"/>
  <c r="CA79" i="10" s="1"/>
  <c r="CD74" i="10"/>
  <c r="CD79" i="10" s="1"/>
  <c r="L80" i="10"/>
  <c r="K81" i="10"/>
  <c r="CS79" i="10"/>
  <c r="CQ79" i="10" s="1"/>
  <c r="CT74" i="10"/>
  <c r="CT79" i="10" s="1"/>
  <c r="CN81" i="10"/>
  <c r="CN88" i="10" s="1"/>
  <c r="CM88" i="10"/>
  <c r="Q74" i="10"/>
  <c r="M80" i="10"/>
  <c r="M81" i="10" s="1"/>
  <c r="BW88" i="10"/>
  <c r="BX81" i="10"/>
  <c r="BX88" i="10" s="1"/>
  <c r="BA90" i="10"/>
  <c r="BA91" i="10" s="1"/>
  <c r="BF89" i="10"/>
  <c r="Q73" i="12"/>
  <c r="R73" i="12"/>
  <c r="P74" i="12"/>
  <c r="BW73" i="12"/>
  <c r="V116" i="9"/>
  <c r="Q116" i="9"/>
  <c r="R116" i="9" s="1"/>
  <c r="A55" i="9"/>
  <c r="K54" i="9"/>
  <c r="BA92" i="10"/>
  <c r="AY94" i="10"/>
  <c r="Y54" i="9"/>
  <c r="O55" i="9"/>
  <c r="G42" i="22"/>
  <c r="BH93" i="10"/>
  <c r="BI89" i="10"/>
  <c r="BM89" i="10" s="1"/>
  <c r="K163" i="13"/>
  <c r="K185" i="18" s="1"/>
  <c r="AQ73" i="12"/>
  <c r="AQ74" i="12" s="1"/>
  <c r="AP74" i="12"/>
  <c r="AM225" i="9"/>
  <c r="AC226" i="9"/>
  <c r="AE73" i="12"/>
  <c r="AE74" i="12" s="1"/>
  <c r="AD74" i="12"/>
  <c r="AC57" i="9"/>
  <c r="AM56" i="9"/>
  <c r="BK23" i="9"/>
  <c r="CC14" i="9"/>
  <c r="BH90" i="10"/>
  <c r="AZ98" i="10"/>
  <c r="BA93" i="10"/>
  <c r="D128" i="28"/>
  <c r="A128" i="28"/>
  <c r="B128" i="28"/>
  <c r="F128" i="28" s="1"/>
  <c r="G128" i="28"/>
  <c r="N185" i="13"/>
  <c r="M184" i="13"/>
  <c r="L183" i="13"/>
  <c r="F26" i="9"/>
  <c r="AV26" i="9" s="1"/>
  <c r="BB26" i="9"/>
  <c r="E27" i="9"/>
  <c r="B53" i="11"/>
  <c r="D52" i="11"/>
  <c r="F52" i="11" s="1"/>
  <c r="C53" i="11"/>
  <c r="E53" i="11" s="1"/>
  <c r="H53" i="11" s="1"/>
  <c r="G53" i="11" s="1"/>
  <c r="BC6" i="11"/>
  <c r="AC88" i="10"/>
  <c r="AB147" i="10"/>
  <c r="AB89" i="10"/>
  <c r="E199" i="9"/>
  <c r="F198" i="9"/>
  <c r="AV198" i="9" s="1"/>
  <c r="BB198" i="9"/>
  <c r="J124" i="25"/>
  <c r="AN201" i="9"/>
  <c r="AK201" i="9"/>
  <c r="AL201" i="9" s="1"/>
  <c r="AI202" i="9"/>
  <c r="AP74" i="10"/>
  <c r="AP79" i="10" s="1"/>
  <c r="AO79" i="10"/>
  <c r="AM79" i="10" s="1"/>
  <c r="AY26" i="9"/>
  <c r="J26" i="9"/>
  <c r="AZ26" i="9" s="1"/>
  <c r="AI88" i="10"/>
  <c r="AJ81" i="10"/>
  <c r="AJ88" i="10" s="1"/>
  <c r="AY198" i="9"/>
  <c r="J198" i="9"/>
  <c r="AZ198" i="9" s="1"/>
  <c r="AJ117" i="9"/>
  <c r="AE117" i="9"/>
  <c r="AF117" i="9" s="1"/>
  <c r="BI147" i="10"/>
  <c r="Q202" i="9"/>
  <c r="R202" i="9" s="1"/>
  <c r="V202" i="9"/>
  <c r="BA53" i="9"/>
  <c r="BN50" i="9" s="1"/>
  <c r="K183" i="13"/>
  <c r="M185" i="13"/>
  <c r="L184" i="13"/>
  <c r="N186" i="13"/>
  <c r="BL20" i="11"/>
  <c r="Y225" i="9"/>
  <c r="O226" i="9"/>
  <c r="CO72" i="12"/>
  <c r="CL62" i="12"/>
  <c r="M149" i="13" s="1"/>
  <c r="Y140" i="9"/>
  <c r="O141" i="9"/>
  <c r="W28" i="9"/>
  <c r="X28" i="9" s="1"/>
  <c r="U29" i="9"/>
  <c r="Z28" i="9"/>
  <c r="K45" i="25"/>
  <c r="J4" i="24" s="1"/>
  <c r="J12" i="3"/>
  <c r="BA139" i="9"/>
  <c r="CE147" i="10"/>
  <c r="CE90" i="10"/>
  <c r="M152" i="13"/>
  <c r="N153" i="13"/>
  <c r="L151" i="13"/>
  <c r="BG91" i="10"/>
  <c r="A227" i="9"/>
  <c r="K226" i="9"/>
  <c r="E88" i="10"/>
  <c r="D147" i="10"/>
  <c r="AQ90" i="10"/>
  <c r="AQ91" i="10" s="1"/>
  <c r="AQ147" i="10"/>
  <c r="CL79" i="10"/>
  <c r="B113" i="9"/>
  <c r="AU113" i="9"/>
  <c r="L20" i="17"/>
  <c r="M41" i="14"/>
  <c r="M36" i="14"/>
  <c r="M39" i="14"/>
  <c r="M62" i="15"/>
  <c r="M87" i="15" s="1"/>
  <c r="M61" i="15"/>
  <c r="M86" i="15" s="1"/>
  <c r="L23" i="17"/>
  <c r="M34" i="18" s="1"/>
  <c r="M25" i="25" s="1"/>
  <c r="M34" i="14"/>
  <c r="M60" i="15"/>
  <c r="M85" i="15" s="1"/>
  <c r="M38" i="14"/>
  <c r="M43" i="14"/>
  <c r="M59" i="15"/>
  <c r="M63" i="15"/>
  <c r="M88" i="15" s="1"/>
  <c r="M42" i="14"/>
  <c r="M37" i="14"/>
  <c r="L24" i="17"/>
  <c r="M35" i="18" s="1"/>
  <c r="M26" i="25" s="1"/>
  <c r="M35" i="14"/>
  <c r="M40" i="14"/>
  <c r="BV74" i="10"/>
  <c r="BV79" i="10" s="1"/>
  <c r="BU79" i="10"/>
  <c r="BS79" i="10" s="1"/>
  <c r="K140" i="9"/>
  <c r="A141" i="9"/>
  <c r="L51" i="11"/>
  <c r="N51" i="11" s="1"/>
  <c r="Q51" i="11" s="1"/>
  <c r="P51" i="11" s="1"/>
  <c r="K51" i="11"/>
  <c r="M50" i="11"/>
  <c r="O50" i="11" s="1"/>
  <c r="D212" i="28"/>
  <c r="F212" i="28"/>
  <c r="A212" i="28"/>
  <c r="BB89" i="10"/>
  <c r="AS88" i="10"/>
  <c r="AR147" i="10"/>
  <c r="AR89" i="10"/>
  <c r="AG29" i="9"/>
  <c r="AD29" i="9" s="1"/>
  <c r="AH28" i="9"/>
  <c r="AC141" i="9"/>
  <c r="AM140" i="9"/>
  <c r="H36" i="22"/>
  <c r="DO23" i="10"/>
  <c r="S72" i="12"/>
  <c r="BZ72" i="12" s="1"/>
  <c r="BY72" i="12"/>
  <c r="CL63" i="12" s="1"/>
  <c r="M181" i="13" s="1"/>
  <c r="CF147" i="10"/>
  <c r="CF89" i="10"/>
  <c r="CG88" i="10"/>
  <c r="M4" i="25"/>
  <c r="O151" i="25"/>
  <c r="D38" i="23"/>
  <c r="B59" i="2"/>
  <c r="BA225" i="9"/>
  <c r="C147" i="10"/>
  <c r="C90" i="10"/>
  <c r="C91" i="10" s="1"/>
  <c r="N28" i="18"/>
  <c r="AW27" i="9"/>
  <c r="M17" i="17"/>
  <c r="BO88" i="10"/>
  <c r="BP81" i="10"/>
  <c r="BP88" i="10" s="1"/>
  <c r="BB21" i="11"/>
  <c r="BB7" i="11"/>
  <c r="BB22" i="11" s="1"/>
  <c r="AA147" i="10"/>
  <c r="AA91" i="10"/>
  <c r="AA90" i="10"/>
  <c r="DA79" i="10" l="1"/>
  <c r="Z74" i="10"/>
  <c r="Z79" i="10" s="1"/>
  <c r="Y79" i="10"/>
  <c r="W79" i="10" s="1"/>
  <c r="CY89" i="10"/>
  <c r="CY147" i="10" s="1"/>
  <c r="T81" i="10"/>
  <c r="T88" i="10" s="1"/>
  <c r="S88" i="10"/>
  <c r="BW147" i="10"/>
  <c r="BW90" i="10"/>
  <c r="CN147" i="10"/>
  <c r="CO88" i="10"/>
  <c r="CN89" i="10"/>
  <c r="R74" i="10"/>
  <c r="R79" i="10" s="1"/>
  <c r="Q79" i="10"/>
  <c r="O79" i="10" s="1"/>
  <c r="CW74" i="10"/>
  <c r="BY88" i="10"/>
  <c r="BX89" i="10"/>
  <c r="BX147" i="10"/>
  <c r="CM90" i="10"/>
  <c r="CN90" i="10" s="1"/>
  <c r="CM147" i="10"/>
  <c r="L81" i="10"/>
  <c r="L88" i="10" s="1"/>
  <c r="K88" i="10"/>
  <c r="V50" i="11"/>
  <c r="X50" i="11" s="1"/>
  <c r="U51" i="11"/>
  <c r="W51" i="11" s="1"/>
  <c r="Z51" i="11" s="1"/>
  <c r="Y51" i="11" s="1"/>
  <c r="T51" i="11"/>
  <c r="C92" i="10"/>
  <c r="D91" i="10"/>
  <c r="D92" i="10" s="1"/>
  <c r="AQ92" i="10"/>
  <c r="AR91" i="10"/>
  <c r="AR92" i="10" s="1"/>
  <c r="CL66" i="12"/>
  <c r="S29" i="9"/>
  <c r="P29" i="9" s="1"/>
  <c r="T28" i="9"/>
  <c r="O227" i="9"/>
  <c r="Y226" i="9"/>
  <c r="AJ147" i="10"/>
  <c r="AJ89" i="10"/>
  <c r="AK88" i="10"/>
  <c r="AC58" i="9"/>
  <c r="AM57" i="9"/>
  <c r="K114" i="25"/>
  <c r="BO147" i="10"/>
  <c r="BO90" i="10"/>
  <c r="BO91" i="10"/>
  <c r="AB90" i="10"/>
  <c r="CD13" i="9"/>
  <c r="BI24" i="9"/>
  <c r="BJ24" i="9" s="1"/>
  <c r="C196" i="28"/>
  <c r="CG147" i="10"/>
  <c r="M183" i="13"/>
  <c r="N184" i="13"/>
  <c r="AS147" i="10"/>
  <c r="H113" i="9"/>
  <c r="AR113" i="9"/>
  <c r="C113" i="9"/>
  <c r="CX74" i="10"/>
  <c r="A228" i="9"/>
  <c r="K227" i="9"/>
  <c r="BG92" i="10"/>
  <c r="BH91" i="10"/>
  <c r="BH92" i="10" s="1"/>
  <c r="Y141" i="9"/>
  <c r="O142" i="9"/>
  <c r="W202" i="9"/>
  <c r="X202" i="9" s="1"/>
  <c r="Z202" i="9"/>
  <c r="U203" i="9"/>
  <c r="CC16" i="9"/>
  <c r="BL23" i="9"/>
  <c r="AG202" i="9"/>
  <c r="AD202" i="9" s="1"/>
  <c r="AH201" i="9"/>
  <c r="AU199" i="9"/>
  <c r="B199" i="9"/>
  <c r="BC21" i="11"/>
  <c r="BC7" i="11"/>
  <c r="BC22" i="11" s="1"/>
  <c r="B27" i="9"/>
  <c r="AU27" i="9"/>
  <c r="E128" i="28"/>
  <c r="E134" i="28" s="1"/>
  <c r="D134" i="28"/>
  <c r="BI93" i="10"/>
  <c r="BH98" i="10"/>
  <c r="AZ94" i="10"/>
  <c r="AZ95" i="10" s="1"/>
  <c r="AZ96" i="10" s="1"/>
  <c r="AY95" i="10"/>
  <c r="AA92" i="10"/>
  <c r="AB91" i="10"/>
  <c r="AB92" i="10" s="1"/>
  <c r="N19" i="25"/>
  <c r="O28" i="18"/>
  <c r="CG89" i="10"/>
  <c r="CF93" i="10"/>
  <c r="I36" i="22"/>
  <c r="K141" i="9"/>
  <c r="A142" i="9"/>
  <c r="M31" i="18"/>
  <c r="L46" i="17"/>
  <c r="L15" i="17"/>
  <c r="G38" i="22" s="1"/>
  <c r="K195" i="13"/>
  <c r="K195" i="18" s="1"/>
  <c r="L195" i="13"/>
  <c r="L195" i="18" s="1"/>
  <c r="L124" i="25" s="1"/>
  <c r="Y55" i="9"/>
  <c r="O56" i="9"/>
  <c r="Z116" i="9"/>
  <c r="U117" i="9"/>
  <c r="W116" i="9"/>
  <c r="X116" i="9" s="1"/>
  <c r="AS89" i="10"/>
  <c r="AR93" i="10"/>
  <c r="M51" i="11"/>
  <c r="O51" i="11" s="1"/>
  <c r="L52" i="11"/>
  <c r="N52" i="11" s="1"/>
  <c r="Q52" i="11" s="1"/>
  <c r="P52" i="11" s="1"/>
  <c r="K52" i="11"/>
  <c r="BA140" i="9"/>
  <c r="M58" i="15"/>
  <c r="M33" i="15" s="1"/>
  <c r="M76" i="15" s="1"/>
  <c r="M84" i="15"/>
  <c r="M83" i="15" s="1"/>
  <c r="M95" i="15" s="1"/>
  <c r="M33" i="14"/>
  <c r="E147" i="10"/>
  <c r="I89" i="10"/>
  <c r="CF90" i="10"/>
  <c r="B121" i="31"/>
  <c r="B120" i="31" s="1"/>
  <c r="D22" i="26"/>
  <c r="AK117" i="9"/>
  <c r="AL117" i="9" s="1"/>
  <c r="AI118" i="9"/>
  <c r="AN117" i="9"/>
  <c r="AI90" i="10"/>
  <c r="AI91" i="10" s="1"/>
  <c r="AI147" i="10"/>
  <c r="BA98" i="10"/>
  <c r="AZ103" i="10"/>
  <c r="BA54" i="9"/>
  <c r="BN51" i="9" s="1"/>
  <c r="Q74" i="12"/>
  <c r="BX73" i="12"/>
  <c r="BP147" i="10"/>
  <c r="BQ88" i="10"/>
  <c r="BP89" i="10"/>
  <c r="L182" i="28"/>
  <c r="AE29" i="9"/>
  <c r="AF29" i="9" s="1"/>
  <c r="AJ29" i="9"/>
  <c r="AB93" i="10"/>
  <c r="AC89" i="10"/>
  <c r="BA94" i="10"/>
  <c r="BB92" i="10"/>
  <c r="S73" i="12"/>
  <c r="R74" i="12"/>
  <c r="BY73" i="12"/>
  <c r="D90" i="10"/>
  <c r="N17" i="17"/>
  <c r="B12" i="28" s="1"/>
  <c r="AM141" i="9"/>
  <c r="AC142" i="9"/>
  <c r="E212" i="28"/>
  <c r="E222" i="28" s="1"/>
  <c r="D222" i="28"/>
  <c r="AR90" i="10"/>
  <c r="L163" i="13"/>
  <c r="L185" i="18" s="1"/>
  <c r="L114" i="25" s="1"/>
  <c r="CE91" i="10"/>
  <c r="M151" i="13"/>
  <c r="N152" i="13"/>
  <c r="BN89" i="10"/>
  <c r="BI90" i="10"/>
  <c r="BM23" i="9"/>
  <c r="CC17" i="9"/>
  <c r="CC18" i="9" s="1"/>
  <c r="AC147" i="10"/>
  <c r="AG89" i="10"/>
  <c r="B54" i="11"/>
  <c r="C54" i="11"/>
  <c r="E54" i="11" s="1"/>
  <c r="H54" i="11" s="1"/>
  <c r="G54" i="11" s="1"/>
  <c r="D53" i="11"/>
  <c r="F53" i="11" s="1"/>
  <c r="BD6" i="11"/>
  <c r="AC227" i="9"/>
  <c r="AM226" i="9"/>
  <c r="BA226" i="9" s="1"/>
  <c r="BJ89" i="10"/>
  <c r="A56" i="9"/>
  <c r="K55" i="9"/>
  <c r="CM62" i="12"/>
  <c r="CO73" i="12"/>
  <c r="BW74" i="12"/>
  <c r="CO74" i="12" s="1"/>
  <c r="S147" i="10" l="1"/>
  <c r="S90" i="10"/>
  <c r="T90" i="10" s="1"/>
  <c r="S91" i="10"/>
  <c r="U88" i="10"/>
  <c r="T147" i="10"/>
  <c r="T89" i="10"/>
  <c r="K147" i="10"/>
  <c r="K90" i="10"/>
  <c r="CM91" i="10"/>
  <c r="CW79" i="10"/>
  <c r="DN21" i="10"/>
  <c r="CO147" i="10"/>
  <c r="V51" i="11"/>
  <c r="X51" i="11" s="1"/>
  <c r="T52" i="11"/>
  <c r="U52" i="11"/>
  <c r="W52" i="11" s="1"/>
  <c r="Z52" i="11" s="1"/>
  <c r="Y52" i="11" s="1"/>
  <c r="L89" i="10"/>
  <c r="M88" i="10"/>
  <c r="L147" i="10"/>
  <c r="BX93" i="10"/>
  <c r="BY89" i="10"/>
  <c r="BZ89" i="10" s="1"/>
  <c r="BW91" i="10"/>
  <c r="BX90" i="10"/>
  <c r="BY147" i="10"/>
  <c r="CC89" i="10"/>
  <c r="CN93" i="10"/>
  <c r="CO89" i="10"/>
  <c r="CS89" i="10" s="1"/>
  <c r="AJ91" i="10"/>
  <c r="AJ92" i="10" s="1"/>
  <c r="AI92" i="10"/>
  <c r="BD21" i="11"/>
  <c r="BD7" i="11"/>
  <c r="BD22" i="11" s="1"/>
  <c r="AC93" i="10"/>
  <c r="AB98" i="10"/>
  <c r="Y56" i="9"/>
  <c r="O57" i="9"/>
  <c r="B13" i="21"/>
  <c r="B10" i="2" s="1"/>
  <c r="B186" i="31"/>
  <c r="AA94" i="10"/>
  <c r="AC92" i="10"/>
  <c r="BI91" i="10"/>
  <c r="BA55" i="9"/>
  <c r="BN52" i="9" s="1"/>
  <c r="B55" i="11"/>
  <c r="D54" i="11"/>
  <c r="F54" i="11" s="1"/>
  <c r="C55" i="11"/>
  <c r="E55" i="11" s="1"/>
  <c r="H55" i="11" s="1"/>
  <c r="G55" i="11" s="1"/>
  <c r="BE6" i="11"/>
  <c r="CE92" i="10"/>
  <c r="CF91" i="10"/>
  <c r="CF92" i="10" s="1"/>
  <c r="AC143" i="9"/>
  <c r="AM142" i="9"/>
  <c r="AD89" i="10"/>
  <c r="BQ89" i="10"/>
  <c r="BP93" i="10"/>
  <c r="CM64" i="12"/>
  <c r="CN64" i="12" s="1"/>
  <c r="BX74" i="12"/>
  <c r="J89" i="10"/>
  <c r="E90" i="10"/>
  <c r="M52" i="11"/>
  <c r="O52" i="11" s="1"/>
  <c r="K53" i="11"/>
  <c r="L53" i="11"/>
  <c r="N53" i="11" s="1"/>
  <c r="Q53" i="11" s="1"/>
  <c r="P53" i="11" s="1"/>
  <c r="AT89" i="10"/>
  <c r="S117" i="9"/>
  <c r="P117" i="9" s="1"/>
  <c r="T116" i="9"/>
  <c r="BA141" i="9"/>
  <c r="CH89" i="10"/>
  <c r="H27" i="9"/>
  <c r="C27" i="9"/>
  <c r="AR27" i="9"/>
  <c r="BP90" i="10"/>
  <c r="AS92" i="10"/>
  <c r="AQ94" i="10"/>
  <c r="AC90" i="10"/>
  <c r="AH89" i="10"/>
  <c r="AZ108" i="10"/>
  <c r="BA103" i="10"/>
  <c r="K124" i="25"/>
  <c r="I113" i="9"/>
  <c r="L113" i="9"/>
  <c r="G114" i="9"/>
  <c r="AW114" i="9" s="1"/>
  <c r="AX113" i="9"/>
  <c r="M195" i="13"/>
  <c r="M195" i="18" s="1"/>
  <c r="M124" i="25" s="1"/>
  <c r="AK147" i="10"/>
  <c r="Y227" i="9"/>
  <c r="O228" i="9"/>
  <c r="BB97" i="10"/>
  <c r="H147" i="10"/>
  <c r="M78" i="14"/>
  <c r="M41" i="18" s="1"/>
  <c r="M67" i="14"/>
  <c r="M21" i="14"/>
  <c r="M55" i="14" s="1"/>
  <c r="G39" i="22" s="1"/>
  <c r="L58" i="17" s="1"/>
  <c r="M22" i="25"/>
  <c r="M53" i="18"/>
  <c r="M26" i="18"/>
  <c r="O19" i="25"/>
  <c r="B14" i="23"/>
  <c r="BA95" i="10"/>
  <c r="AY96" i="10"/>
  <c r="AY97" i="10" s="1"/>
  <c r="BI98" i="10"/>
  <c r="BH103" i="10"/>
  <c r="AE202" i="9"/>
  <c r="AF202" i="9" s="1"/>
  <c r="AJ202" i="9"/>
  <c r="Y142" i="9"/>
  <c r="O143" i="9"/>
  <c r="DN24" i="10"/>
  <c r="CX79" i="10"/>
  <c r="CK89" i="10"/>
  <c r="B196" i="28"/>
  <c r="F196" i="28" s="1"/>
  <c r="D196" i="28"/>
  <c r="A196" i="28"/>
  <c r="G196" i="28"/>
  <c r="AC59" i="9"/>
  <c r="AM58" i="9"/>
  <c r="AJ93" i="10"/>
  <c r="AK89" i="10"/>
  <c r="A57" i="9"/>
  <c r="K56" i="9"/>
  <c r="AM227" i="9"/>
  <c r="AC228" i="9"/>
  <c r="S74" i="12"/>
  <c r="BZ73" i="12"/>
  <c r="AK29" i="9"/>
  <c r="AL29" i="9" s="1"/>
  <c r="AN29" i="9"/>
  <c r="AI30" i="9"/>
  <c r="BQ147" i="10"/>
  <c r="BU89" i="10"/>
  <c r="AJ90" i="10"/>
  <c r="K228" i="9"/>
  <c r="A229" i="9"/>
  <c r="N149" i="13"/>
  <c r="CN62" i="12"/>
  <c r="CN65" i="12" s="1"/>
  <c r="AA151" i="13" s="1"/>
  <c r="M163" i="13"/>
  <c r="M185" i="18" s="1"/>
  <c r="M114" i="25" s="1"/>
  <c r="CM63" i="12"/>
  <c r="BY74" i="12"/>
  <c r="AG118" i="9"/>
  <c r="AD118" i="9" s="1"/>
  <c r="AH117" i="9"/>
  <c r="B30" i="31"/>
  <c r="B33" i="31" s="1"/>
  <c r="B93" i="31"/>
  <c r="AS93" i="10"/>
  <c r="AR98" i="10"/>
  <c r="A143" i="9"/>
  <c r="K142" i="9"/>
  <c r="CG93" i="10"/>
  <c r="CF98" i="10"/>
  <c r="BA96" i="10"/>
  <c r="AZ97" i="10"/>
  <c r="BJ92" i="10"/>
  <c r="CD12" i="9"/>
  <c r="N51" i="18" s="1"/>
  <c r="BG24" i="9"/>
  <c r="BH24" i="9" s="1"/>
  <c r="H199" i="9"/>
  <c r="AR199" i="9"/>
  <c r="C199" i="9"/>
  <c r="S203" i="9"/>
  <c r="P203" i="9" s="1"/>
  <c r="T202" i="9"/>
  <c r="BI92" i="10"/>
  <c r="BI94" i="10" s="1"/>
  <c r="BG94" i="10"/>
  <c r="D113" i="9"/>
  <c r="AT113" i="9" s="1"/>
  <c r="AS113" i="9"/>
  <c r="AW89" i="10"/>
  <c r="BO92" i="10"/>
  <c r="BP91" i="10"/>
  <c r="BP92" i="10" s="1"/>
  <c r="V29" i="9"/>
  <c r="Q29" i="9"/>
  <c r="R29" i="9" s="1"/>
  <c r="C94" i="10"/>
  <c r="E92" i="10"/>
  <c r="E94" i="10" s="1"/>
  <c r="T93" i="10" l="1"/>
  <c r="U89" i="10"/>
  <c r="V89" i="10" s="1"/>
  <c r="U147" i="10"/>
  <c r="Y89" i="10"/>
  <c r="S92" i="10"/>
  <c r="T91" i="10"/>
  <c r="T92" i="10" s="1"/>
  <c r="CT89" i="10"/>
  <c r="CO90" i="10"/>
  <c r="CO91" i="10" s="1"/>
  <c r="AB152" i="13"/>
  <c r="CO93" i="10"/>
  <c r="CN98" i="10"/>
  <c r="BX91" i="10"/>
  <c r="BX92" i="10" s="1"/>
  <c r="BW92" i="10"/>
  <c r="M147" i="10"/>
  <c r="Q89" i="10"/>
  <c r="BY90" i="10"/>
  <c r="BY91" i="10" s="1"/>
  <c r="CD89" i="10"/>
  <c r="M89" i="10"/>
  <c r="L93" i="10"/>
  <c r="CN91" i="10"/>
  <c r="CN92" i="10" s="1"/>
  <c r="CM92" i="10"/>
  <c r="BX98" i="10"/>
  <c r="BY93" i="10"/>
  <c r="K91" i="10"/>
  <c r="L90" i="10"/>
  <c r="CP89" i="10"/>
  <c r="V52" i="11"/>
  <c r="X52" i="11" s="1"/>
  <c r="T53" i="11"/>
  <c r="U53" i="11"/>
  <c r="W53" i="11" s="1"/>
  <c r="Z53" i="11" s="1"/>
  <c r="Y53" i="11" s="1"/>
  <c r="DO21" i="10"/>
  <c r="DO25" i="10" s="1"/>
  <c r="N2" i="13"/>
  <c r="U30" i="9"/>
  <c r="W29" i="9"/>
  <c r="X29" i="9" s="1"/>
  <c r="Z29" i="9"/>
  <c r="D199" i="9"/>
  <c r="AT199" i="9" s="1"/>
  <c r="AS199" i="9"/>
  <c r="AT92" i="10"/>
  <c r="AS94" i="10"/>
  <c r="A58" i="9"/>
  <c r="K57" i="9"/>
  <c r="BE92" i="10"/>
  <c r="AQ95" i="10"/>
  <c r="AR94" i="10"/>
  <c r="AR95" i="10" s="1"/>
  <c r="AR96" i="10" s="1"/>
  <c r="D27" i="9"/>
  <c r="AT27" i="9" s="1"/>
  <c r="AS27" i="9"/>
  <c r="M53" i="11"/>
  <c r="O53" i="11" s="1"/>
  <c r="K54" i="11"/>
  <c r="L54" i="11"/>
  <c r="N54" i="11" s="1"/>
  <c r="Q54" i="11" s="1"/>
  <c r="P54" i="11" s="1"/>
  <c r="BQ93" i="10"/>
  <c r="BP98" i="10"/>
  <c r="CG92" i="10"/>
  <c r="CE94" i="10"/>
  <c r="BO94" i="10"/>
  <c r="BQ92" i="10"/>
  <c r="BA142" i="9"/>
  <c r="K229" i="9"/>
  <c r="A230" i="9"/>
  <c r="BV89" i="10"/>
  <c r="BQ90" i="10"/>
  <c r="AH29" i="9"/>
  <c r="AG30" i="9"/>
  <c r="AD30" i="9" s="1"/>
  <c r="AM228" i="9"/>
  <c r="AC229" i="9"/>
  <c r="AL89" i="10"/>
  <c r="E196" i="28"/>
  <c r="BJ97" i="10"/>
  <c r="M17" i="25"/>
  <c r="AO89" i="10"/>
  <c r="AY113" i="9"/>
  <c r="J113" i="9"/>
  <c r="AZ113" i="9" s="1"/>
  <c r="G28" i="9"/>
  <c r="L27" i="9"/>
  <c r="I27" i="9"/>
  <c r="AX27" i="9"/>
  <c r="BR89" i="10"/>
  <c r="B56" i="11"/>
  <c r="D55" i="11"/>
  <c r="F55" i="11" s="1"/>
  <c r="C56" i="11"/>
  <c r="E56" i="11" s="1"/>
  <c r="H56" i="11" s="1"/>
  <c r="G56" i="11" s="1"/>
  <c r="BF6" i="11"/>
  <c r="O58" i="9"/>
  <c r="Y57" i="9"/>
  <c r="AC98" i="10"/>
  <c r="AB103" i="10"/>
  <c r="AK92" i="10"/>
  <c r="AI94" i="10"/>
  <c r="AM59" i="9"/>
  <c r="AC60" i="9"/>
  <c r="O144" i="9"/>
  <c r="Y143" i="9"/>
  <c r="E114" i="9"/>
  <c r="BB113" i="9"/>
  <c r="F113" i="9"/>
  <c r="AV113" i="9" s="1"/>
  <c r="C95" i="10"/>
  <c r="D94" i="10"/>
  <c r="D95" i="10" s="1"/>
  <c r="D96" i="10" s="1"/>
  <c r="L199" i="9"/>
  <c r="AX199" i="9"/>
  <c r="I199" i="9"/>
  <c r="G200" i="9"/>
  <c r="AW200" i="9" s="1"/>
  <c r="A144" i="9"/>
  <c r="K143" i="9"/>
  <c r="AJ118" i="9"/>
  <c r="AE118" i="9"/>
  <c r="AF118" i="9" s="1"/>
  <c r="Y159" i="13"/>
  <c r="AA161" i="13"/>
  <c r="V155" i="13"/>
  <c r="R151" i="13"/>
  <c r="AB161" i="13"/>
  <c r="W157" i="13"/>
  <c r="Q151" i="13"/>
  <c r="Q163" i="13" s="1"/>
  <c r="C186" i="18" s="1"/>
  <c r="AA160" i="13"/>
  <c r="Z159" i="13"/>
  <c r="S152" i="13"/>
  <c r="T154" i="13"/>
  <c r="U154" i="13"/>
  <c r="S153" i="13"/>
  <c r="X158" i="13"/>
  <c r="V156" i="13"/>
  <c r="Y158" i="13"/>
  <c r="AB162" i="13"/>
  <c r="Z160" i="13"/>
  <c r="T153" i="13"/>
  <c r="U155" i="13"/>
  <c r="X157" i="13"/>
  <c r="R152" i="13"/>
  <c r="W156" i="13"/>
  <c r="AB160" i="13"/>
  <c r="T152" i="13"/>
  <c r="X156" i="13"/>
  <c r="W155" i="13"/>
  <c r="Y157" i="13"/>
  <c r="V154" i="13"/>
  <c r="S151" i="13"/>
  <c r="S163" i="13" s="1"/>
  <c r="E186" i="18" s="1"/>
  <c r="Z158" i="13"/>
  <c r="AA159" i="13"/>
  <c r="U153" i="13"/>
  <c r="V152" i="13"/>
  <c r="X154" i="13"/>
  <c r="AA157" i="13"/>
  <c r="U151" i="13"/>
  <c r="V153" i="13"/>
  <c r="AB158" i="13"/>
  <c r="AA158" i="13"/>
  <c r="X155" i="13"/>
  <c r="U152" i="13"/>
  <c r="Y155" i="13"/>
  <c r="Y156" i="13"/>
  <c r="W153" i="13"/>
  <c r="W154" i="13"/>
  <c r="AB159" i="13"/>
  <c r="Z157" i="13"/>
  <c r="Z156" i="13"/>
  <c r="T151" i="13"/>
  <c r="T163" i="13" s="1"/>
  <c r="F186" i="18" s="1"/>
  <c r="AA156" i="13"/>
  <c r="X153" i="13"/>
  <c r="Z155" i="13"/>
  <c r="X152" i="13"/>
  <c r="AB157" i="13"/>
  <c r="Z154" i="13"/>
  <c r="V151" i="13"/>
  <c r="W151" i="13"/>
  <c r="AA155" i="13"/>
  <c r="Y154" i="13"/>
  <c r="W152" i="13"/>
  <c r="Y153" i="13"/>
  <c r="AB156" i="13"/>
  <c r="Z153" i="13"/>
  <c r="X151" i="13"/>
  <c r="AB155" i="13"/>
  <c r="AA154" i="13"/>
  <c r="Y152" i="13"/>
  <c r="Z152" i="13"/>
  <c r="AA153" i="13"/>
  <c r="AA163" i="13" s="1"/>
  <c r="M186" i="18" s="1"/>
  <c r="Y151" i="13"/>
  <c r="AB154" i="13"/>
  <c r="Z151" i="13"/>
  <c r="AB153" i="13"/>
  <c r="AA152" i="13"/>
  <c r="AK93" i="10"/>
  <c r="AJ98" i="10"/>
  <c r="AI203" i="9"/>
  <c r="AN202" i="9"/>
  <c r="AK202" i="9"/>
  <c r="AL202" i="9" s="1"/>
  <c r="BA97" i="10"/>
  <c r="BA99" i="10" s="1"/>
  <c r="AY99" i="10"/>
  <c r="L52" i="17"/>
  <c r="M44" i="25"/>
  <c r="BB102" i="10"/>
  <c r="BA227" i="9"/>
  <c r="CU89" i="10"/>
  <c r="E91" i="10"/>
  <c r="AM143" i="9"/>
  <c r="AC144" i="9"/>
  <c r="BE21" i="11"/>
  <c r="BE7" i="11"/>
  <c r="BE22" i="11" s="1"/>
  <c r="AB94" i="10"/>
  <c r="AB95" i="10" s="1"/>
  <c r="AB96" i="10" s="1"/>
  <c r="AA95" i="10"/>
  <c r="AC94" i="10"/>
  <c r="AD92" i="10"/>
  <c r="N42" i="25"/>
  <c r="H44" i="22"/>
  <c r="CG94" i="10"/>
  <c r="CH92" i="10"/>
  <c r="N181" i="13"/>
  <c r="CN63" i="12"/>
  <c r="CN67" i="12" s="1"/>
  <c r="BH108" i="10"/>
  <c r="BI103" i="10"/>
  <c r="AS90" i="10"/>
  <c r="AX89" i="10"/>
  <c r="BG95" i="10"/>
  <c r="BH94" i="10"/>
  <c r="BH95" i="10" s="1"/>
  <c r="BH96" i="10" s="1"/>
  <c r="V203" i="9"/>
  <c r="Q203" i="9"/>
  <c r="R203" i="9" s="1"/>
  <c r="CF103" i="10"/>
  <c r="CG98" i="10"/>
  <c r="AS98" i="10"/>
  <c r="AR103" i="10"/>
  <c r="N151" i="13"/>
  <c r="O149" i="13"/>
  <c r="CM66" i="12"/>
  <c r="CN66" i="12" s="1"/>
  <c r="BZ74" i="12"/>
  <c r="BA56" i="9"/>
  <c r="BN53" i="9" s="1"/>
  <c r="CG90" i="10"/>
  <c r="CL89" i="10"/>
  <c r="M44" i="17"/>
  <c r="DO24" i="10"/>
  <c r="M32" i="25"/>
  <c r="M39" i="18"/>
  <c r="O229" i="9"/>
  <c r="Y228" i="9"/>
  <c r="AZ113" i="10"/>
  <c r="BA108" i="10"/>
  <c r="AC91" i="10"/>
  <c r="V117" i="9"/>
  <c r="Q117" i="9"/>
  <c r="R117" i="9" s="1"/>
  <c r="U92" i="10" l="1"/>
  <c r="S94" i="10"/>
  <c r="U90" i="10"/>
  <c r="U91" i="10" s="1"/>
  <c r="Z89" i="10"/>
  <c r="W163" i="13"/>
  <c r="I186" i="18" s="1"/>
  <c r="U93" i="10"/>
  <c r="V92" i="10" s="1"/>
  <c r="T98" i="10"/>
  <c r="U54" i="11"/>
  <c r="W54" i="11" s="1"/>
  <c r="Z54" i="11" s="1"/>
  <c r="Y54" i="11" s="1"/>
  <c r="T54" i="11"/>
  <c r="V53" i="11"/>
  <c r="X53" i="11" s="1"/>
  <c r="N89" i="10"/>
  <c r="CP92" i="10"/>
  <c r="I77" i="13"/>
  <c r="W77" i="13" s="1"/>
  <c r="K79" i="13"/>
  <c r="Y79" i="13" s="1"/>
  <c r="C71" i="13"/>
  <c r="Q71" i="13" s="1"/>
  <c r="O2" i="13"/>
  <c r="J78" i="13"/>
  <c r="X78" i="13" s="1"/>
  <c r="N4" i="13"/>
  <c r="N16" i="13" s="1"/>
  <c r="N13" i="18" s="1"/>
  <c r="N32" i="13"/>
  <c r="L80" i="13"/>
  <c r="Z80" i="13" s="1"/>
  <c r="E73" i="13"/>
  <c r="S73" i="13" s="1"/>
  <c r="F74" i="13"/>
  <c r="T74" i="13" s="1"/>
  <c r="D72" i="13"/>
  <c r="R72" i="13" s="1"/>
  <c r="G75" i="13"/>
  <c r="U75" i="13" s="1"/>
  <c r="H76" i="13"/>
  <c r="V76" i="13" s="1"/>
  <c r="M81" i="13"/>
  <c r="AA81" i="13" s="1"/>
  <c r="L91" i="10"/>
  <c r="L92" i="10" s="1"/>
  <c r="K92" i="10"/>
  <c r="CO92" i="10"/>
  <c r="CO94" i="10" s="1"/>
  <c r="CM94" i="10"/>
  <c r="BY92" i="10"/>
  <c r="BY94" i="10" s="1"/>
  <c r="BW94" i="10"/>
  <c r="F15" i="18"/>
  <c r="C15" i="18"/>
  <c r="G15" i="18"/>
  <c r="K15" i="18"/>
  <c r="D15" i="18"/>
  <c r="H15" i="18"/>
  <c r="J15" i="18"/>
  <c r="L15" i="18"/>
  <c r="E15" i="18"/>
  <c r="I15" i="18"/>
  <c r="M15" i="18"/>
  <c r="BZ92" i="10"/>
  <c r="BY98" i="10"/>
  <c r="BZ97" i="10" s="1"/>
  <c r="BX103" i="10"/>
  <c r="L98" i="10"/>
  <c r="M93" i="10"/>
  <c r="R89" i="10"/>
  <c r="M90" i="10"/>
  <c r="M91" i="10" s="1"/>
  <c r="CO98" i="10"/>
  <c r="CP97" i="10" s="1"/>
  <c r="CN103" i="10"/>
  <c r="L181" i="17"/>
  <c r="M115" i="25"/>
  <c r="N163" i="13"/>
  <c r="N185" i="18" s="1"/>
  <c r="AB151" i="13"/>
  <c r="AB163" i="13" s="1"/>
  <c r="N186" i="18" s="1"/>
  <c r="E181" i="17"/>
  <c r="F115" i="25"/>
  <c r="E115" i="25"/>
  <c r="D181" i="17"/>
  <c r="O230" i="9"/>
  <c r="Y229" i="9"/>
  <c r="W203" i="9"/>
  <c r="X203" i="9" s="1"/>
  <c r="Z203" i="9"/>
  <c r="U204" i="9"/>
  <c r="BJ102" i="10"/>
  <c r="DC90" i="10"/>
  <c r="A145" i="9"/>
  <c r="K144" i="9"/>
  <c r="E200" i="9"/>
  <c r="BB199" i="9"/>
  <c r="F199" i="9"/>
  <c r="AV199" i="9" s="1"/>
  <c r="BF21" i="11"/>
  <c r="BF7" i="11"/>
  <c r="BF22" i="11" s="1"/>
  <c r="K230" i="9"/>
  <c r="A231" i="9"/>
  <c r="W117" i="9"/>
  <c r="X117" i="9" s="1"/>
  <c r="U118" i="9"/>
  <c r="Z117" i="9"/>
  <c r="B156" i="28"/>
  <c r="CH97" i="10"/>
  <c r="BH97" i="10"/>
  <c r="BI108" i="10"/>
  <c r="BH113" i="10"/>
  <c r="AZ99" i="10"/>
  <c r="AZ100" i="10" s="1"/>
  <c r="AZ101" i="10" s="1"/>
  <c r="AY100" i="10"/>
  <c r="AG203" i="9"/>
  <c r="AD203" i="9" s="1"/>
  <c r="AH202" i="9"/>
  <c r="Y163" i="13"/>
  <c r="K186" i="18" s="1"/>
  <c r="B181" i="17"/>
  <c r="C115" i="25"/>
  <c r="AU114" i="9"/>
  <c r="B114" i="9"/>
  <c r="AJ94" i="10"/>
  <c r="AJ95" i="10" s="1"/>
  <c r="AJ96" i="10" s="1"/>
  <c r="AI95" i="10"/>
  <c r="AD97" i="10"/>
  <c r="BB27" i="9"/>
  <c r="E28" i="9"/>
  <c r="F27" i="9"/>
  <c r="AV27" i="9" s="1"/>
  <c r="AM229" i="9"/>
  <c r="AC230" i="9"/>
  <c r="BQ91" i="10"/>
  <c r="BR92" i="10"/>
  <c r="BQ94" i="10"/>
  <c r="BA57" i="9"/>
  <c r="BN54" i="9" s="1"/>
  <c r="S30" i="9"/>
  <c r="P30" i="9" s="1"/>
  <c r="T29" i="9"/>
  <c r="BB107" i="10"/>
  <c r="CG91" i="10"/>
  <c r="CG103" i="10"/>
  <c r="CF108" i="10"/>
  <c r="AC95" i="10"/>
  <c r="AA96" i="10"/>
  <c r="AA97" i="10" s="1"/>
  <c r="AI119" i="9"/>
  <c r="AK118" i="9"/>
  <c r="AL118" i="9" s="1"/>
  <c r="AN118" i="9"/>
  <c r="AY199" i="9"/>
  <c r="J199" i="9"/>
  <c r="AZ199" i="9" s="1"/>
  <c r="D97" i="10"/>
  <c r="AW28" i="9"/>
  <c r="B79" i="17"/>
  <c r="C113" i="18"/>
  <c r="AP89" i="10"/>
  <c r="AK90" i="10"/>
  <c r="CW89" i="10"/>
  <c r="CE95" i="10"/>
  <c r="CF94" i="10"/>
  <c r="CF95" i="10" s="1"/>
  <c r="CF96" i="10" s="1"/>
  <c r="M54" i="11"/>
  <c r="O54" i="11" s="1"/>
  <c r="L55" i="11"/>
  <c r="N55" i="11" s="1"/>
  <c r="Q55" i="11" s="1"/>
  <c r="P55" i="11" s="1"/>
  <c r="K55" i="11"/>
  <c r="AR97" i="10"/>
  <c r="A59" i="9"/>
  <c r="K58" i="9"/>
  <c r="AZ118" i="10"/>
  <c r="BA113" i="10"/>
  <c r="N44" i="17"/>
  <c r="AR108" i="10"/>
  <c r="AS103" i="10"/>
  <c r="N183" i="13"/>
  <c r="O181" i="13"/>
  <c r="B80" i="2" s="1"/>
  <c r="AB97" i="10"/>
  <c r="AJ103" i="10"/>
  <c r="AK98" i="10"/>
  <c r="BA228" i="9"/>
  <c r="Z163" i="13"/>
  <c r="L186" i="18" s="1"/>
  <c r="X163" i="13"/>
  <c r="J186" i="18" s="1"/>
  <c r="V163" i="13"/>
  <c r="H186" i="18" s="1"/>
  <c r="U163" i="13"/>
  <c r="G186" i="18" s="1"/>
  <c r="BA143" i="9"/>
  <c r="E95" i="10"/>
  <c r="C96" i="10"/>
  <c r="C97" i="10" s="1"/>
  <c r="Y144" i="9"/>
  <c r="O145" i="9"/>
  <c r="O59" i="9"/>
  <c r="Y58" i="9"/>
  <c r="B57" i="11"/>
  <c r="C57" i="11"/>
  <c r="E57" i="11" s="1"/>
  <c r="H57" i="11" s="1"/>
  <c r="G57" i="11" s="1"/>
  <c r="BG6" i="11"/>
  <c r="D56" i="11"/>
  <c r="F56" i="11" s="1"/>
  <c r="AE30" i="9"/>
  <c r="AF30" i="9" s="1"/>
  <c r="AJ30" i="9"/>
  <c r="BP94" i="10"/>
  <c r="BP95" i="10" s="1"/>
  <c r="BP96" i="10" s="1"/>
  <c r="BO95" i="10"/>
  <c r="AS95" i="10"/>
  <c r="AW92" i="10" s="1"/>
  <c r="AQ96" i="10"/>
  <c r="AQ97" i="10" s="1"/>
  <c r="BI95" i="10"/>
  <c r="BG96" i="10"/>
  <c r="BG97" i="10" s="1"/>
  <c r="T185" i="13"/>
  <c r="Z191" i="13"/>
  <c r="S184" i="13"/>
  <c r="R183" i="13"/>
  <c r="U186" i="13"/>
  <c r="Y190" i="13"/>
  <c r="W188" i="13"/>
  <c r="AB193" i="13"/>
  <c r="AA192" i="13"/>
  <c r="X189" i="13"/>
  <c r="V187" i="13"/>
  <c r="Z192" i="13"/>
  <c r="AA191" i="13"/>
  <c r="W187" i="13"/>
  <c r="S185" i="13"/>
  <c r="T184" i="13"/>
  <c r="R184" i="13"/>
  <c r="Q183" i="13"/>
  <c r="Q195" i="13" s="1"/>
  <c r="X190" i="13"/>
  <c r="AB194" i="13"/>
  <c r="Y191" i="13"/>
  <c r="U185" i="13"/>
  <c r="AB192" i="13"/>
  <c r="S183" i="13"/>
  <c r="Y189" i="13"/>
  <c r="T186" i="13"/>
  <c r="Z190" i="13"/>
  <c r="AA193" i="13"/>
  <c r="V186" i="13"/>
  <c r="W189" i="13"/>
  <c r="V188" i="13"/>
  <c r="U187" i="13"/>
  <c r="X188" i="13"/>
  <c r="U183" i="13"/>
  <c r="W185" i="13"/>
  <c r="V184" i="13"/>
  <c r="Y187" i="13"/>
  <c r="AA189" i="13"/>
  <c r="X186" i="13"/>
  <c r="Z188" i="13"/>
  <c r="AB190" i="13"/>
  <c r="V185" i="13"/>
  <c r="V183" i="13"/>
  <c r="Z187" i="13"/>
  <c r="AA190" i="13"/>
  <c r="Y186" i="13"/>
  <c r="W186" i="13"/>
  <c r="Z189" i="13"/>
  <c r="Y188" i="13"/>
  <c r="AB189" i="13"/>
  <c r="U184" i="13"/>
  <c r="AA188" i="13"/>
  <c r="T183" i="13"/>
  <c r="X187" i="13"/>
  <c r="X185" i="13"/>
  <c r="AB191" i="13"/>
  <c r="W184" i="13"/>
  <c r="Y185" i="13"/>
  <c r="AB188" i="13"/>
  <c r="AA187" i="13"/>
  <c r="W183" i="13"/>
  <c r="Z186" i="13"/>
  <c r="X184" i="13"/>
  <c r="AA186" i="13"/>
  <c r="Y184" i="13"/>
  <c r="AB187" i="13"/>
  <c r="X183" i="13"/>
  <c r="Z185" i="13"/>
  <c r="AA184" i="13"/>
  <c r="Y183" i="13"/>
  <c r="AB185" i="13"/>
  <c r="Z183" i="13"/>
  <c r="Z195" i="13" s="1"/>
  <c r="AB186" i="13"/>
  <c r="AA185" i="13"/>
  <c r="Z184" i="13"/>
  <c r="AB184" i="13"/>
  <c r="AA183" i="13"/>
  <c r="I115" i="25"/>
  <c r="H181" i="17"/>
  <c r="M30" i="25"/>
  <c r="M38" i="18"/>
  <c r="AT97" i="10"/>
  <c r="AS91" i="10"/>
  <c r="AC145" i="9"/>
  <c r="AM144" i="9"/>
  <c r="AL92" i="10"/>
  <c r="AK94" i="10"/>
  <c r="CU92" i="10"/>
  <c r="DD90" i="10" s="1"/>
  <c r="D100" i="13" s="1"/>
  <c r="R163" i="13"/>
  <c r="D186" i="18" s="1"/>
  <c r="AM60" i="9"/>
  <c r="AC61" i="9"/>
  <c r="AB108" i="10"/>
  <c r="AC103" i="10"/>
  <c r="AY27" i="9"/>
  <c r="J27" i="9"/>
  <c r="AZ27" i="9" s="1"/>
  <c r="BQ98" i="10"/>
  <c r="BP103" i="10"/>
  <c r="BK24" i="9"/>
  <c r="CD14" i="9"/>
  <c r="BF92" i="10"/>
  <c r="CV89" i="10"/>
  <c r="S195" i="13" l="1"/>
  <c r="BA229" i="9"/>
  <c r="U98" i="10"/>
  <c r="V97" i="10" s="1"/>
  <c r="T103" i="10"/>
  <c r="Y195" i="13"/>
  <c r="R195" i="13"/>
  <c r="E96" i="10"/>
  <c r="S95" i="10"/>
  <c r="T94" i="10"/>
  <c r="T95" i="10" s="1"/>
  <c r="T96" i="10" s="1"/>
  <c r="U94" i="10"/>
  <c r="BY103" i="10"/>
  <c r="BZ102" i="10" s="1"/>
  <c r="BX108" i="10"/>
  <c r="M7" i="25"/>
  <c r="L3" i="24" s="1"/>
  <c r="L51" i="17"/>
  <c r="J7" i="25"/>
  <c r="I3" i="24" s="1"/>
  <c r="I5" i="24" s="1"/>
  <c r="I51" i="17"/>
  <c r="G7" i="25"/>
  <c r="F3" i="24" s="1"/>
  <c r="F5" i="24" s="1"/>
  <c r="F51" i="17"/>
  <c r="BW95" i="10"/>
  <c r="BX94" i="10"/>
  <c r="BX95" i="10" s="1"/>
  <c r="BX96" i="10" s="1"/>
  <c r="I7" i="25"/>
  <c r="H3" i="24" s="1"/>
  <c r="H51" i="17"/>
  <c r="H7" i="25"/>
  <c r="G3" i="24" s="1"/>
  <c r="G5" i="24" s="1"/>
  <c r="G51" i="17"/>
  <c r="C7" i="25"/>
  <c r="B3" i="24" s="1"/>
  <c r="B5" i="24" s="1"/>
  <c r="B6" i="24" s="1"/>
  <c r="B51" i="17"/>
  <c r="C19" i="18"/>
  <c r="K94" i="10"/>
  <c r="M92" i="10"/>
  <c r="M94" i="10" s="1"/>
  <c r="B5" i="28"/>
  <c r="O32" i="13"/>
  <c r="AC96" i="10"/>
  <c r="CO103" i="10"/>
  <c r="CP102" i="10" s="1"/>
  <c r="CN108" i="10"/>
  <c r="N92" i="10"/>
  <c r="CV92" i="10" s="1"/>
  <c r="DD95" i="10" s="1"/>
  <c r="C109" i="17" s="1"/>
  <c r="E7" i="25"/>
  <c r="D3" i="24" s="1"/>
  <c r="D5" i="24" s="1"/>
  <c r="D51" i="17"/>
  <c r="C51" i="17"/>
  <c r="D7" i="25"/>
  <c r="C3" i="24" s="1"/>
  <c r="C5" i="24" s="1"/>
  <c r="E51" i="17"/>
  <c r="F7" i="25"/>
  <c r="E3" i="24" s="1"/>
  <c r="M13" i="17"/>
  <c r="H29" i="22"/>
  <c r="U55" i="11"/>
  <c r="W55" i="11" s="1"/>
  <c r="Z55" i="11" s="1"/>
  <c r="Y55" i="11" s="1"/>
  <c r="T55" i="11"/>
  <c r="V54" i="11"/>
  <c r="X54" i="11" s="1"/>
  <c r="M98" i="10"/>
  <c r="N97" i="10" s="1"/>
  <c r="L103" i="10"/>
  <c r="L7" i="25"/>
  <c r="K3" i="24" s="1"/>
  <c r="K51" i="17"/>
  <c r="J51" i="17"/>
  <c r="K7" i="25"/>
  <c r="J3" i="24" s="1"/>
  <c r="J5" i="24" s="1"/>
  <c r="CM95" i="10"/>
  <c r="CN94" i="10"/>
  <c r="CN95" i="10" s="1"/>
  <c r="CN96" i="10" s="1"/>
  <c r="N12" i="18"/>
  <c r="O13" i="18"/>
  <c r="N5" i="25"/>
  <c r="N15" i="18"/>
  <c r="BM24" i="9"/>
  <c r="CD17" i="9"/>
  <c r="AC108" i="10"/>
  <c r="AB113" i="10"/>
  <c r="BG99" i="10"/>
  <c r="BI97" i="10"/>
  <c r="BI99" i="10" s="1"/>
  <c r="O60" i="9"/>
  <c r="Y59" i="9"/>
  <c r="BI25" i="9"/>
  <c r="BJ25" i="9" s="1"/>
  <c r="CE13" i="9"/>
  <c r="Q30" i="9"/>
  <c r="R30" i="9" s="1"/>
  <c r="V30" i="9"/>
  <c r="M190" i="28"/>
  <c r="J156" i="28"/>
  <c r="M156" i="28"/>
  <c r="J190" i="28"/>
  <c r="BL24" i="9"/>
  <c r="CD16" i="9"/>
  <c r="AC62" i="9"/>
  <c r="AM61" i="9"/>
  <c r="G105" i="13"/>
  <c r="K109" i="13"/>
  <c r="H106" i="13"/>
  <c r="D130" i="13"/>
  <c r="D102" i="13"/>
  <c r="J108" i="13"/>
  <c r="L110" i="13"/>
  <c r="M111" i="13"/>
  <c r="N112" i="13"/>
  <c r="C179" i="13"/>
  <c r="I107" i="13"/>
  <c r="E103" i="13"/>
  <c r="F104" i="13"/>
  <c r="X195" i="13"/>
  <c r="V195" i="13"/>
  <c r="AN30" i="9"/>
  <c r="AK30" i="9"/>
  <c r="AL30" i="9" s="1"/>
  <c r="AI31" i="9"/>
  <c r="O146" i="9"/>
  <c r="Y145" i="9"/>
  <c r="I92" i="10"/>
  <c r="H115" i="25"/>
  <c r="G181" i="17"/>
  <c r="AL97" i="10"/>
  <c r="BB112" i="10"/>
  <c r="AC97" i="10"/>
  <c r="AC99" i="10" s="1"/>
  <c r="AA99" i="10"/>
  <c r="CH102" i="10"/>
  <c r="AJ203" i="9"/>
  <c r="AE203" i="9"/>
  <c r="AF203" i="9" s="1"/>
  <c r="T117" i="9"/>
  <c r="S118" i="9"/>
  <c r="P118" i="9" s="1"/>
  <c r="A232" i="9"/>
  <c r="K231" i="9"/>
  <c r="A146" i="9"/>
  <c r="K145" i="9"/>
  <c r="C100" i="13"/>
  <c r="CX89" i="10"/>
  <c r="C181" i="17"/>
  <c r="D115" i="25"/>
  <c r="AX92" i="10"/>
  <c r="F181" i="17"/>
  <c r="G115" i="25"/>
  <c r="AR113" i="10"/>
  <c r="AS108" i="10"/>
  <c r="A60" i="9"/>
  <c r="K59" i="9"/>
  <c r="AK91" i="10"/>
  <c r="CZ89" i="10" s="1"/>
  <c r="BI96" i="10"/>
  <c r="BA144" i="9"/>
  <c r="M29" i="25"/>
  <c r="M54" i="18"/>
  <c r="U195" i="13"/>
  <c r="BM92" i="10"/>
  <c r="AS97" i="10"/>
  <c r="AS99" i="10" s="1"/>
  <c r="AQ99" i="10"/>
  <c r="BQ95" i="10"/>
  <c r="BO96" i="10"/>
  <c r="BO97" i="10" s="1"/>
  <c r="BH6" i="11"/>
  <c r="C58" i="11"/>
  <c r="E58" i="11" s="1"/>
  <c r="H58" i="11" s="1"/>
  <c r="G58" i="11" s="1"/>
  <c r="B58" i="11"/>
  <c r="D57" i="11"/>
  <c r="F57" i="11" s="1"/>
  <c r="J115" i="25"/>
  <c r="I181" i="17"/>
  <c r="AK103" i="10"/>
  <c r="AJ108" i="10"/>
  <c r="AZ123" i="10"/>
  <c r="BA118" i="10"/>
  <c r="AS96" i="10"/>
  <c r="CF97" i="10"/>
  <c r="DC89" i="10"/>
  <c r="C73" i="25"/>
  <c r="AM230" i="9"/>
  <c r="AC231" i="9"/>
  <c r="AU28" i="9"/>
  <c r="B28" i="9"/>
  <c r="AR114" i="9"/>
  <c r="H114" i="9"/>
  <c r="C114" i="9"/>
  <c r="O186" i="18"/>
  <c r="BA100" i="10"/>
  <c r="AY101" i="10"/>
  <c r="AY102" i="10" s="1"/>
  <c r="BH118" i="10"/>
  <c r="BI113" i="10"/>
  <c r="N115" i="25"/>
  <c r="M181" i="17"/>
  <c r="BG21" i="11"/>
  <c r="BG7" i="11"/>
  <c r="BG22" i="11" s="1"/>
  <c r="AB183" i="13"/>
  <c r="AB195" i="13" s="1"/>
  <c r="N195" i="13"/>
  <c r="N195" i="18" s="1"/>
  <c r="CG108" i="10"/>
  <c r="CF113" i="10"/>
  <c r="AJ97" i="10"/>
  <c r="Y230" i="9"/>
  <c r="O231" i="9"/>
  <c r="BQ103" i="10"/>
  <c r="BP108" i="10"/>
  <c r="DC95" i="10"/>
  <c r="BR97" i="10"/>
  <c r="AD102" i="10"/>
  <c r="AM145" i="9"/>
  <c r="AC146" i="9"/>
  <c r="AA195" i="13"/>
  <c r="W195" i="13"/>
  <c r="T195" i="13"/>
  <c r="BQ96" i="10"/>
  <c r="BP97" i="10"/>
  <c r="C99" i="10"/>
  <c r="E97" i="10"/>
  <c r="E99" i="10" s="1"/>
  <c r="L115" i="25"/>
  <c r="K181" i="17"/>
  <c r="AT102" i="10"/>
  <c r="BA58" i="9"/>
  <c r="BN55" i="9" s="1"/>
  <c r="L56" i="11"/>
  <c r="N56" i="11" s="1"/>
  <c r="Q56" i="11" s="1"/>
  <c r="P56" i="11" s="1"/>
  <c r="M55" i="11"/>
  <c r="O55" i="11" s="1"/>
  <c r="K56" i="11"/>
  <c r="CG95" i="10"/>
  <c r="CE96" i="10"/>
  <c r="CE97" i="10" s="1"/>
  <c r="AH118" i="9"/>
  <c r="AG119" i="9"/>
  <c r="AD119" i="9" s="1"/>
  <c r="AG92" i="10"/>
  <c r="AK95" i="10"/>
  <c r="AO92" i="10" s="1"/>
  <c r="AI96" i="10"/>
  <c r="AI97" i="10" s="1"/>
  <c r="K115" i="25"/>
  <c r="J181" i="17"/>
  <c r="AZ102" i="10"/>
  <c r="BA101" i="10"/>
  <c r="BJ107" i="10"/>
  <c r="B200" i="9"/>
  <c r="AU200" i="9"/>
  <c r="S204" i="9"/>
  <c r="P204" i="9" s="1"/>
  <c r="T203" i="9"/>
  <c r="N114" i="25"/>
  <c r="O185" i="18"/>
  <c r="U95" i="10" l="1"/>
  <c r="Y92" i="10" s="1"/>
  <c r="S96" i="10"/>
  <c r="S97" i="10" s="1"/>
  <c r="N181" i="17"/>
  <c r="T108" i="10"/>
  <c r="U103" i="10"/>
  <c r="V102" i="10" s="1"/>
  <c r="CU97" i="10"/>
  <c r="U96" i="10"/>
  <c r="T97" i="10"/>
  <c r="N4" i="25"/>
  <c r="O12" i="18"/>
  <c r="H42" i="22"/>
  <c r="I42" i="22" s="1"/>
  <c r="I29" i="22"/>
  <c r="C6" i="24"/>
  <c r="D6" i="24" s="1"/>
  <c r="N7" i="25"/>
  <c r="M51" i="17"/>
  <c r="O15" i="18"/>
  <c r="CN97" i="10"/>
  <c r="N59" i="15"/>
  <c r="N63" i="15"/>
  <c r="N61" i="15"/>
  <c r="M23" i="17"/>
  <c r="N13" i="17"/>
  <c r="N39" i="14"/>
  <c r="O39" i="14" s="1"/>
  <c r="N36" i="14"/>
  <c r="O36" i="14" s="1"/>
  <c r="N42" i="14"/>
  <c r="O42" i="14" s="1"/>
  <c r="M24" i="17"/>
  <c r="M20" i="17"/>
  <c r="N43" i="14"/>
  <c r="O43" i="14" s="1"/>
  <c r="N34" i="14"/>
  <c r="N62" i="15"/>
  <c r="N40" i="14"/>
  <c r="O40" i="14" s="1"/>
  <c r="N41" i="14"/>
  <c r="O41" i="14" s="1"/>
  <c r="N60" i="15"/>
  <c r="N38" i="14"/>
  <c r="O38" i="14" s="1"/>
  <c r="N37" i="14"/>
  <c r="O37" i="14" s="1"/>
  <c r="N35" i="14"/>
  <c r="O35" i="14" s="1"/>
  <c r="K95" i="10"/>
  <c r="L94" i="10"/>
  <c r="L95" i="10" s="1"/>
  <c r="L96" i="10" s="1"/>
  <c r="BX97" i="10"/>
  <c r="BY108" i="10"/>
  <c r="BZ107" i="10" s="1"/>
  <c r="BX113" i="10"/>
  <c r="CO95" i="10"/>
  <c r="CS92" i="10" s="1"/>
  <c r="CT92" i="10" s="1"/>
  <c r="CM96" i="10"/>
  <c r="CM97" i="10" s="1"/>
  <c r="T56" i="11"/>
  <c r="U56" i="11"/>
  <c r="W56" i="11" s="1"/>
  <c r="Z56" i="11" s="1"/>
  <c r="Y56" i="11" s="1"/>
  <c r="V55" i="11"/>
  <c r="X55" i="11" s="1"/>
  <c r="CN113" i="10"/>
  <c r="CO108" i="10"/>
  <c r="CP107" i="10" s="1"/>
  <c r="I40" i="28"/>
  <c r="B7" i="28"/>
  <c r="M5" i="28"/>
  <c r="L40" i="28"/>
  <c r="J5" i="28"/>
  <c r="I4" i="3"/>
  <c r="C11" i="25"/>
  <c r="C57" i="18"/>
  <c r="BY95" i="10"/>
  <c r="CC92" i="10" s="1"/>
  <c r="CD92" i="10" s="1"/>
  <c r="BW96" i="10"/>
  <c r="BW97" i="10" s="1"/>
  <c r="O5" i="25"/>
  <c r="E4" i="2"/>
  <c r="M103" i="10"/>
  <c r="L108" i="10"/>
  <c r="N51" i="17"/>
  <c r="L57" i="11"/>
  <c r="N57" i="11" s="1"/>
  <c r="Q57" i="11" s="1"/>
  <c r="P57" i="11" s="1"/>
  <c r="K57" i="11"/>
  <c r="M56" i="11"/>
  <c r="O56" i="11" s="1"/>
  <c r="C100" i="10"/>
  <c r="D99" i="10"/>
  <c r="D100" i="10" s="1"/>
  <c r="D101" i="10" s="1"/>
  <c r="O114" i="25"/>
  <c r="E60" i="2"/>
  <c r="AI99" i="10"/>
  <c r="AK97" i="10"/>
  <c r="AK99" i="10" s="1"/>
  <c r="AE119" i="9"/>
  <c r="AF119" i="9" s="1"/>
  <c r="AJ119" i="9"/>
  <c r="CE99" i="10"/>
  <c r="CG97" i="10"/>
  <c r="CG99" i="10" s="1"/>
  <c r="BR102" i="10"/>
  <c r="Y231" i="9"/>
  <c r="O232" i="9"/>
  <c r="AK96" i="10"/>
  <c r="N124" i="25"/>
  <c r="O195" i="18"/>
  <c r="O124" i="25" s="1"/>
  <c r="BA102" i="10"/>
  <c r="BA104" i="10" s="1"/>
  <c r="AY104" i="10"/>
  <c r="AS114" i="9"/>
  <c r="D114" i="9"/>
  <c r="AT114" i="9" s="1"/>
  <c r="BG25" i="9"/>
  <c r="BH25" i="9" s="1"/>
  <c r="CE12" i="9"/>
  <c r="CG96" i="10"/>
  <c r="AZ128" i="10"/>
  <c r="BA123" i="10"/>
  <c r="B59" i="11"/>
  <c r="C59" i="11"/>
  <c r="E59" i="11" s="1"/>
  <c r="H59" i="11" s="1"/>
  <c r="G59" i="11" s="1"/>
  <c r="BI6" i="11"/>
  <c r="D58" i="11"/>
  <c r="F58" i="11" s="1"/>
  <c r="J14" i="3"/>
  <c r="M45" i="25"/>
  <c r="L4" i="24" s="1"/>
  <c r="L5" i="24" s="1"/>
  <c r="AR118" i="10"/>
  <c r="AS113" i="10"/>
  <c r="E104" i="13"/>
  <c r="K110" i="13"/>
  <c r="M112" i="13"/>
  <c r="G106" i="13"/>
  <c r="D103" i="13"/>
  <c r="H107" i="13"/>
  <c r="N113" i="13"/>
  <c r="C102" i="13"/>
  <c r="C114" i="13" s="1"/>
  <c r="C109" i="18" s="1"/>
  <c r="I108" i="13"/>
  <c r="C130" i="13"/>
  <c r="J109" i="13"/>
  <c r="F105" i="13"/>
  <c r="L111" i="13"/>
  <c r="CV97" i="10"/>
  <c r="AI204" i="9"/>
  <c r="AN203" i="9"/>
  <c r="AK203" i="9"/>
  <c r="AL203" i="9" s="1"/>
  <c r="DE90" i="10"/>
  <c r="Y146" i="9"/>
  <c r="O147" i="9"/>
  <c r="AH30" i="9"/>
  <c r="AG31" i="9"/>
  <c r="AD31" i="9" s="1"/>
  <c r="AM62" i="9"/>
  <c r="AC63" i="9"/>
  <c r="CD18" i="9"/>
  <c r="G115" i="9"/>
  <c r="AW115" i="9" s="1"/>
  <c r="I114" i="9"/>
  <c r="AX114" i="9"/>
  <c r="L114" i="9"/>
  <c r="BU92" i="10"/>
  <c r="Z30" i="9"/>
  <c r="W30" i="9"/>
  <c r="X30" i="9" s="1"/>
  <c r="U31" i="9"/>
  <c r="BH99" i="10"/>
  <c r="BH100" i="10" s="1"/>
  <c r="BH101" i="10" s="1"/>
  <c r="BG100" i="10"/>
  <c r="V204" i="9"/>
  <c r="Q204" i="9"/>
  <c r="R204" i="9" s="1"/>
  <c r="H200" i="9"/>
  <c r="AR200" i="9"/>
  <c r="C200" i="9"/>
  <c r="AP92" i="10"/>
  <c r="CK92" i="10"/>
  <c r="AC147" i="9"/>
  <c r="AM146" i="9"/>
  <c r="B109" i="17"/>
  <c r="CG113" i="10"/>
  <c r="CF118" i="10"/>
  <c r="BJ112" i="10"/>
  <c r="BE97" i="10"/>
  <c r="C68" i="13"/>
  <c r="AJ113" i="10"/>
  <c r="AK108" i="10"/>
  <c r="BH21" i="11"/>
  <c r="BH7" i="11"/>
  <c r="BH22" i="11" s="1"/>
  <c r="BN92" i="10"/>
  <c r="A61" i="9"/>
  <c r="K60" i="9"/>
  <c r="DC92" i="10"/>
  <c r="BA145" i="9"/>
  <c r="V118" i="9"/>
  <c r="Q118" i="9"/>
  <c r="R118" i="9" s="1"/>
  <c r="AB99" i="10"/>
  <c r="AB100" i="10" s="1"/>
  <c r="AB101" i="10" s="1"/>
  <c r="AA100" i="10"/>
  <c r="J92" i="10"/>
  <c r="Z92" i="10"/>
  <c r="D114" i="13"/>
  <c r="D109" i="18" s="1"/>
  <c r="O61" i="9"/>
  <c r="Y60" i="9"/>
  <c r="AC113" i="10"/>
  <c r="AB118" i="10"/>
  <c r="AH92" i="10"/>
  <c r="AM231" i="9"/>
  <c r="AC232" i="9"/>
  <c r="BA59" i="9"/>
  <c r="BN56" i="9" s="1"/>
  <c r="A233" i="9"/>
  <c r="K232" i="9"/>
  <c r="BQ108" i="10"/>
  <c r="BP113" i="10"/>
  <c r="CH107" i="10"/>
  <c r="BA230" i="9"/>
  <c r="BH123" i="10"/>
  <c r="BI118" i="10"/>
  <c r="O115" i="25"/>
  <c r="D5" i="23"/>
  <c r="E76" i="2"/>
  <c r="C28" i="9"/>
  <c r="H28" i="9"/>
  <c r="AR28" i="9"/>
  <c r="BB117" i="10"/>
  <c r="AL102" i="10"/>
  <c r="BQ97" i="10"/>
  <c r="BQ99" i="10" s="1"/>
  <c r="BO99" i="10"/>
  <c r="AQ100" i="10"/>
  <c r="AR99" i="10"/>
  <c r="AR100" i="10" s="1"/>
  <c r="AR101" i="10" s="1"/>
  <c r="CY92" i="10"/>
  <c r="DA89" i="10"/>
  <c r="DC91" i="10" s="1"/>
  <c r="C60" i="22" s="1"/>
  <c r="AT107" i="10"/>
  <c r="K146" i="9"/>
  <c r="A147" i="9"/>
  <c r="C76" i="17"/>
  <c r="D59" i="22"/>
  <c r="AD107" i="10"/>
  <c r="BY96" i="10" l="1"/>
  <c r="T113" i="10"/>
  <c r="U108" i="10"/>
  <c r="V107" i="10" s="1"/>
  <c r="U97" i="10"/>
  <c r="U99" i="10" s="1"/>
  <c r="S99" i="10"/>
  <c r="M3" i="24"/>
  <c r="L113" i="10"/>
  <c r="M108" i="10"/>
  <c r="N107" i="10" s="1"/>
  <c r="BY97" i="10"/>
  <c r="BY99" i="10" s="1"/>
  <c r="BW99" i="10"/>
  <c r="I5" i="28"/>
  <c r="L5" i="28"/>
  <c r="L6" i="28"/>
  <c r="B41" i="28"/>
  <c r="I6" i="28"/>
  <c r="I7" i="28"/>
  <c r="N20" i="17"/>
  <c r="M15" i="17"/>
  <c r="N31" i="18"/>
  <c r="M46" i="17"/>
  <c r="O63" i="15"/>
  <c r="N88" i="15"/>
  <c r="O88" i="15" s="1"/>
  <c r="B5" i="23"/>
  <c r="E18" i="2"/>
  <c r="O7" i="25"/>
  <c r="B6" i="21"/>
  <c r="B179" i="31"/>
  <c r="N102" i="10"/>
  <c r="CU102" i="10"/>
  <c r="DF90" i="10" s="1"/>
  <c r="F100" i="13" s="1"/>
  <c r="I36" i="28"/>
  <c r="BY113" i="10"/>
  <c r="BZ112" i="10" s="1"/>
  <c r="BX118" i="10"/>
  <c r="L97" i="10"/>
  <c r="N87" i="15"/>
  <c r="O87" i="15" s="1"/>
  <c r="O62" i="15"/>
  <c r="N24" i="17"/>
  <c r="B17" i="28" s="1"/>
  <c r="N35" i="18"/>
  <c r="N58" i="15"/>
  <c r="N84" i="15"/>
  <c r="O59" i="15"/>
  <c r="B17" i="2"/>
  <c r="D31" i="26"/>
  <c r="B129" i="31" s="1"/>
  <c r="B19" i="21"/>
  <c r="B192" i="31"/>
  <c r="D26" i="26"/>
  <c r="B124" i="31" s="1"/>
  <c r="E49" i="2"/>
  <c r="C48" i="25"/>
  <c r="C59" i="18"/>
  <c r="U57" i="11"/>
  <c r="W57" i="11" s="1"/>
  <c r="Z57" i="11" s="1"/>
  <c r="Y57" i="11" s="1"/>
  <c r="V56" i="11"/>
  <c r="X56" i="11" s="1"/>
  <c r="T57" i="11"/>
  <c r="M95" i="10"/>
  <c r="Q92" i="10" s="1"/>
  <c r="K96" i="10"/>
  <c r="K97" i="10" s="1"/>
  <c r="O60" i="15"/>
  <c r="N85" i="15"/>
  <c r="O85" i="15" s="1"/>
  <c r="N33" i="14"/>
  <c r="O34" i="14"/>
  <c r="N34" i="18"/>
  <c r="N23" i="17"/>
  <c r="CO96" i="10"/>
  <c r="B4" i="23"/>
  <c r="O4" i="25"/>
  <c r="L36" i="28"/>
  <c r="CO113" i="10"/>
  <c r="CP112" i="10" s="1"/>
  <c r="CN118" i="10"/>
  <c r="CO97" i="10"/>
  <c r="CO99" i="10" s="1"/>
  <c r="CM99" i="10"/>
  <c r="N86" i="15"/>
  <c r="O86" i="15" s="1"/>
  <c r="O61" i="15"/>
  <c r="BH128" i="10"/>
  <c r="BI123" i="10"/>
  <c r="AC233" i="9"/>
  <c r="AM232" i="9"/>
  <c r="Y61" i="9"/>
  <c r="O62" i="9"/>
  <c r="M80" i="13"/>
  <c r="AA80" i="13" s="1"/>
  <c r="E72" i="13"/>
  <c r="S72" i="13" s="1"/>
  <c r="C98" i="13"/>
  <c r="G74" i="13"/>
  <c r="U74" i="13" s="1"/>
  <c r="N81" i="13"/>
  <c r="AB81" i="13" s="1"/>
  <c r="C70" i="13"/>
  <c r="J77" i="13"/>
  <c r="X77" i="13" s="1"/>
  <c r="H75" i="13"/>
  <c r="V75" i="13" s="1"/>
  <c r="D71" i="13"/>
  <c r="R71" i="13" s="1"/>
  <c r="F73" i="13"/>
  <c r="T73" i="13" s="1"/>
  <c r="L79" i="13"/>
  <c r="Z79" i="13" s="1"/>
  <c r="I76" i="13"/>
  <c r="W76" i="13" s="1"/>
  <c r="K78" i="13"/>
  <c r="Y78" i="13" s="1"/>
  <c r="CG118" i="10"/>
  <c r="CF123" i="10"/>
  <c r="Y147" i="9"/>
  <c r="O148" i="9"/>
  <c r="DE95" i="10"/>
  <c r="K58" i="11"/>
  <c r="M57" i="11"/>
  <c r="O57" i="11" s="1"/>
  <c r="L58" i="11"/>
  <c r="N58" i="11" s="1"/>
  <c r="Q58" i="11" s="1"/>
  <c r="P58" i="11" s="1"/>
  <c r="AR102" i="10"/>
  <c r="I28" i="9"/>
  <c r="G29" i="9"/>
  <c r="L28" i="9"/>
  <c r="AX28" i="9"/>
  <c r="AS100" i="10"/>
  <c r="AQ101" i="10"/>
  <c r="AQ102" i="10" s="1"/>
  <c r="AS28" i="9"/>
  <c r="D28" i="9"/>
  <c r="AT28" i="9" s="1"/>
  <c r="BJ117" i="10"/>
  <c r="AC100" i="10"/>
  <c r="AA101" i="10"/>
  <c r="AA102" i="10" s="1"/>
  <c r="AS200" i="9"/>
  <c r="D200" i="9"/>
  <c r="AT200" i="9" s="1"/>
  <c r="U205" i="9"/>
  <c r="Z204" i="9"/>
  <c r="W204" i="9"/>
  <c r="X204" i="9" s="1"/>
  <c r="E100" i="13"/>
  <c r="AR123" i="10"/>
  <c r="AS118" i="10"/>
  <c r="BB122" i="10"/>
  <c r="B29" i="31"/>
  <c r="B32" i="31" s="1"/>
  <c r="B35" i="31" s="1"/>
  <c r="B36" i="31" s="1"/>
  <c r="B92" i="31"/>
  <c r="AK119" i="9"/>
  <c r="AL119" i="9" s="1"/>
  <c r="AN119" i="9"/>
  <c r="AI120" i="9"/>
  <c r="AJ99" i="10"/>
  <c r="AJ100" i="10" s="1"/>
  <c r="AJ101" i="10" s="1"/>
  <c r="AI100" i="10"/>
  <c r="AC101" i="10"/>
  <c r="AB102" i="10"/>
  <c r="F114" i="9"/>
  <c r="AV114" i="9" s="1"/>
  <c r="E115" i="9"/>
  <c r="BB114" i="9"/>
  <c r="AC64" i="9"/>
  <c r="AM63" i="9"/>
  <c r="CV102" i="10"/>
  <c r="DF95" i="10" s="1"/>
  <c r="E109" i="17" s="1"/>
  <c r="BA146" i="9"/>
  <c r="BP118" i="10"/>
  <c r="BQ113" i="10"/>
  <c r="AB123" i="10"/>
  <c r="AC118" i="10"/>
  <c r="D69" i="25"/>
  <c r="D108" i="18"/>
  <c r="BA60" i="9"/>
  <c r="BN57" i="9" s="1"/>
  <c r="AK113" i="10"/>
  <c r="AJ118" i="10"/>
  <c r="CH112" i="10"/>
  <c r="L200" i="9"/>
  <c r="G201" i="9"/>
  <c r="AW201" i="9" s="1"/>
  <c r="I200" i="9"/>
  <c r="AX200" i="9"/>
  <c r="BI100" i="10"/>
  <c r="BG101" i="10"/>
  <c r="BG102" i="10" s="1"/>
  <c r="T30" i="9"/>
  <c r="S31" i="9"/>
  <c r="P31" i="9" s="1"/>
  <c r="BV92" i="10"/>
  <c r="D102" i="10"/>
  <c r="A148" i="9"/>
  <c r="K147" i="9"/>
  <c r="BP99" i="10"/>
  <c r="BP100" i="10" s="1"/>
  <c r="BP101" i="10" s="1"/>
  <c r="BO100" i="10"/>
  <c r="B108" i="17"/>
  <c r="AL107" i="10"/>
  <c r="CU107" i="10"/>
  <c r="BF97" i="10"/>
  <c r="C69" i="25"/>
  <c r="C108" i="18"/>
  <c r="BI21" i="11"/>
  <c r="BI7" i="11"/>
  <c r="BI22" i="11" s="1"/>
  <c r="AZ133" i="10"/>
  <c r="BA128" i="10"/>
  <c r="AZ104" i="10"/>
  <c r="AZ105" i="10" s="1"/>
  <c r="AZ106" i="10" s="1"/>
  <c r="AY105" i="10"/>
  <c r="BR107" i="10"/>
  <c r="CV107" i="10" s="1"/>
  <c r="DG95" i="10" s="1"/>
  <c r="F109" i="17" s="1"/>
  <c r="K233" i="9"/>
  <c r="A234" i="9"/>
  <c r="AD112" i="10"/>
  <c r="U119" i="9"/>
  <c r="W118" i="9"/>
  <c r="X118" i="9" s="1"/>
  <c r="Z118" i="9"/>
  <c r="A62" i="9"/>
  <c r="K61" i="9"/>
  <c r="AM147" i="9"/>
  <c r="AC148" i="9"/>
  <c r="CL92" i="10"/>
  <c r="BH102" i="10"/>
  <c r="AY114" i="9"/>
  <c r="J114" i="9"/>
  <c r="AZ114" i="9" s="1"/>
  <c r="AE31" i="9"/>
  <c r="AF31" i="9" s="1"/>
  <c r="AJ31" i="9"/>
  <c r="AG204" i="9"/>
  <c r="AD204" i="9" s="1"/>
  <c r="AH203" i="9"/>
  <c r="BA231" i="9"/>
  <c r="C59" i="22"/>
  <c r="B76" i="17"/>
  <c r="AT112" i="10"/>
  <c r="C60" i="11"/>
  <c r="E60" i="11" s="1"/>
  <c r="H60" i="11" s="1"/>
  <c r="G60" i="11" s="1"/>
  <c r="BJ6" i="11"/>
  <c r="D59" i="11"/>
  <c r="F59" i="11" s="1"/>
  <c r="B60" i="11"/>
  <c r="Y232" i="9"/>
  <c r="O233" i="9"/>
  <c r="CF99" i="10"/>
  <c r="CF100" i="10" s="1"/>
  <c r="CF101" i="10" s="1"/>
  <c r="CE100" i="10"/>
  <c r="E100" i="10"/>
  <c r="C101" i="10"/>
  <c r="C102" i="10" s="1"/>
  <c r="T99" i="10" l="1"/>
  <c r="T100" i="10" s="1"/>
  <c r="T101" i="10" s="1"/>
  <c r="S100" i="10"/>
  <c r="M7" i="28"/>
  <c r="U113" i="10"/>
  <c r="V112" i="10" s="1"/>
  <c r="T118" i="10"/>
  <c r="AS101" i="10"/>
  <c r="U58" i="11"/>
  <c r="W58" i="11" s="1"/>
  <c r="Z58" i="11" s="1"/>
  <c r="Y58" i="11" s="1"/>
  <c r="T58" i="11"/>
  <c r="V57" i="11"/>
  <c r="X57" i="11" s="1"/>
  <c r="O84" i="15"/>
  <c r="N83" i="15"/>
  <c r="BY118" i="10"/>
  <c r="BZ117" i="10" s="1"/>
  <c r="BX123" i="10"/>
  <c r="M15" i="28"/>
  <c r="M27" i="28"/>
  <c r="M14" i="28"/>
  <c r="M20" i="28"/>
  <c r="M33" i="28"/>
  <c r="M13" i="28"/>
  <c r="M26" i="28"/>
  <c r="M19" i="28"/>
  <c r="M25" i="28"/>
  <c r="M31" i="28"/>
  <c r="M16" i="28"/>
  <c r="M21" i="28"/>
  <c r="M28" i="28"/>
  <c r="M18" i="28"/>
  <c r="M36" i="28"/>
  <c r="M37" i="28" s="1"/>
  <c r="M29" i="28"/>
  <c r="M23" i="28"/>
  <c r="M22" i="28"/>
  <c r="M11" i="28"/>
  <c r="M24" i="28"/>
  <c r="M12" i="28"/>
  <c r="BX99" i="10"/>
  <c r="BX100" i="10" s="1"/>
  <c r="BX101" i="10" s="1"/>
  <c r="BW100" i="10"/>
  <c r="CO118" i="10"/>
  <c r="CP117" i="10" s="1"/>
  <c r="CN123" i="10"/>
  <c r="N25" i="25"/>
  <c r="O34" i="18"/>
  <c r="N33" i="15"/>
  <c r="N76" i="15" s="1"/>
  <c r="O58" i="15"/>
  <c r="O33" i="15" s="1"/>
  <c r="O76" i="15" s="1"/>
  <c r="N46" i="17"/>
  <c r="N48" i="17" s="1"/>
  <c r="M48" i="17"/>
  <c r="L29" i="28"/>
  <c r="L23" i="28"/>
  <c r="L14" i="28"/>
  <c r="L11" i="28"/>
  <c r="L24" i="28"/>
  <c r="L13" i="28"/>
  <c r="L27" i="28"/>
  <c r="L21" i="28"/>
  <c r="L20" i="28"/>
  <c r="L33" i="28"/>
  <c r="L15" i="28"/>
  <c r="L26" i="28"/>
  <c r="L19" i="28"/>
  <c r="L25" i="28"/>
  <c r="L31" i="28"/>
  <c r="L16" i="28"/>
  <c r="L22" i="28"/>
  <c r="L28" i="28"/>
  <c r="L18" i="28"/>
  <c r="L12" i="28"/>
  <c r="M97" i="10"/>
  <c r="M99" i="10" s="1"/>
  <c r="K99" i="10"/>
  <c r="N26" i="25"/>
  <c r="O35" i="18"/>
  <c r="M96" i="10"/>
  <c r="CZ92" i="10" s="1"/>
  <c r="B83" i="31"/>
  <c r="C13" i="31"/>
  <c r="B80" i="31"/>
  <c r="B7" i="31" s="1"/>
  <c r="B202" i="31"/>
  <c r="O31" i="18"/>
  <c r="N26" i="18"/>
  <c r="N22" i="25"/>
  <c r="N53" i="18"/>
  <c r="J16" i="28"/>
  <c r="J21" i="28"/>
  <c r="J20" i="28"/>
  <c r="J25" i="28"/>
  <c r="J36" i="28"/>
  <c r="J37" i="28" s="1"/>
  <c r="J29" i="28"/>
  <c r="J23" i="28"/>
  <c r="J14" i="28"/>
  <c r="J19" i="28"/>
  <c r="J18" i="28"/>
  <c r="J12" i="28"/>
  <c r="J13" i="28"/>
  <c r="J26" i="28"/>
  <c r="J22" i="28"/>
  <c r="J33" i="28"/>
  <c r="J24" i="28"/>
  <c r="J15" i="28"/>
  <c r="J27" i="28"/>
  <c r="J28" i="28"/>
  <c r="J11" i="28"/>
  <c r="J31" i="28"/>
  <c r="J7" i="28"/>
  <c r="I15" i="28"/>
  <c r="I21" i="28"/>
  <c r="I24" i="28"/>
  <c r="I13" i="28"/>
  <c r="I26" i="28"/>
  <c r="I11" i="28"/>
  <c r="I19" i="28"/>
  <c r="I31" i="28"/>
  <c r="I16" i="28"/>
  <c r="I20" i="28"/>
  <c r="I12" i="28"/>
  <c r="I22" i="28"/>
  <c r="I18" i="28"/>
  <c r="I29" i="28"/>
  <c r="I23" i="28"/>
  <c r="I14" i="28"/>
  <c r="I33" i="28"/>
  <c r="I25" i="28"/>
  <c r="I27" i="28"/>
  <c r="I28" i="28"/>
  <c r="CM100" i="10"/>
  <c r="CN99" i="10"/>
  <c r="CN100" i="10" s="1"/>
  <c r="CN101" i="10" s="1"/>
  <c r="N67" i="14"/>
  <c r="O67" i="14" s="1"/>
  <c r="N21" i="14"/>
  <c r="N55" i="14" s="1"/>
  <c r="H39" i="22" s="1"/>
  <c r="I39" i="22" s="1"/>
  <c r="B16" i="21" s="1"/>
  <c r="O33" i="14"/>
  <c r="N78" i="14"/>
  <c r="R92" i="10"/>
  <c r="CW92" i="10"/>
  <c r="DD89" i="10" s="1"/>
  <c r="C50" i="25"/>
  <c r="C82" i="18"/>
  <c r="C70" i="18"/>
  <c r="C71" i="18"/>
  <c r="C61" i="18" s="1"/>
  <c r="I17" i="28"/>
  <c r="J17" i="28"/>
  <c r="L17" i="28"/>
  <c r="M17" i="28"/>
  <c r="J106" i="13"/>
  <c r="F102" i="13"/>
  <c r="F130" i="13"/>
  <c r="M109" i="13"/>
  <c r="I105" i="13"/>
  <c r="E179" i="13"/>
  <c r="G103" i="13"/>
  <c r="L108" i="13"/>
  <c r="H104" i="13"/>
  <c r="D178" i="13"/>
  <c r="N110" i="13"/>
  <c r="K107" i="13"/>
  <c r="C177" i="13"/>
  <c r="N15" i="17"/>
  <c r="H38" i="22"/>
  <c r="I38" i="22" s="1"/>
  <c r="M113" i="10"/>
  <c r="N112" i="10" s="1"/>
  <c r="L118" i="10"/>
  <c r="DG90" i="10"/>
  <c r="A149" i="9"/>
  <c r="K148" i="9"/>
  <c r="CH117" i="10"/>
  <c r="CG100" i="10"/>
  <c r="CE101" i="10"/>
  <c r="CE102" i="10" s="1"/>
  <c r="Y233" i="9"/>
  <c r="O234" i="9"/>
  <c r="BJ21" i="11"/>
  <c r="BJ7" i="11"/>
  <c r="BJ22" i="11" s="1"/>
  <c r="BI101" i="10"/>
  <c r="AC149" i="9"/>
  <c r="AM148" i="9"/>
  <c r="AZ107" i="10"/>
  <c r="BA147" i="9"/>
  <c r="B189" i="31"/>
  <c r="AL112" i="10"/>
  <c r="CU112" i="10"/>
  <c r="DH90" i="10" s="1"/>
  <c r="H100" i="13" s="1"/>
  <c r="AH119" i="9"/>
  <c r="AG120" i="9"/>
  <c r="AD120" i="9" s="1"/>
  <c r="AT117" i="10"/>
  <c r="AG97" i="10"/>
  <c r="AW97" i="10"/>
  <c r="B15" i="21"/>
  <c r="B187" i="31"/>
  <c r="AY28" i="9"/>
  <c r="J28" i="9"/>
  <c r="AZ28" i="9" s="1"/>
  <c r="O149" i="9"/>
  <c r="Y148" i="9"/>
  <c r="CF128" i="10"/>
  <c r="CG123" i="10"/>
  <c r="Y62" i="9"/>
  <c r="O63" i="9"/>
  <c r="CF102" i="10"/>
  <c r="AE204" i="9"/>
  <c r="AF204" i="9" s="1"/>
  <c r="AJ204" i="9"/>
  <c r="C52" i="25"/>
  <c r="AK100" i="10"/>
  <c r="AI101" i="10"/>
  <c r="AI102" i="10" s="1"/>
  <c r="K108" i="13"/>
  <c r="F103" i="13"/>
  <c r="F114" i="13" s="1"/>
  <c r="F109" i="18" s="1"/>
  <c r="N111" i="13"/>
  <c r="I106" i="13"/>
  <c r="H105" i="13"/>
  <c r="D179" i="13"/>
  <c r="L109" i="13"/>
  <c r="J107" i="13"/>
  <c r="E102" i="13"/>
  <c r="E114" i="13" s="1"/>
  <c r="E109" i="18" s="1"/>
  <c r="G104" i="13"/>
  <c r="C178" i="13"/>
  <c r="M110" i="13"/>
  <c r="E130" i="13"/>
  <c r="BK6" i="11"/>
  <c r="D60" i="11"/>
  <c r="F60" i="11" s="1"/>
  <c r="C61" i="11"/>
  <c r="E61" i="11" s="1"/>
  <c r="H61" i="11" s="1"/>
  <c r="G61" i="11" s="1"/>
  <c r="B61" i="11"/>
  <c r="AK31" i="9"/>
  <c r="AL31" i="9" s="1"/>
  <c r="AN31" i="9"/>
  <c r="AI32" i="9"/>
  <c r="A63" i="9"/>
  <c r="K62" i="9"/>
  <c r="AZ138" i="10"/>
  <c r="BA133" i="10"/>
  <c r="C68" i="25"/>
  <c r="BQ100" i="10"/>
  <c r="BO101" i="10"/>
  <c r="BO102" i="10" s="1"/>
  <c r="AB128" i="10"/>
  <c r="AC123" i="10"/>
  <c r="BR112" i="10"/>
  <c r="CV112" i="10" s="1"/>
  <c r="DH95" i="10" s="1"/>
  <c r="G109" i="17" s="1"/>
  <c r="AJ102" i="10"/>
  <c r="AC102" i="10"/>
  <c r="AC104" i="10" s="1"/>
  <c r="AA104" i="10"/>
  <c r="AS102" i="10"/>
  <c r="AS104" i="10" s="1"/>
  <c r="AQ104" i="10"/>
  <c r="BB28" i="9"/>
  <c r="F28" i="9"/>
  <c r="AV28" i="9" s="1"/>
  <c r="E29" i="9"/>
  <c r="C82" i="13"/>
  <c r="C99" i="18" s="1"/>
  <c r="Q70" i="13"/>
  <c r="Q82" i="13" s="1"/>
  <c r="BJ122" i="10"/>
  <c r="D56" i="18"/>
  <c r="C104" i="10"/>
  <c r="E102" i="10"/>
  <c r="E104" i="10" s="1"/>
  <c r="BA61" i="9"/>
  <c r="BN58" i="9" s="1"/>
  <c r="BB127" i="10"/>
  <c r="BG104" i="10"/>
  <c r="BI102" i="10"/>
  <c r="BI104" i="10" s="1"/>
  <c r="BB200" i="9"/>
  <c r="F200" i="9"/>
  <c r="AV200" i="9" s="1"/>
  <c r="E201" i="9"/>
  <c r="D68" i="13"/>
  <c r="AD117" i="10"/>
  <c r="AU115" i="9"/>
  <c r="B115" i="9"/>
  <c r="AR128" i="10"/>
  <c r="AS123" i="10"/>
  <c r="T204" i="9"/>
  <c r="S205" i="9"/>
  <c r="P205" i="9" s="1"/>
  <c r="CE14" i="9"/>
  <c r="BK25" i="9"/>
  <c r="B75" i="17"/>
  <c r="C53" i="22"/>
  <c r="I97" i="10"/>
  <c r="CX92" i="10"/>
  <c r="T118" i="9"/>
  <c r="S119" i="9"/>
  <c r="P119" i="9" s="1"/>
  <c r="K234" i="9"/>
  <c r="A235" i="9"/>
  <c r="BA105" i="10"/>
  <c r="AY106" i="10"/>
  <c r="AY107" i="10" s="1"/>
  <c r="BP102" i="10"/>
  <c r="BQ101" i="10"/>
  <c r="E101" i="10"/>
  <c r="Q31" i="9"/>
  <c r="R31" i="9" s="1"/>
  <c r="V31" i="9"/>
  <c r="BM97" i="10"/>
  <c r="AY200" i="9"/>
  <c r="J200" i="9"/>
  <c r="AZ200" i="9" s="1"/>
  <c r="AJ123" i="10"/>
  <c r="AK118" i="10"/>
  <c r="D68" i="25"/>
  <c r="BA232" i="9"/>
  <c r="BQ118" i="10"/>
  <c r="BP123" i="10"/>
  <c r="AC65" i="9"/>
  <c r="AM64" i="9"/>
  <c r="M58" i="17"/>
  <c r="C79" i="17"/>
  <c r="D113" i="18"/>
  <c r="AW29" i="9"/>
  <c r="M58" i="11"/>
  <c r="O58" i="11" s="1"/>
  <c r="K59" i="11"/>
  <c r="L59" i="11"/>
  <c r="N59" i="11" s="1"/>
  <c r="Q59" i="11" s="1"/>
  <c r="P59" i="11" s="1"/>
  <c r="D109" i="17"/>
  <c r="AM233" i="9"/>
  <c r="AC234" i="9"/>
  <c r="BH133" i="10"/>
  <c r="BI128" i="10"/>
  <c r="T123" i="10" l="1"/>
  <c r="U118" i="10"/>
  <c r="V117" i="10" s="1"/>
  <c r="U100" i="10"/>
  <c r="Y97" i="10" s="1"/>
  <c r="S101" i="10"/>
  <c r="S102" i="10" s="1"/>
  <c r="U101" i="10"/>
  <c r="T102" i="10"/>
  <c r="AK101" i="10"/>
  <c r="M118" i="10"/>
  <c r="N117" i="10" s="1"/>
  <c r="L123" i="10"/>
  <c r="O21" i="14"/>
  <c r="O55" i="14" s="1"/>
  <c r="B6" i="29"/>
  <c r="B203" i="31" s="1"/>
  <c r="B204" i="31" s="1"/>
  <c r="CO100" i="10"/>
  <c r="CS97" i="10" s="1"/>
  <c r="CT97" i="10" s="1"/>
  <c r="CM101" i="10"/>
  <c r="CM102" i="10" s="1"/>
  <c r="O26" i="25"/>
  <c r="B21" i="23"/>
  <c r="BX128" i="10"/>
  <c r="BY123" i="10"/>
  <c r="BZ122" i="10" s="1"/>
  <c r="N17" i="25"/>
  <c r="O26" i="18"/>
  <c r="M49" i="17"/>
  <c r="M50" i="17"/>
  <c r="B20" i="23"/>
  <c r="O25" i="25"/>
  <c r="BY100" i="10"/>
  <c r="CC97" i="10" s="1"/>
  <c r="CD97" i="10" s="1"/>
  <c r="BW101" i="10"/>
  <c r="BW102" i="10" s="1"/>
  <c r="U59" i="11"/>
  <c r="W59" i="11" s="1"/>
  <c r="Z59" i="11" s="1"/>
  <c r="Y59" i="11" s="1"/>
  <c r="V58" i="11"/>
  <c r="X58" i="11" s="1"/>
  <c r="T59" i="11"/>
  <c r="CG101" i="10"/>
  <c r="E76" i="17"/>
  <c r="F59" i="22"/>
  <c r="C60" i="18"/>
  <c r="C73" i="18"/>
  <c r="O22" i="25"/>
  <c r="B17" i="23"/>
  <c r="N53" i="17"/>
  <c r="N54" i="17"/>
  <c r="B117" i="17" s="1"/>
  <c r="BY101" i="10"/>
  <c r="BX102" i="10"/>
  <c r="O83" i="15"/>
  <c r="N95" i="15"/>
  <c r="O95" i="15" s="1"/>
  <c r="B19" i="2" s="1"/>
  <c r="C9" i="22"/>
  <c r="C10" i="22" s="1"/>
  <c r="B7" i="27" s="1"/>
  <c r="C83" i="18"/>
  <c r="C84" i="18" s="1"/>
  <c r="D16" i="18" s="1"/>
  <c r="N41" i="18"/>
  <c r="O78" i="14"/>
  <c r="CN102" i="10"/>
  <c r="CO101" i="10"/>
  <c r="M52" i="17"/>
  <c r="N52" i="17" s="1"/>
  <c r="O53" i="18"/>
  <c r="N44" i="25"/>
  <c r="DA92" i="10"/>
  <c r="DD91" i="10" s="1"/>
  <c r="D60" i="22" s="1"/>
  <c r="CY97" i="10"/>
  <c r="L99" i="10"/>
  <c r="L100" i="10" s="1"/>
  <c r="L101" i="10" s="1"/>
  <c r="K100" i="10"/>
  <c r="CN128" i="10"/>
  <c r="CO123" i="10"/>
  <c r="CP122" i="10" s="1"/>
  <c r="K60" i="11"/>
  <c r="L60" i="11"/>
  <c r="N60" i="11" s="1"/>
  <c r="Q60" i="11" s="1"/>
  <c r="P60" i="11" s="1"/>
  <c r="M59" i="11"/>
  <c r="O59" i="11" s="1"/>
  <c r="AJ128" i="10"/>
  <c r="AK123" i="10"/>
  <c r="B82" i="17"/>
  <c r="C143" i="14"/>
  <c r="C159" i="15"/>
  <c r="C142" i="14"/>
  <c r="C157" i="15"/>
  <c r="B85" i="17"/>
  <c r="C156" i="15"/>
  <c r="B86" i="17"/>
  <c r="C160" i="15"/>
  <c r="C139" i="14"/>
  <c r="C140" i="14"/>
  <c r="C138" i="14"/>
  <c r="C136" i="14"/>
  <c r="C137" i="14"/>
  <c r="C144" i="14"/>
  <c r="C141" i="14"/>
  <c r="C158" i="15"/>
  <c r="C135" i="14"/>
  <c r="C105" i="10"/>
  <c r="D104" i="10"/>
  <c r="D105" i="10" s="1"/>
  <c r="D106" i="10" s="1"/>
  <c r="BJ127" i="10"/>
  <c r="DD92" i="10"/>
  <c r="AQ105" i="10"/>
  <c r="AR104" i="10"/>
  <c r="AR105" i="10" s="1"/>
  <c r="AR106" i="10" s="1"/>
  <c r="C4" i="3"/>
  <c r="D4" i="3" s="1"/>
  <c r="B57" i="17"/>
  <c r="CF133" i="10"/>
  <c r="CG128" i="10"/>
  <c r="AM149" i="9"/>
  <c r="AC150" i="9"/>
  <c r="G100" i="13"/>
  <c r="B35" i="2"/>
  <c r="D58" i="26"/>
  <c r="B155" i="31" s="1"/>
  <c r="BH138" i="10"/>
  <c r="BI133" i="10"/>
  <c r="BI26" i="9"/>
  <c r="BJ26" i="9" s="1"/>
  <c r="CF13" i="9"/>
  <c r="BP128" i="10"/>
  <c r="BQ123" i="10"/>
  <c r="BA107" i="10"/>
  <c r="BA109" i="10" s="1"/>
  <c r="AY109" i="10"/>
  <c r="J97" i="10"/>
  <c r="AR133" i="10"/>
  <c r="AS128" i="10"/>
  <c r="B201" i="9"/>
  <c r="AU201" i="9"/>
  <c r="C98" i="18"/>
  <c r="C59" i="25"/>
  <c r="AD122" i="10"/>
  <c r="BB132" i="10"/>
  <c r="BK21" i="11"/>
  <c r="BK7" i="11"/>
  <c r="BK22" i="11" s="1"/>
  <c r="D76" i="17"/>
  <c r="E59" i="22"/>
  <c r="E108" i="18"/>
  <c r="E69" i="25"/>
  <c r="O64" i="9"/>
  <c r="Y63" i="9"/>
  <c r="BL25" i="9"/>
  <c r="CE16" i="9"/>
  <c r="AX97" i="10"/>
  <c r="AH97" i="10"/>
  <c r="Z97" i="10"/>
  <c r="BA106" i="10"/>
  <c r="CE104" i="10"/>
  <c r="CG102" i="10"/>
  <c r="CG104" i="10" s="1"/>
  <c r="BA148" i="9"/>
  <c r="BN97" i="10"/>
  <c r="BE102" i="10"/>
  <c r="B29" i="9"/>
  <c r="AU29" i="9"/>
  <c r="AA105" i="10"/>
  <c r="AB104" i="10"/>
  <c r="AB105" i="10" s="1"/>
  <c r="AB106" i="10" s="1"/>
  <c r="BA62" i="9"/>
  <c r="BN59" i="9" s="1"/>
  <c r="CH122" i="10"/>
  <c r="Y234" i="9"/>
  <c r="O235" i="9"/>
  <c r="CK97" i="10"/>
  <c r="AC66" i="9"/>
  <c r="AM65" i="9"/>
  <c r="U32" i="9"/>
  <c r="Z31" i="9"/>
  <c r="W31" i="9"/>
  <c r="X31" i="9" s="1"/>
  <c r="A236" i="9"/>
  <c r="K235" i="9"/>
  <c r="AT122" i="10"/>
  <c r="I75" i="13"/>
  <c r="W75" i="13" s="1"/>
  <c r="F72" i="13"/>
  <c r="T72" i="13" s="1"/>
  <c r="L78" i="13"/>
  <c r="Z78" i="13" s="1"/>
  <c r="G73" i="13"/>
  <c r="U73" i="13" s="1"/>
  <c r="M79" i="13"/>
  <c r="AA79" i="13" s="1"/>
  <c r="K77" i="13"/>
  <c r="Y77" i="13" s="1"/>
  <c r="N80" i="13"/>
  <c r="AB80" i="13" s="1"/>
  <c r="D70" i="13"/>
  <c r="E71" i="13"/>
  <c r="S71" i="13" s="1"/>
  <c r="J76" i="13"/>
  <c r="X76" i="13" s="1"/>
  <c r="C147" i="13"/>
  <c r="H74" i="13"/>
  <c r="V74" i="13" s="1"/>
  <c r="D98" i="13"/>
  <c r="D47" i="25"/>
  <c r="BU97" i="10"/>
  <c r="A64" i="9"/>
  <c r="K63" i="9"/>
  <c r="F108" i="18"/>
  <c r="F69" i="25"/>
  <c r="AO97" i="10"/>
  <c r="AN204" i="9"/>
  <c r="AI205" i="9"/>
  <c r="AK204" i="9"/>
  <c r="AL204" i="9" s="1"/>
  <c r="BM25" i="9"/>
  <c r="CE17" i="9"/>
  <c r="AJ120" i="9"/>
  <c r="AE120" i="9"/>
  <c r="AF120" i="9" s="1"/>
  <c r="C175" i="13"/>
  <c r="D176" i="13"/>
  <c r="M107" i="13"/>
  <c r="G179" i="13"/>
  <c r="I103" i="13"/>
  <c r="F178" i="13"/>
  <c r="K105" i="13"/>
  <c r="E177" i="13"/>
  <c r="L106" i="13"/>
  <c r="H102" i="13"/>
  <c r="N108" i="13"/>
  <c r="J104" i="13"/>
  <c r="H130" i="13"/>
  <c r="AC235" i="9"/>
  <c r="AM234" i="9"/>
  <c r="D73" i="25"/>
  <c r="BR117" i="10"/>
  <c r="CV117" i="10" s="1"/>
  <c r="AL117" i="10"/>
  <c r="CU117" i="10"/>
  <c r="Q119" i="9"/>
  <c r="R119" i="9" s="1"/>
  <c r="V119" i="9"/>
  <c r="C66" i="22"/>
  <c r="V205" i="9"/>
  <c r="Q205" i="9"/>
  <c r="R205" i="9" s="1"/>
  <c r="H115" i="9"/>
  <c r="AR115" i="9"/>
  <c r="C115" i="9"/>
  <c r="BH104" i="10"/>
  <c r="BH105" i="10" s="1"/>
  <c r="BH106" i="10" s="1"/>
  <c r="BG105" i="10"/>
  <c r="AC128" i="10"/>
  <c r="AB133" i="10"/>
  <c r="BO104" i="10"/>
  <c r="BQ102" i="10"/>
  <c r="BQ104" i="10" s="1"/>
  <c r="AZ143" i="10"/>
  <c r="BA143" i="10" s="1"/>
  <c r="BA138" i="10"/>
  <c r="AG32" i="9"/>
  <c r="AD32" i="9" s="1"/>
  <c r="AH31" i="9"/>
  <c r="B62" i="11"/>
  <c r="D61" i="11"/>
  <c r="F61" i="11" s="1"/>
  <c r="BL6" i="11"/>
  <c r="C62" i="11"/>
  <c r="E62" i="11" s="1"/>
  <c r="H62" i="11" s="1"/>
  <c r="G62" i="11" s="1"/>
  <c r="AK102" i="10"/>
  <c r="AK104" i="10" s="1"/>
  <c r="AI104" i="10"/>
  <c r="O150" i="9"/>
  <c r="Y149" i="9"/>
  <c r="BA233" i="9"/>
  <c r="K149" i="9"/>
  <c r="A150" i="9"/>
  <c r="U102" i="10" l="1"/>
  <c r="U104" i="10" s="1"/>
  <c r="S104" i="10"/>
  <c r="T128" i="10"/>
  <c r="U123" i="10"/>
  <c r="V122" i="10" s="1"/>
  <c r="D19" i="18"/>
  <c r="D8" i="25"/>
  <c r="C14" i="22"/>
  <c r="O41" i="18"/>
  <c r="N32" i="25"/>
  <c r="N39" i="18"/>
  <c r="BY102" i="10"/>
  <c r="BY104" i="10" s="1"/>
  <c r="BW104" i="10"/>
  <c r="CO102" i="10"/>
  <c r="CO104" i="10" s="1"/>
  <c r="CM104" i="10"/>
  <c r="M123" i="10"/>
  <c r="N122" i="10" s="1"/>
  <c r="L128" i="10"/>
  <c r="CN133" i="10"/>
  <c r="CO128" i="10"/>
  <c r="CP127" i="10" s="1"/>
  <c r="D62" i="26"/>
  <c r="B159" i="31" s="1"/>
  <c r="C143" i="18"/>
  <c r="C103" i="25" s="1"/>
  <c r="C51" i="25"/>
  <c r="C62" i="18"/>
  <c r="C53" i="25" s="1"/>
  <c r="U60" i="11"/>
  <c r="W60" i="11" s="1"/>
  <c r="Z60" i="11" s="1"/>
  <c r="Y60" i="11" s="1"/>
  <c r="T60" i="11"/>
  <c r="V59" i="11"/>
  <c r="X59" i="11" s="1"/>
  <c r="BX133" i="10"/>
  <c r="BY128" i="10"/>
  <c r="M100" i="10"/>
  <c r="Q97" i="10" s="1"/>
  <c r="R97" i="10" s="1"/>
  <c r="K101" i="10"/>
  <c r="K102" i="10" s="1"/>
  <c r="O17" i="25"/>
  <c r="B12" i="23"/>
  <c r="L102" i="10"/>
  <c r="B39" i="23"/>
  <c r="B5" i="2"/>
  <c r="O44" i="25"/>
  <c r="K4" i="3"/>
  <c r="L4" i="3" s="1"/>
  <c r="DI95" i="10"/>
  <c r="BO105" i="10"/>
  <c r="BP104" i="10"/>
  <c r="BP105" i="10" s="1"/>
  <c r="BP106" i="10" s="1"/>
  <c r="DI90" i="10"/>
  <c r="H59" i="22"/>
  <c r="G76" i="17"/>
  <c r="F68" i="25"/>
  <c r="CF12" i="9"/>
  <c r="BG26" i="9"/>
  <c r="BH26" i="9" s="1"/>
  <c r="AR201" i="9"/>
  <c r="H201" i="9"/>
  <c r="C201" i="9"/>
  <c r="AY110" i="10"/>
  <c r="AZ109" i="10"/>
  <c r="AZ110" i="10" s="1"/>
  <c r="AZ111" i="10" s="1"/>
  <c r="AR107" i="10"/>
  <c r="E105" i="10"/>
  <c r="C106" i="10"/>
  <c r="C107" i="10" s="1"/>
  <c r="C184" i="15"/>
  <c r="AL122" i="10"/>
  <c r="BL21" i="11"/>
  <c r="H52" i="26" s="1"/>
  <c r="BL7" i="11"/>
  <c r="BL22" i="11" s="1"/>
  <c r="AB138" i="10"/>
  <c r="AC133" i="10"/>
  <c r="D115" i="9"/>
  <c r="AT115" i="9" s="1"/>
  <c r="AS115" i="9"/>
  <c r="Z119" i="9"/>
  <c r="W119" i="9"/>
  <c r="X119" i="9" s="1"/>
  <c r="U120" i="9"/>
  <c r="BA63" i="9"/>
  <c r="BN60" i="9" s="1"/>
  <c r="K236" i="9"/>
  <c r="A237" i="9"/>
  <c r="CL97" i="10"/>
  <c r="AT127" i="10"/>
  <c r="C134" i="14"/>
  <c r="K150" i="9"/>
  <c r="A151" i="9"/>
  <c r="O151" i="9"/>
  <c r="Y150" i="9"/>
  <c r="AI105" i="10"/>
  <c r="AJ104" i="10"/>
  <c r="AJ105" i="10" s="1"/>
  <c r="AJ106" i="10" s="1"/>
  <c r="BB137" i="10"/>
  <c r="BA148" i="10"/>
  <c r="AD127" i="10"/>
  <c r="AC236" i="9"/>
  <c r="AM235" i="9"/>
  <c r="AK120" i="9"/>
  <c r="AL120" i="9" s="1"/>
  <c r="AN120" i="9"/>
  <c r="AI121" i="9"/>
  <c r="A65" i="9"/>
  <c r="K64" i="9"/>
  <c r="AC67" i="9"/>
  <c r="AM66" i="9"/>
  <c r="O236" i="9"/>
  <c r="Y235" i="9"/>
  <c r="AB107" i="10"/>
  <c r="AR138" i="10"/>
  <c r="AS133" i="10"/>
  <c r="AM150" i="9"/>
  <c r="AC151" i="9"/>
  <c r="CH127" i="10"/>
  <c r="B12" i="27"/>
  <c r="C183" i="15"/>
  <c r="C185" i="15"/>
  <c r="C182" i="15"/>
  <c r="L61" i="11"/>
  <c r="N61" i="11" s="1"/>
  <c r="Q61" i="11" s="1"/>
  <c r="P61" i="11" s="1"/>
  <c r="M60" i="11"/>
  <c r="O60" i="11" s="1"/>
  <c r="K61" i="11"/>
  <c r="BH107" i="10"/>
  <c r="BV97" i="10"/>
  <c r="D53" i="22"/>
  <c r="C75" i="17"/>
  <c r="BF102" i="10"/>
  <c r="CF104" i="10"/>
  <c r="CF105" i="10" s="1"/>
  <c r="CF106" i="10" s="1"/>
  <c r="CE105" i="10"/>
  <c r="O65" i="9"/>
  <c r="Y64" i="9"/>
  <c r="E68" i="25"/>
  <c r="CW97" i="10"/>
  <c r="BP133" i="10"/>
  <c r="BQ128" i="10"/>
  <c r="BJ132" i="10"/>
  <c r="M108" i="13"/>
  <c r="K106" i="13"/>
  <c r="L107" i="13"/>
  <c r="E178" i="13"/>
  <c r="D177" i="13"/>
  <c r="C176" i="13"/>
  <c r="I104" i="13"/>
  <c r="F179" i="13"/>
  <c r="J105" i="13"/>
  <c r="G130" i="13"/>
  <c r="G102" i="13"/>
  <c r="G114" i="13" s="1"/>
  <c r="G109" i="18" s="1"/>
  <c r="N109" i="13"/>
  <c r="H103" i="13"/>
  <c r="H114" i="13" s="1"/>
  <c r="H109" i="18" s="1"/>
  <c r="C155" i="15"/>
  <c r="C181" i="15"/>
  <c r="AE32" i="9"/>
  <c r="AF32" i="9" s="1"/>
  <c r="AJ32" i="9"/>
  <c r="Z205" i="9"/>
  <c r="W205" i="9"/>
  <c r="X205" i="9" s="1"/>
  <c r="U206" i="9"/>
  <c r="AP97" i="10"/>
  <c r="R70" i="13"/>
  <c r="R82" i="13" s="1"/>
  <c r="D82" i="13"/>
  <c r="D99" i="18" s="1"/>
  <c r="AR29" i="9"/>
  <c r="C29" i="9"/>
  <c r="H29" i="9"/>
  <c r="C58" i="25"/>
  <c r="BH143" i="10"/>
  <c r="BI143" i="10" s="1"/>
  <c r="BI138" i="10"/>
  <c r="AS105" i="10"/>
  <c r="AQ106" i="10"/>
  <c r="AQ107" i="10" s="1"/>
  <c r="C119" i="18"/>
  <c r="AJ133" i="10"/>
  <c r="AK128" i="10"/>
  <c r="BA149" i="9"/>
  <c r="C63" i="11"/>
  <c r="E63" i="11" s="1"/>
  <c r="H63" i="11" s="1"/>
  <c r="G63" i="11" s="1"/>
  <c r="B63" i="11"/>
  <c r="D62" i="11"/>
  <c r="F62" i="11" s="1"/>
  <c r="BB142" i="10"/>
  <c r="BB147" i="10" s="1"/>
  <c r="BI105" i="10"/>
  <c r="BG106" i="10"/>
  <c r="BG107" i="10" s="1"/>
  <c r="AX115" i="9"/>
  <c r="I115" i="9"/>
  <c r="L115" i="9"/>
  <c r="G116" i="9"/>
  <c r="AW116" i="9" s="1"/>
  <c r="CE18" i="9"/>
  <c r="AH204" i="9"/>
  <c r="AG205" i="9"/>
  <c r="AD205" i="9" s="1"/>
  <c r="S32" i="9"/>
  <c r="P32" i="9" s="1"/>
  <c r="T31" i="9"/>
  <c r="AC105" i="10"/>
  <c r="AA106" i="10"/>
  <c r="AA107" i="10" s="1"/>
  <c r="CU122" i="10"/>
  <c r="DJ90" i="10" s="1"/>
  <c r="J100" i="13" s="1"/>
  <c r="BA234" i="9"/>
  <c r="BR122" i="10"/>
  <c r="CV122" i="10" s="1"/>
  <c r="DJ95" i="10" s="1"/>
  <c r="I109" i="17" s="1"/>
  <c r="I5" i="3"/>
  <c r="D57" i="18"/>
  <c r="D11" i="25"/>
  <c r="CG133" i="10"/>
  <c r="CF138" i="10"/>
  <c r="C17" i="22"/>
  <c r="C108" i="17"/>
  <c r="D107" i="10"/>
  <c r="E106" i="10"/>
  <c r="C120" i="18"/>
  <c r="C116" i="18"/>
  <c r="B110" i="17"/>
  <c r="B77" i="17"/>
  <c r="T133" i="10" l="1"/>
  <c r="U128" i="10"/>
  <c r="V127" i="10" s="1"/>
  <c r="T104" i="10"/>
  <c r="T105" i="10" s="1"/>
  <c r="T106" i="10" s="1"/>
  <c r="T107" i="10" s="1"/>
  <c r="S105" i="10"/>
  <c r="M101" i="10"/>
  <c r="CZ97" i="10" s="1"/>
  <c r="BA235" i="9"/>
  <c r="BX138" i="10"/>
  <c r="BY133" i="10"/>
  <c r="BZ132" i="10" s="1"/>
  <c r="BX104" i="10"/>
  <c r="BX105" i="10" s="1"/>
  <c r="BX106" i="10" s="1"/>
  <c r="BW105" i="10"/>
  <c r="O32" i="25"/>
  <c r="B27" i="23"/>
  <c r="K104" i="10"/>
  <c r="M102" i="10"/>
  <c r="M104" i="10" s="1"/>
  <c r="CN138" i="10"/>
  <c r="CO133" i="10"/>
  <c r="CM105" i="10"/>
  <c r="CN104" i="10"/>
  <c r="CN105" i="10" s="1"/>
  <c r="CN106" i="10" s="1"/>
  <c r="V60" i="11"/>
  <c r="X60" i="11" s="1"/>
  <c r="T61" i="11"/>
  <c r="U61" i="11"/>
  <c r="W61" i="11" s="1"/>
  <c r="Z61" i="11" s="1"/>
  <c r="Y61" i="11" s="1"/>
  <c r="M128" i="10"/>
  <c r="L133" i="10"/>
  <c r="O39" i="18"/>
  <c r="N30" i="25"/>
  <c r="N38" i="18"/>
  <c r="BZ127" i="10"/>
  <c r="H69" i="25"/>
  <c r="H108" i="18"/>
  <c r="CH132" i="10"/>
  <c r="AG102" i="10"/>
  <c r="AE205" i="9"/>
  <c r="AF205" i="9" s="1"/>
  <c r="AJ205" i="9"/>
  <c r="AJ138" i="10"/>
  <c r="AK133" i="10"/>
  <c r="Y236" i="9"/>
  <c r="O237" i="9"/>
  <c r="AD132" i="10"/>
  <c r="BA110" i="10"/>
  <c r="AY111" i="10"/>
  <c r="AY112" i="10" s="1"/>
  <c r="I100" i="13"/>
  <c r="BJ137" i="10"/>
  <c r="I29" i="9"/>
  <c r="G30" i="9"/>
  <c r="AX29" i="9"/>
  <c r="L29" i="9"/>
  <c r="CF107" i="10"/>
  <c r="C82" i="17"/>
  <c r="D159" i="15"/>
  <c r="D142" i="14"/>
  <c r="D143" i="14"/>
  <c r="D157" i="15"/>
  <c r="C85" i="17"/>
  <c r="D137" i="14"/>
  <c r="D160" i="15"/>
  <c r="D138" i="14"/>
  <c r="D136" i="14"/>
  <c r="D156" i="15"/>
  <c r="D140" i="14"/>
  <c r="D141" i="14"/>
  <c r="C86" i="17"/>
  <c r="D139" i="14"/>
  <c r="D144" i="14"/>
  <c r="D135" i="14"/>
  <c r="D158" i="15"/>
  <c r="C191" i="15"/>
  <c r="AM236" i="9"/>
  <c r="AC237" i="9"/>
  <c r="BD147" i="10"/>
  <c r="AK105" i="10"/>
  <c r="AI106" i="10"/>
  <c r="AI107" i="10" s="1"/>
  <c r="C168" i="14"/>
  <c r="C179" i="14"/>
  <c r="C122" i="14"/>
  <c r="C156" i="14" s="1"/>
  <c r="CX97" i="10"/>
  <c r="T119" i="9"/>
  <c r="S120" i="9"/>
  <c r="P120" i="9" s="1"/>
  <c r="AB143" i="10"/>
  <c r="AC143" i="10" s="1"/>
  <c r="AC138" i="10"/>
  <c r="D149" i="31"/>
  <c r="D148" i="31" s="1"/>
  <c r="D171" i="31" s="1"/>
  <c r="D63" i="31" s="1"/>
  <c r="H51" i="26"/>
  <c r="AC107" i="10"/>
  <c r="AC109" i="10" s="1"/>
  <c r="AA109" i="10"/>
  <c r="BG109" i="10"/>
  <c r="BI107" i="10"/>
  <c r="BI109" i="10" s="1"/>
  <c r="C79" i="25"/>
  <c r="BJ142" i="10"/>
  <c r="AS29" i="9"/>
  <c r="D29" i="9"/>
  <c r="AT29" i="9" s="1"/>
  <c r="C130" i="15"/>
  <c r="C173" i="15" s="1"/>
  <c r="DE89" i="10"/>
  <c r="D66" i="22"/>
  <c r="BI106" i="10"/>
  <c r="AT132" i="10"/>
  <c r="AC106" i="10"/>
  <c r="AC68" i="9"/>
  <c r="AM67" i="9"/>
  <c r="AG121" i="9"/>
  <c r="AD121" i="9" s="1"/>
  <c r="AH120" i="9"/>
  <c r="AC148" i="10"/>
  <c r="K151" i="9"/>
  <c r="A152" i="9"/>
  <c r="A238" i="9"/>
  <c r="K237" i="9"/>
  <c r="AS106" i="10"/>
  <c r="L201" i="9"/>
  <c r="G202" i="9"/>
  <c r="AW202" i="9" s="1"/>
  <c r="AX201" i="9"/>
  <c r="I201" i="9"/>
  <c r="BQ105" i="10"/>
  <c r="BO106" i="10"/>
  <c r="BO107" i="10" s="1"/>
  <c r="C80" i="25"/>
  <c r="AY115" i="9"/>
  <c r="J115" i="9"/>
  <c r="AZ115" i="9" s="1"/>
  <c r="BM102" i="10"/>
  <c r="C180" i="15"/>
  <c r="C187" i="15"/>
  <c r="G59" i="22"/>
  <c r="F76" i="17"/>
  <c r="BR127" i="10"/>
  <c r="CG105" i="10"/>
  <c r="CE106" i="10"/>
  <c r="CE107" i="10" s="1"/>
  <c r="C189" i="15"/>
  <c r="AC152" i="9"/>
  <c r="AM151" i="9"/>
  <c r="A66" i="9"/>
  <c r="K65" i="9"/>
  <c r="AK106" i="10"/>
  <c r="AJ107" i="10"/>
  <c r="C190" i="15"/>
  <c r="H109" i="17"/>
  <c r="C76" i="25"/>
  <c r="C111" i="18"/>
  <c r="C20" i="22"/>
  <c r="M105" i="13"/>
  <c r="I179" i="13"/>
  <c r="N106" i="13"/>
  <c r="K103" i="13"/>
  <c r="G177" i="13"/>
  <c r="J102" i="13"/>
  <c r="J130" i="13"/>
  <c r="E175" i="13"/>
  <c r="C173" i="13"/>
  <c r="F176" i="13"/>
  <c r="L104" i="13"/>
  <c r="D174" i="13"/>
  <c r="H178" i="13"/>
  <c r="C64" i="11"/>
  <c r="E64" i="11" s="1"/>
  <c r="H64" i="11" s="1"/>
  <c r="G64" i="11" s="1"/>
  <c r="B64" i="11"/>
  <c r="D63" i="11"/>
  <c r="F63" i="11" s="1"/>
  <c r="AS107" i="10"/>
  <c r="AS109" i="10" s="1"/>
  <c r="AQ109" i="10"/>
  <c r="D59" i="25"/>
  <c r="D98" i="18"/>
  <c r="AK32" i="9"/>
  <c r="AL32" i="9" s="1"/>
  <c r="AI33" i="9"/>
  <c r="AN32" i="9"/>
  <c r="BP138" i="10"/>
  <c r="BQ133" i="10"/>
  <c r="I102" i="10"/>
  <c r="D201" i="9"/>
  <c r="AT201" i="9" s="1"/>
  <c r="AS201" i="9"/>
  <c r="C62" i="22"/>
  <c r="CF143" i="10"/>
  <c r="CG143" i="10" s="1"/>
  <c r="CG138" i="10"/>
  <c r="D48" i="25"/>
  <c r="D59" i="18"/>
  <c r="V32" i="9"/>
  <c r="Q32" i="9"/>
  <c r="R32" i="9" s="1"/>
  <c r="F115" i="9"/>
  <c r="AV115" i="9" s="1"/>
  <c r="E116" i="9"/>
  <c r="BB115" i="9"/>
  <c r="AL127" i="10"/>
  <c r="CU127" i="10"/>
  <c r="DK90" i="10" s="1"/>
  <c r="K100" i="13" s="1"/>
  <c r="AW102" i="10"/>
  <c r="S206" i="9"/>
  <c r="P206" i="9" s="1"/>
  <c r="T205" i="9"/>
  <c r="G69" i="25"/>
  <c r="G108" i="18"/>
  <c r="O66" i="9"/>
  <c r="Y65" i="9"/>
  <c r="L62" i="11"/>
  <c r="N62" i="11" s="1"/>
  <c r="Q62" i="11" s="1"/>
  <c r="P62" i="11" s="1"/>
  <c r="M61" i="11"/>
  <c r="O61" i="11" s="1"/>
  <c r="K62" i="11"/>
  <c r="C188" i="15"/>
  <c r="AR143" i="10"/>
  <c r="AS143" i="10" s="1"/>
  <c r="AS138" i="10"/>
  <c r="AS148" i="10" s="1"/>
  <c r="BA64" i="9"/>
  <c r="BN61" i="9" s="1"/>
  <c r="O152" i="9"/>
  <c r="Y151" i="9"/>
  <c r="BA150" i="9"/>
  <c r="BA236" i="9"/>
  <c r="C109" i="10"/>
  <c r="E107" i="10"/>
  <c r="E109" i="10" s="1"/>
  <c r="AZ112" i="10"/>
  <c r="BA111" i="10"/>
  <c r="BQ106" i="10"/>
  <c r="BP107" i="10"/>
  <c r="BI148" i="10"/>
  <c r="CY102" i="10" l="1"/>
  <c r="DA97" i="10"/>
  <c r="DE91" i="10" s="1"/>
  <c r="E60" i="22" s="1"/>
  <c r="U105" i="10"/>
  <c r="Y102" i="10" s="1"/>
  <c r="S106" i="10"/>
  <c r="C63" i="22"/>
  <c r="T138" i="10"/>
  <c r="U133" i="10"/>
  <c r="B25" i="23"/>
  <c r="O30" i="25"/>
  <c r="V61" i="11"/>
  <c r="X61" i="11" s="1"/>
  <c r="U62" i="11"/>
  <c r="W62" i="11" s="1"/>
  <c r="Z62" i="11" s="1"/>
  <c r="Y62" i="11" s="1"/>
  <c r="T62" i="11"/>
  <c r="CP132" i="10"/>
  <c r="K105" i="10"/>
  <c r="L104" i="10"/>
  <c r="L105" i="10" s="1"/>
  <c r="L106" i="10" s="1"/>
  <c r="BX107" i="10"/>
  <c r="M133" i="10"/>
  <c r="N132" i="10" s="1"/>
  <c r="L138" i="10"/>
  <c r="CO138" i="10"/>
  <c r="CP137" i="10" s="1"/>
  <c r="CN143" i="10"/>
  <c r="CO143" i="10" s="1"/>
  <c r="CP142" i="10" s="1"/>
  <c r="N54" i="18"/>
  <c r="N29" i="25"/>
  <c r="O38" i="18"/>
  <c r="N127" i="10"/>
  <c r="CV127" i="10" s="1"/>
  <c r="DK95" i="10" s="1"/>
  <c r="J109" i="17" s="1"/>
  <c r="CN107" i="10"/>
  <c r="BX143" i="10"/>
  <c r="BY143" i="10" s="1"/>
  <c r="BZ142" i="10" s="1"/>
  <c r="BY138" i="10"/>
  <c r="BZ137" i="10" s="1"/>
  <c r="BZ147" i="10" s="1"/>
  <c r="CO105" i="10"/>
  <c r="CS102" i="10" s="1"/>
  <c r="CT102" i="10" s="1"/>
  <c r="CM106" i="10"/>
  <c r="CM107" i="10" s="1"/>
  <c r="BY105" i="10"/>
  <c r="CC102" i="10" s="1"/>
  <c r="CD102" i="10" s="1"/>
  <c r="BW106" i="10"/>
  <c r="BW107" i="10" s="1"/>
  <c r="BL147" i="10"/>
  <c r="AT137" i="10"/>
  <c r="D188" i="15"/>
  <c r="E188" i="15" s="1"/>
  <c r="F188" i="15" s="1"/>
  <c r="G188" i="15" s="1"/>
  <c r="H188" i="15" s="1"/>
  <c r="I188" i="15" s="1"/>
  <c r="J188" i="15" s="1"/>
  <c r="K188" i="15" s="1"/>
  <c r="L188" i="15" s="1"/>
  <c r="M188" i="15" s="1"/>
  <c r="N188" i="15" s="1"/>
  <c r="V206" i="9"/>
  <c r="Q206" i="9"/>
  <c r="R206" i="9" s="1"/>
  <c r="J102" i="10"/>
  <c r="BP143" i="10"/>
  <c r="BQ143" i="10" s="1"/>
  <c r="BQ138" i="10"/>
  <c r="C71" i="25"/>
  <c r="AC153" i="9"/>
  <c r="AM152" i="9"/>
  <c r="CK102" i="10"/>
  <c r="E202" i="9"/>
  <c r="F201" i="9"/>
  <c r="AV201" i="9" s="1"/>
  <c r="BB201" i="9"/>
  <c r="BA151" i="9"/>
  <c r="AJ121" i="9"/>
  <c r="AE121" i="9"/>
  <c r="AF121" i="9" s="1"/>
  <c r="BJ147" i="10"/>
  <c r="BG110" i="10"/>
  <c r="BH109" i="10"/>
  <c r="BH110" i="10" s="1"/>
  <c r="BH111" i="10" s="1"/>
  <c r="V120" i="9"/>
  <c r="Q120" i="9"/>
  <c r="R120" i="9" s="1"/>
  <c r="AK107" i="10"/>
  <c r="AK109" i="10" s="1"/>
  <c r="AI109" i="10"/>
  <c r="D183" i="15"/>
  <c r="D120" i="18"/>
  <c r="D119" i="18"/>
  <c r="D184" i="15"/>
  <c r="D79" i="17"/>
  <c r="E113" i="18"/>
  <c r="AW30" i="9"/>
  <c r="L105" i="13"/>
  <c r="M106" i="13"/>
  <c r="H179" i="13"/>
  <c r="E176" i="13"/>
  <c r="C174" i="13"/>
  <c r="K104" i="13"/>
  <c r="G178" i="13"/>
  <c r="J103" i="13"/>
  <c r="J114" i="13" s="1"/>
  <c r="J109" i="18" s="1"/>
  <c r="N107" i="13"/>
  <c r="F177" i="13"/>
  <c r="I130" i="13"/>
  <c r="I102" i="13"/>
  <c r="I114" i="13" s="1"/>
  <c r="I109" i="18" s="1"/>
  <c r="D175" i="13"/>
  <c r="O238" i="9"/>
  <c r="Y237" i="9"/>
  <c r="AL132" i="10"/>
  <c r="AK205" i="9"/>
  <c r="AL205" i="9" s="1"/>
  <c r="AN205" i="9"/>
  <c r="AI206" i="9"/>
  <c r="O153" i="9"/>
  <c r="Y152" i="9"/>
  <c r="K63" i="11"/>
  <c r="L63" i="11"/>
  <c r="N63" i="11" s="1"/>
  <c r="Q63" i="11" s="1"/>
  <c r="P63" i="11" s="1"/>
  <c r="M62" i="11"/>
  <c r="O62" i="11" s="1"/>
  <c r="Y66" i="9"/>
  <c r="O67" i="9"/>
  <c r="AX102" i="10"/>
  <c r="W32" i="9"/>
  <c r="X32" i="9" s="1"/>
  <c r="U33" i="9"/>
  <c r="Z32" i="9"/>
  <c r="CH142" i="10"/>
  <c r="A67" i="9"/>
  <c r="K66" i="9"/>
  <c r="CE109" i="10"/>
  <c r="CG107" i="10"/>
  <c r="CG109" i="10" s="1"/>
  <c r="I59" i="22"/>
  <c r="K238" i="9"/>
  <c r="A239" i="9"/>
  <c r="AF147" i="10"/>
  <c r="AM68" i="9"/>
  <c r="AC69" i="9"/>
  <c r="AV147" i="10"/>
  <c r="E68" i="13"/>
  <c r="CF14" i="9"/>
  <c r="C110" i="17" s="1"/>
  <c r="BK26" i="9"/>
  <c r="AD137" i="10"/>
  <c r="AO102" i="10"/>
  <c r="D185" i="15"/>
  <c r="BB29" i="9"/>
  <c r="F29" i="9"/>
  <c r="AV29" i="9" s="1"/>
  <c r="E30" i="9"/>
  <c r="H68" i="25"/>
  <c r="C110" i="10"/>
  <c r="D109" i="10"/>
  <c r="D110" i="10" s="1"/>
  <c r="D111" i="10" s="1"/>
  <c r="H177" i="13"/>
  <c r="J179" i="13"/>
  <c r="E174" i="13"/>
  <c r="K102" i="13"/>
  <c r="K114" i="13" s="1"/>
  <c r="K109" i="18" s="1"/>
  <c r="L103" i="13"/>
  <c r="F175" i="13"/>
  <c r="M104" i="13"/>
  <c r="I178" i="13"/>
  <c r="C172" i="13"/>
  <c r="G176" i="13"/>
  <c r="K130" i="13"/>
  <c r="D173" i="13"/>
  <c r="N105" i="13"/>
  <c r="B116" i="9"/>
  <c r="AU116" i="9"/>
  <c r="D50" i="25"/>
  <c r="D82" i="18"/>
  <c r="D71" i="18"/>
  <c r="D70" i="18"/>
  <c r="BR132" i="10"/>
  <c r="AQ110" i="10"/>
  <c r="AR109" i="10"/>
  <c r="AR110" i="10" s="1"/>
  <c r="AR111" i="10" s="1"/>
  <c r="D64" i="11"/>
  <c r="F64" i="11" s="1"/>
  <c r="B65" i="11"/>
  <c r="C65" i="11"/>
  <c r="E65" i="11" s="1"/>
  <c r="H65" i="11" s="1"/>
  <c r="G65" i="11" s="1"/>
  <c r="D82" i="22"/>
  <c r="I76" i="17"/>
  <c r="C22" i="22"/>
  <c r="D187" i="15"/>
  <c r="C186" i="15"/>
  <c r="BU102" i="10"/>
  <c r="K152" i="9"/>
  <c r="A153" i="9"/>
  <c r="Z102" i="10"/>
  <c r="AA110" i="10"/>
  <c r="AB109" i="10"/>
  <c r="AB110" i="10" s="1"/>
  <c r="AB111" i="10" s="1"/>
  <c r="AD142" i="10"/>
  <c r="DE92" i="10"/>
  <c r="C126" i="18"/>
  <c r="D155" i="15"/>
  <c r="D181" i="15"/>
  <c r="CG106" i="10"/>
  <c r="BE107" i="10"/>
  <c r="AH102" i="10"/>
  <c r="AT142" i="10"/>
  <c r="AT147" i="10" s="1"/>
  <c r="G68" i="25"/>
  <c r="CH137" i="10"/>
  <c r="AH32" i="9"/>
  <c r="AG33" i="9"/>
  <c r="AD33" i="9" s="1"/>
  <c r="D58" i="25"/>
  <c r="D190" i="15"/>
  <c r="E190" i="15" s="1"/>
  <c r="F190" i="15" s="1"/>
  <c r="G190" i="15" s="1"/>
  <c r="H190" i="15" s="1"/>
  <c r="I190" i="15" s="1"/>
  <c r="J190" i="15" s="1"/>
  <c r="K190" i="15" s="1"/>
  <c r="L190" i="15" s="1"/>
  <c r="M190" i="15" s="1"/>
  <c r="N190" i="15" s="1"/>
  <c r="BA65" i="9"/>
  <c r="BN62" i="9" s="1"/>
  <c r="D189" i="15"/>
  <c r="E189" i="15" s="1"/>
  <c r="F189" i="15" s="1"/>
  <c r="G189" i="15" s="1"/>
  <c r="H189" i="15" s="1"/>
  <c r="I189" i="15" s="1"/>
  <c r="J189" i="15" s="1"/>
  <c r="K189" i="15" s="1"/>
  <c r="L189" i="15" s="1"/>
  <c r="M189" i="15" s="1"/>
  <c r="N189" i="15" s="1"/>
  <c r="BQ148" i="10"/>
  <c r="BN102" i="10"/>
  <c r="BQ107" i="10"/>
  <c r="BQ109" i="10" s="1"/>
  <c r="BO109" i="10"/>
  <c r="AY201" i="9"/>
  <c r="J201" i="9"/>
  <c r="AZ201" i="9" s="1"/>
  <c r="CG148" i="10"/>
  <c r="AC238" i="9"/>
  <c r="AM237" i="9"/>
  <c r="D191" i="15"/>
  <c r="E191" i="15" s="1"/>
  <c r="F191" i="15" s="1"/>
  <c r="G191" i="15" s="1"/>
  <c r="H191" i="15" s="1"/>
  <c r="I191" i="15" s="1"/>
  <c r="J191" i="15" s="1"/>
  <c r="K191" i="15" s="1"/>
  <c r="L191" i="15" s="1"/>
  <c r="M191" i="15" s="1"/>
  <c r="N191" i="15" s="1"/>
  <c r="D134" i="14"/>
  <c r="D182" i="15"/>
  <c r="D116" i="18"/>
  <c r="C77" i="17"/>
  <c r="AY29" i="9"/>
  <c r="J29" i="9"/>
  <c r="AZ29" i="9" s="1"/>
  <c r="BA112" i="10"/>
  <c r="BA114" i="10" s="1"/>
  <c r="AY114" i="10"/>
  <c r="AJ143" i="10"/>
  <c r="AK143" i="10" s="1"/>
  <c r="AK138" i="10"/>
  <c r="AK148" i="10" s="1"/>
  <c r="V132" i="10" l="1"/>
  <c r="T143" i="10"/>
  <c r="U143" i="10" s="1"/>
  <c r="V142" i="10" s="1"/>
  <c r="U138" i="10"/>
  <c r="V137" i="10" s="1"/>
  <c r="CV132" i="10"/>
  <c r="DL95" i="10" s="1"/>
  <c r="K109" i="17" s="1"/>
  <c r="S107" i="10"/>
  <c r="U106" i="10"/>
  <c r="CO106" i="10"/>
  <c r="BY106" i="10"/>
  <c r="BY107" i="10"/>
  <c r="BY109" i="10" s="1"/>
  <c r="BW109" i="10"/>
  <c r="L143" i="10"/>
  <c r="M143" i="10" s="1"/>
  <c r="N142" i="10" s="1"/>
  <c r="M138" i="10"/>
  <c r="CP147" i="10"/>
  <c r="N45" i="25"/>
  <c r="M4" i="24" s="1"/>
  <c r="M5" i="24" s="1"/>
  <c r="J15" i="3"/>
  <c r="L107" i="10"/>
  <c r="U63" i="11"/>
  <c r="W63" i="11" s="1"/>
  <c r="Z63" i="11" s="1"/>
  <c r="Y63" i="11" s="1"/>
  <c r="T63" i="11"/>
  <c r="V62" i="11"/>
  <c r="X62" i="11" s="1"/>
  <c r="CO107" i="10"/>
  <c r="CO109" i="10" s="1"/>
  <c r="CM109" i="10"/>
  <c r="CU132" i="10"/>
  <c r="DL90" i="10" s="1"/>
  <c r="L100" i="13" s="1"/>
  <c r="M105" i="10"/>
  <c r="Q102" i="10" s="1"/>
  <c r="R102" i="10" s="1"/>
  <c r="K106" i="10"/>
  <c r="K107" i="10" s="1"/>
  <c r="BY148" i="10"/>
  <c r="CB147" i="10" s="1"/>
  <c r="B24" i="23"/>
  <c r="O29" i="25"/>
  <c r="CO148" i="10"/>
  <c r="CR147" i="10" s="1"/>
  <c r="J69" i="25"/>
  <c r="J108" i="18"/>
  <c r="AN147" i="10"/>
  <c r="D180" i="15"/>
  <c r="D61" i="18"/>
  <c r="J76" i="17"/>
  <c r="E82" i="22"/>
  <c r="AU30" i="9"/>
  <c r="B30" i="9"/>
  <c r="AC154" i="9"/>
  <c r="AM153" i="9"/>
  <c r="D62" i="22"/>
  <c r="D168" i="14"/>
  <c r="D179" i="14"/>
  <c r="D122" i="14"/>
  <c r="D156" i="14" s="1"/>
  <c r="AD147" i="10"/>
  <c r="C125" i="18"/>
  <c r="D9" i="22"/>
  <c r="D83" i="18"/>
  <c r="D84" i="18" s="1"/>
  <c r="BM26" i="9"/>
  <c r="CF17" i="9"/>
  <c r="CJ147" i="10"/>
  <c r="C192" i="15"/>
  <c r="O190" i="15"/>
  <c r="BF107" i="10"/>
  <c r="AB112" i="10"/>
  <c r="A154" i="9"/>
  <c r="K153" i="9"/>
  <c r="D186" i="15"/>
  <c r="D125" i="18" s="1"/>
  <c r="E187" i="15"/>
  <c r="AS110" i="10"/>
  <c r="AQ111" i="10"/>
  <c r="AQ112" i="10" s="1"/>
  <c r="AP102" i="10"/>
  <c r="K76" i="13"/>
  <c r="Y76" i="13" s="1"/>
  <c r="I74" i="13"/>
  <c r="W74" i="13" s="1"/>
  <c r="J75" i="13"/>
  <c r="X75" i="13" s="1"/>
  <c r="L77" i="13"/>
  <c r="Z77" i="13" s="1"/>
  <c r="M78" i="13"/>
  <c r="AA78" i="13" s="1"/>
  <c r="D147" i="13"/>
  <c r="F71" i="13"/>
  <c r="T71" i="13" s="1"/>
  <c r="G72" i="13"/>
  <c r="U72" i="13" s="1"/>
  <c r="E98" i="13"/>
  <c r="E70" i="13"/>
  <c r="C146" i="13"/>
  <c r="N79" i="13"/>
  <c r="AB79" i="13" s="1"/>
  <c r="H73" i="13"/>
  <c r="V73" i="13" s="1"/>
  <c r="BA66" i="9"/>
  <c r="BN63" i="9" s="1"/>
  <c r="T32" i="9"/>
  <c r="S33" i="9"/>
  <c r="P33" i="9" s="1"/>
  <c r="Y238" i="9"/>
  <c r="O239" i="9"/>
  <c r="H76" i="17"/>
  <c r="C82" i="22"/>
  <c r="E73" i="25"/>
  <c r="D80" i="25"/>
  <c r="Z120" i="9"/>
  <c r="U121" i="9"/>
  <c r="W120" i="9"/>
  <c r="X120" i="9" s="1"/>
  <c r="CL102" i="10"/>
  <c r="BR137" i="10"/>
  <c r="CW102" i="10"/>
  <c r="O188" i="15"/>
  <c r="AL137" i="10"/>
  <c r="AE33" i="9"/>
  <c r="AF33" i="9" s="1"/>
  <c r="AJ33" i="9"/>
  <c r="C86" i="25"/>
  <c r="BV102" i="10"/>
  <c r="D112" i="10"/>
  <c r="CH147" i="10"/>
  <c r="AH205" i="9"/>
  <c r="AG206" i="9"/>
  <c r="AD206" i="9" s="1"/>
  <c r="BI110" i="10"/>
  <c r="BG111" i="10"/>
  <c r="BG112" i="10" s="1"/>
  <c r="AU202" i="9"/>
  <c r="B202" i="9"/>
  <c r="Z206" i="9"/>
  <c r="U207" i="9"/>
  <c r="W206" i="9"/>
  <c r="X206" i="9" s="1"/>
  <c r="AL142" i="10"/>
  <c r="AC239" i="9"/>
  <c r="AM238" i="9"/>
  <c r="BA237" i="9"/>
  <c r="BO110" i="10"/>
  <c r="BP109" i="10"/>
  <c r="BP110" i="10" s="1"/>
  <c r="BP111" i="10" s="1"/>
  <c r="BT147" i="10"/>
  <c r="D130" i="15"/>
  <c r="D173" i="15" s="1"/>
  <c r="AR112" i="10"/>
  <c r="AS111" i="10"/>
  <c r="AR116" i="9"/>
  <c r="C116" i="9"/>
  <c r="H116" i="9"/>
  <c r="E110" i="10"/>
  <c r="C111" i="10"/>
  <c r="C112" i="10" s="1"/>
  <c r="AM69" i="9"/>
  <c r="AC70" i="9"/>
  <c r="A240" i="9"/>
  <c r="K239" i="9"/>
  <c r="CF109" i="10"/>
  <c r="CF110" i="10" s="1"/>
  <c r="CF111" i="10" s="1"/>
  <c r="CE110" i="10"/>
  <c r="O154" i="9"/>
  <c r="Y153" i="9"/>
  <c r="I69" i="25"/>
  <c r="I108" i="18"/>
  <c r="CG13" i="9"/>
  <c r="BI27" i="9"/>
  <c r="BJ27" i="9" s="1"/>
  <c r="AI110" i="10"/>
  <c r="AJ109" i="10"/>
  <c r="AJ110" i="10" s="1"/>
  <c r="AJ111" i="10" s="1"/>
  <c r="AY115" i="10"/>
  <c r="AZ114" i="10"/>
  <c r="AZ115" i="10" s="1"/>
  <c r="AZ116" i="10" s="1"/>
  <c r="BL26" i="9"/>
  <c r="CF16" i="9"/>
  <c r="D76" i="25"/>
  <c r="D111" i="18"/>
  <c r="O191" i="15"/>
  <c r="O189" i="15"/>
  <c r="D108" i="17"/>
  <c r="AC110" i="10"/>
  <c r="AA111" i="10"/>
  <c r="AA112" i="10" s="1"/>
  <c r="BA152" i="9"/>
  <c r="C66" i="11"/>
  <c r="E66" i="11" s="1"/>
  <c r="H66" i="11" s="1"/>
  <c r="G66" i="11" s="1"/>
  <c r="B66" i="11"/>
  <c r="D65" i="11"/>
  <c r="F65" i="11" s="1"/>
  <c r="D60" i="18"/>
  <c r="D73" i="18"/>
  <c r="K69" i="25"/>
  <c r="K108" i="18"/>
  <c r="CU137" i="10"/>
  <c r="DM90" i="10" s="1"/>
  <c r="M100" i="13" s="1"/>
  <c r="A68" i="9"/>
  <c r="K67" i="9"/>
  <c r="O68" i="9"/>
  <c r="Y67" i="9"/>
  <c r="L64" i="11"/>
  <c r="N64" i="11" s="1"/>
  <c r="Q64" i="11" s="1"/>
  <c r="P64" i="11" s="1"/>
  <c r="K64" i="11"/>
  <c r="M63" i="11"/>
  <c r="O63" i="11" s="1"/>
  <c r="D79" i="25"/>
  <c r="BH112" i="10"/>
  <c r="AK121" i="9"/>
  <c r="AL121" i="9" s="1"/>
  <c r="AN121" i="9"/>
  <c r="AI122" i="9"/>
  <c r="BR142" i="10"/>
  <c r="CV142" i="10" s="1"/>
  <c r="CU142" i="10"/>
  <c r="BA238" i="9" l="1"/>
  <c r="U107" i="10"/>
  <c r="U109" i="10" s="1"/>
  <c r="S109" i="10"/>
  <c r="U148" i="10"/>
  <c r="X147" i="10" s="1"/>
  <c r="V147" i="10"/>
  <c r="AL147" i="10"/>
  <c r="T64" i="11"/>
  <c r="U64" i="11"/>
  <c r="W64" i="11" s="1"/>
  <c r="Z64" i="11" s="1"/>
  <c r="Y64" i="11" s="1"/>
  <c r="V63" i="11"/>
  <c r="X63" i="11" s="1"/>
  <c r="AC111" i="10"/>
  <c r="M107" i="10"/>
  <c r="M109" i="10" s="1"/>
  <c r="K109" i="10"/>
  <c r="CN109" i="10"/>
  <c r="CN110" i="10" s="1"/>
  <c r="CN111" i="10" s="1"/>
  <c r="CM110" i="10"/>
  <c r="E111" i="10"/>
  <c r="BX109" i="10"/>
  <c r="BX110" i="10" s="1"/>
  <c r="BX111" i="10" s="1"/>
  <c r="BW110" i="10"/>
  <c r="I177" i="13"/>
  <c r="D172" i="13"/>
  <c r="C171" i="13"/>
  <c r="L130" i="13"/>
  <c r="K179" i="13"/>
  <c r="G175" i="13"/>
  <c r="F174" i="13"/>
  <c r="J178" i="13"/>
  <c r="E173" i="13"/>
  <c r="N104" i="13"/>
  <c r="L102" i="13"/>
  <c r="L114" i="13" s="1"/>
  <c r="L109" i="18" s="1"/>
  <c r="L69" i="25" s="1"/>
  <c r="M103" i="13"/>
  <c r="H176" i="13"/>
  <c r="M106" i="10"/>
  <c r="CZ102" i="10" s="1"/>
  <c r="N137" i="10"/>
  <c r="N147" i="10" s="1"/>
  <c r="M148" i="10"/>
  <c r="P147" i="10" s="1"/>
  <c r="E16" i="18"/>
  <c r="N103" i="13"/>
  <c r="C170" i="13"/>
  <c r="G174" i="13"/>
  <c r="M102" i="13"/>
  <c r="F173" i="13"/>
  <c r="I176" i="13"/>
  <c r="L179" i="13"/>
  <c r="H175" i="13"/>
  <c r="J177" i="13"/>
  <c r="K178" i="13"/>
  <c r="M130" i="13"/>
  <c r="D171" i="13"/>
  <c r="E172" i="13"/>
  <c r="G117" i="9"/>
  <c r="AW117" i="9" s="1"/>
  <c r="AX116" i="9"/>
  <c r="I116" i="9"/>
  <c r="L116" i="9"/>
  <c r="E53" i="22"/>
  <c r="D75" i="17"/>
  <c r="AG122" i="9"/>
  <c r="AD122" i="9" s="1"/>
  <c r="AH121" i="9"/>
  <c r="O69" i="9"/>
  <c r="Y68" i="9"/>
  <c r="AJ206" i="9"/>
  <c r="AE206" i="9"/>
  <c r="AF206" i="9" s="1"/>
  <c r="T120" i="9"/>
  <c r="S121" i="9"/>
  <c r="P121" i="9" s="1"/>
  <c r="AW107" i="10"/>
  <c r="CF18" i="9"/>
  <c r="C124" i="18"/>
  <c r="C85" i="25"/>
  <c r="D63" i="22"/>
  <c r="AR30" i="9"/>
  <c r="H30" i="9"/>
  <c r="C30" i="9"/>
  <c r="J68" i="25"/>
  <c r="C67" i="11"/>
  <c r="E67" i="11" s="1"/>
  <c r="H67" i="11" s="1"/>
  <c r="G67" i="11" s="1"/>
  <c r="B67" i="11"/>
  <c r="D66" i="11"/>
  <c r="F66" i="11" s="1"/>
  <c r="CF112" i="10"/>
  <c r="L108" i="18"/>
  <c r="V33" i="9"/>
  <c r="Q33" i="9"/>
  <c r="R33" i="9" s="1"/>
  <c r="D10" i="22"/>
  <c r="AS116" i="9"/>
  <c r="D116" i="9"/>
  <c r="AT116" i="9" s="1"/>
  <c r="BP112" i="10"/>
  <c r="BI112" i="10"/>
  <c r="BI114" i="10" s="1"/>
  <c r="BG114" i="10"/>
  <c r="M64" i="11"/>
  <c r="O64" i="11" s="1"/>
  <c r="K65" i="11"/>
  <c r="L65" i="11"/>
  <c r="N65" i="11" s="1"/>
  <c r="Q65" i="11" s="1"/>
  <c r="P65" i="11" s="1"/>
  <c r="D51" i="25"/>
  <c r="D62" i="18"/>
  <c r="E56" i="18"/>
  <c r="AK110" i="10"/>
  <c r="AI111" i="10"/>
  <c r="AI112" i="10" s="1"/>
  <c r="O155" i="9"/>
  <c r="Y154" i="9"/>
  <c r="A241" i="9"/>
  <c r="K240" i="9"/>
  <c r="BQ110" i="10"/>
  <c r="BO111" i="10"/>
  <c r="BO112" i="10" s="1"/>
  <c r="T206" i="9"/>
  <c r="S207" i="9"/>
  <c r="P207" i="9" s="1"/>
  <c r="DF89" i="10"/>
  <c r="CX102" i="10"/>
  <c r="Y239" i="9"/>
  <c r="O240" i="9"/>
  <c r="E186" i="15"/>
  <c r="E125" i="18" s="1"/>
  <c r="F187" i="15"/>
  <c r="BA153" i="9"/>
  <c r="D192" i="15"/>
  <c r="D126" i="18"/>
  <c r="BG27" i="9"/>
  <c r="BH27" i="9" s="1"/>
  <c r="CG12" i="9"/>
  <c r="E136" i="18" s="1"/>
  <c r="K5" i="3"/>
  <c r="L5" i="3" s="1"/>
  <c r="D52" i="25"/>
  <c r="DN90" i="10"/>
  <c r="CU147" i="10"/>
  <c r="BA115" i="10"/>
  <c r="AY116" i="10"/>
  <c r="AY117" i="10" s="1"/>
  <c r="AC240" i="9"/>
  <c r="AM239" i="9"/>
  <c r="DN95" i="10"/>
  <c r="AA114" i="10"/>
  <c r="AC112" i="10"/>
  <c r="AC114" i="10" s="1"/>
  <c r="AJ112" i="10"/>
  <c r="E112" i="10"/>
  <c r="E114" i="10" s="1"/>
  <c r="C114" i="10"/>
  <c r="BR147" i="10"/>
  <c r="BA67" i="9"/>
  <c r="BN64" i="9" s="1"/>
  <c r="K68" i="25"/>
  <c r="BI111" i="10"/>
  <c r="A69" i="9"/>
  <c r="K68" i="9"/>
  <c r="AG107" i="10"/>
  <c r="D71" i="25"/>
  <c r="BA116" i="10"/>
  <c r="AZ117" i="10"/>
  <c r="I68" i="25"/>
  <c r="CG110" i="10"/>
  <c r="CE111" i="10"/>
  <c r="CE112" i="10" s="1"/>
  <c r="AM70" i="9"/>
  <c r="AC71" i="9"/>
  <c r="I107" i="10"/>
  <c r="AR202" i="9"/>
  <c r="C202" i="9"/>
  <c r="H202" i="9"/>
  <c r="BM107" i="10"/>
  <c r="AN33" i="9"/>
  <c r="AK33" i="9"/>
  <c r="AL33" i="9" s="1"/>
  <c r="AI34" i="9"/>
  <c r="E82" i="13"/>
  <c r="E99" i="18" s="1"/>
  <c r="S70" i="13"/>
  <c r="S82" i="13" s="1"/>
  <c r="AS112" i="10"/>
  <c r="AS114" i="10" s="1"/>
  <c r="AQ114" i="10"/>
  <c r="D85" i="25"/>
  <c r="D124" i="18"/>
  <c r="A155" i="9"/>
  <c r="K154" i="9"/>
  <c r="AM154" i="9"/>
  <c r="AC155" i="9"/>
  <c r="M114" i="13" l="1"/>
  <c r="M109" i="18" s="1"/>
  <c r="S110" i="10"/>
  <c r="T109" i="10"/>
  <c r="T110" i="10" s="1"/>
  <c r="T111" i="10" s="1"/>
  <c r="AK111" i="10"/>
  <c r="BA239" i="9"/>
  <c r="DA102" i="10"/>
  <c r="DF91" i="10" s="1"/>
  <c r="F60" i="22" s="1"/>
  <c r="CY107" i="10"/>
  <c r="K110" i="10"/>
  <c r="L109" i="10"/>
  <c r="L110" i="10" s="1"/>
  <c r="L111" i="10" s="1"/>
  <c r="CO110" i="10"/>
  <c r="CS107" i="10" s="1"/>
  <c r="CT107" i="10" s="1"/>
  <c r="CM111" i="10"/>
  <c r="CM112" i="10" s="1"/>
  <c r="F82" i="22"/>
  <c r="K76" i="17"/>
  <c r="BY110" i="10"/>
  <c r="CC107" i="10" s="1"/>
  <c r="CD107" i="10" s="1"/>
  <c r="BW111" i="10"/>
  <c r="BW112" i="10" s="1"/>
  <c r="CN112" i="10"/>
  <c r="T65" i="11"/>
  <c r="V64" i="11"/>
  <c r="X64" i="11" s="1"/>
  <c r="U65" i="11"/>
  <c r="W65" i="11" s="1"/>
  <c r="Z65" i="11" s="1"/>
  <c r="Y65" i="11" s="1"/>
  <c r="BX112" i="10"/>
  <c r="BY111" i="10"/>
  <c r="CV137" i="10"/>
  <c r="BN107" i="10"/>
  <c r="D114" i="10"/>
  <c r="D115" i="10" s="1"/>
  <c r="D116" i="10" s="1"/>
  <c r="C115" i="10"/>
  <c r="M109" i="17"/>
  <c r="DF92" i="10"/>
  <c r="O156" i="9"/>
  <c r="Y155" i="9"/>
  <c r="Z33" i="9"/>
  <c r="U34" i="9"/>
  <c r="W33" i="9"/>
  <c r="X33" i="9" s="1"/>
  <c r="AJ122" i="9"/>
  <c r="AE122" i="9"/>
  <c r="AF122" i="9" s="1"/>
  <c r="A156" i="9"/>
  <c r="K155" i="9"/>
  <c r="AC72" i="9"/>
  <c r="AM71" i="9"/>
  <c r="CK107" i="10"/>
  <c r="F186" i="15"/>
  <c r="F125" i="18" s="1"/>
  <c r="G187" i="15"/>
  <c r="BO114" i="10"/>
  <c r="BQ112" i="10"/>
  <c r="BQ114" i="10" s="1"/>
  <c r="AO107" i="10"/>
  <c r="BH114" i="10"/>
  <c r="BH115" i="10" s="1"/>
  <c r="BH116" i="10" s="1"/>
  <c r="BG115" i="10"/>
  <c r="BQ111" i="10"/>
  <c r="G31" i="9"/>
  <c r="L30" i="9"/>
  <c r="I30" i="9"/>
  <c r="AX30" i="9"/>
  <c r="AX107" i="10"/>
  <c r="E66" i="22"/>
  <c r="AA115" i="10"/>
  <c r="AB114" i="10"/>
  <c r="AB115" i="10" s="1"/>
  <c r="AB116" i="10" s="1"/>
  <c r="BE112" i="10"/>
  <c r="BF112" i="10" s="1"/>
  <c r="E47" i="25"/>
  <c r="Q121" i="9"/>
  <c r="R121" i="9" s="1"/>
  <c r="V121" i="9"/>
  <c r="AH107" i="10"/>
  <c r="O241" i="9"/>
  <c r="Y240" i="9"/>
  <c r="V207" i="9"/>
  <c r="Q207" i="9"/>
  <c r="R207" i="9" s="1"/>
  <c r="BU107" i="10"/>
  <c r="AI114" i="10"/>
  <c r="AK112" i="10"/>
  <c r="AK114" i="10" s="1"/>
  <c r="D53" i="25"/>
  <c r="L66" i="11"/>
  <c r="N66" i="11" s="1"/>
  <c r="Q66" i="11" s="1"/>
  <c r="P66" i="11" s="1"/>
  <c r="M65" i="11"/>
  <c r="O65" i="11" s="1"/>
  <c r="K66" i="11"/>
  <c r="CG111" i="10"/>
  <c r="BB116" i="9"/>
  <c r="F116" i="9"/>
  <c r="AV116" i="9" s="1"/>
  <c r="E117" i="9"/>
  <c r="M69" i="25"/>
  <c r="M108" i="18"/>
  <c r="D123" i="18"/>
  <c r="D84" i="25"/>
  <c r="N100" i="13"/>
  <c r="DO90" i="10"/>
  <c r="DO96" i="10" s="1"/>
  <c r="E85" i="25"/>
  <c r="D67" i="11"/>
  <c r="F67" i="11" s="1"/>
  <c r="B68" i="11"/>
  <c r="C68" i="11"/>
  <c r="E68" i="11" s="1"/>
  <c r="H68" i="11" s="1"/>
  <c r="G68" i="11" s="1"/>
  <c r="AC156" i="9"/>
  <c r="AM155" i="9"/>
  <c r="G203" i="9"/>
  <c r="AW203" i="9" s="1"/>
  <c r="I202" i="9"/>
  <c r="AX202" i="9"/>
  <c r="L202" i="9"/>
  <c r="CE114" i="10"/>
  <c r="CG112" i="10"/>
  <c r="CG114" i="10" s="1"/>
  <c r="BA68" i="9"/>
  <c r="BN65" i="9" s="1"/>
  <c r="BA154" i="9"/>
  <c r="AQ115" i="10"/>
  <c r="AR114" i="10"/>
  <c r="AR115" i="10" s="1"/>
  <c r="AR116" i="10" s="1"/>
  <c r="E59" i="25"/>
  <c r="E98" i="18"/>
  <c r="AG34" i="9"/>
  <c r="AD34" i="9" s="1"/>
  <c r="AH33" i="9"/>
  <c r="AS202" i="9"/>
  <c r="D202" i="9"/>
  <c r="AT202" i="9" s="1"/>
  <c r="J107" i="10"/>
  <c r="A70" i="9"/>
  <c r="K69" i="9"/>
  <c r="AM240" i="9"/>
  <c r="BA240" i="9" s="1"/>
  <c r="AC241" i="9"/>
  <c r="BA117" i="10"/>
  <c r="BA119" i="10" s="1"/>
  <c r="AY119" i="10"/>
  <c r="E68" i="22"/>
  <c r="E96" i="25"/>
  <c r="D86" i="25"/>
  <c r="F68" i="13"/>
  <c r="A242" i="9"/>
  <c r="K241" i="9"/>
  <c r="C57" i="17"/>
  <c r="C5" i="3"/>
  <c r="D5" i="3" s="1"/>
  <c r="D14" i="22"/>
  <c r="C7" i="27"/>
  <c r="L68" i="25"/>
  <c r="AS30" i="9"/>
  <c r="D30" i="9"/>
  <c r="AT30" i="9" s="1"/>
  <c r="C84" i="25"/>
  <c r="C123" i="18"/>
  <c r="AN206" i="9"/>
  <c r="AI207" i="9"/>
  <c r="AK206" i="9"/>
  <c r="AL206" i="9" s="1"/>
  <c r="O70" i="9"/>
  <c r="Y69" i="9"/>
  <c r="E143" i="14"/>
  <c r="D82" i="17"/>
  <c r="D85" i="17"/>
  <c r="E159" i="15"/>
  <c r="E157" i="15"/>
  <c r="E142" i="14"/>
  <c r="E160" i="15"/>
  <c r="E136" i="14"/>
  <c r="E144" i="14"/>
  <c r="E156" i="15"/>
  <c r="E137" i="14"/>
  <c r="E140" i="14"/>
  <c r="E138" i="14"/>
  <c r="D86" i="17"/>
  <c r="E139" i="14"/>
  <c r="E141" i="14"/>
  <c r="E158" i="15"/>
  <c r="E135" i="14"/>
  <c r="AY116" i="9"/>
  <c r="J116" i="9"/>
  <c r="AZ116" i="9" s="1"/>
  <c r="G82" i="22"/>
  <c r="L76" i="17"/>
  <c r="E8" i="25"/>
  <c r="E19" i="18"/>
  <c r="T112" i="10" l="1"/>
  <c r="U110" i="10"/>
  <c r="Y107" i="10" s="1"/>
  <c r="Z107" i="10" s="1"/>
  <c r="S111" i="10"/>
  <c r="S112" i="10" s="1"/>
  <c r="CO111" i="10"/>
  <c r="DM95" i="10"/>
  <c r="CV147" i="10"/>
  <c r="BY112" i="10"/>
  <c r="BY114" i="10" s="1"/>
  <c r="BW114" i="10"/>
  <c r="CO112" i="10"/>
  <c r="CO114" i="10" s="1"/>
  <c r="CM114" i="10"/>
  <c r="V65" i="11"/>
  <c r="X65" i="11" s="1"/>
  <c r="U66" i="11"/>
  <c r="W66" i="11" s="1"/>
  <c r="Z66" i="11" s="1"/>
  <c r="Y66" i="11" s="1"/>
  <c r="T66" i="11"/>
  <c r="L112" i="10"/>
  <c r="M110" i="10"/>
  <c r="Q107" i="10" s="1"/>
  <c r="R107" i="10" s="1"/>
  <c r="K111" i="10"/>
  <c r="K112" i="10" s="1"/>
  <c r="E134" i="14"/>
  <c r="E155" i="15"/>
  <c r="E181" i="15"/>
  <c r="AC242" i="9"/>
  <c r="AM241" i="9"/>
  <c r="AY202" i="9"/>
  <c r="J202" i="9"/>
  <c r="AZ202" i="9" s="1"/>
  <c r="L178" i="13"/>
  <c r="E171" i="13"/>
  <c r="J176" i="13"/>
  <c r="K177" i="13"/>
  <c r="N130" i="13"/>
  <c r="C169" i="13"/>
  <c r="D170" i="13"/>
  <c r="I175" i="13"/>
  <c r="G173" i="13"/>
  <c r="H174" i="13"/>
  <c r="F172" i="13"/>
  <c r="M179" i="13"/>
  <c r="N102" i="13"/>
  <c r="N114" i="13" s="1"/>
  <c r="N109" i="18" s="1"/>
  <c r="O100" i="13"/>
  <c r="B50" i="2" s="1"/>
  <c r="AB117" i="10"/>
  <c r="AP107" i="10"/>
  <c r="CL107" i="10"/>
  <c r="E115" i="10"/>
  <c r="C116" i="10"/>
  <c r="C117" i="10" s="1"/>
  <c r="E185" i="15"/>
  <c r="E119" i="18"/>
  <c r="O71" i="9"/>
  <c r="Y70" i="9"/>
  <c r="C83" i="25"/>
  <c r="D17" i="22"/>
  <c r="K242" i="9"/>
  <c r="A243" i="9"/>
  <c r="A71" i="9"/>
  <c r="K70" i="9"/>
  <c r="E58" i="25"/>
  <c r="AM156" i="9"/>
  <c r="AC157" i="9"/>
  <c r="B69" i="11"/>
  <c r="C69" i="11"/>
  <c r="E69" i="11" s="1"/>
  <c r="H69" i="11" s="1"/>
  <c r="G69" i="11" s="1"/>
  <c r="D68" i="11"/>
  <c r="F68" i="11" s="1"/>
  <c r="D138" i="18"/>
  <c r="C138" i="18"/>
  <c r="M68" i="25"/>
  <c r="K67" i="11"/>
  <c r="M66" i="11"/>
  <c r="O66" i="11" s="1"/>
  <c r="L67" i="11"/>
  <c r="N67" i="11" s="1"/>
  <c r="Q67" i="11" s="1"/>
  <c r="P67" i="11" s="1"/>
  <c r="E79" i="17"/>
  <c r="F113" i="18"/>
  <c r="AW31" i="9"/>
  <c r="BA155" i="9"/>
  <c r="O157" i="9"/>
  <c r="Y156" i="9"/>
  <c r="E57" i="18"/>
  <c r="E11" i="25"/>
  <c r="I6" i="3"/>
  <c r="CF114" i="10"/>
  <c r="CF115" i="10" s="1"/>
  <c r="CF116" i="10" s="1"/>
  <c r="CE115" i="10"/>
  <c r="Z207" i="9"/>
  <c r="W207" i="9"/>
  <c r="X207" i="9" s="1"/>
  <c r="U208" i="9"/>
  <c r="G186" i="15"/>
  <c r="H187" i="15"/>
  <c r="E183" i="15"/>
  <c r="E182" i="15"/>
  <c r="E147" i="13"/>
  <c r="C145" i="13"/>
  <c r="M77" i="13"/>
  <c r="AA77" i="13" s="1"/>
  <c r="L76" i="13"/>
  <c r="Z76" i="13" s="1"/>
  <c r="N78" i="13"/>
  <c r="AB78" i="13" s="1"/>
  <c r="F70" i="13"/>
  <c r="I73" i="13"/>
  <c r="W73" i="13" s="1"/>
  <c r="K75" i="13"/>
  <c r="Y75" i="13" s="1"/>
  <c r="D146" i="13"/>
  <c r="F98" i="13"/>
  <c r="J74" i="13"/>
  <c r="X74" i="13" s="1"/>
  <c r="G71" i="13"/>
  <c r="U71" i="13" s="1"/>
  <c r="H72" i="13"/>
  <c r="V72" i="13" s="1"/>
  <c r="AZ119" i="10"/>
  <c r="AZ120" i="10" s="1"/>
  <c r="AZ121" i="10" s="1"/>
  <c r="AY120" i="10"/>
  <c r="CW107" i="10"/>
  <c r="AJ34" i="9"/>
  <c r="AE34" i="9"/>
  <c r="AF34" i="9" s="1"/>
  <c r="AR117" i="10"/>
  <c r="D83" i="25"/>
  <c r="U122" i="9"/>
  <c r="Z121" i="9"/>
  <c r="W121" i="9"/>
  <c r="X121" i="9" s="1"/>
  <c r="AC115" i="10"/>
  <c r="AA116" i="10"/>
  <c r="AA117" i="10" s="1"/>
  <c r="AY30" i="9"/>
  <c r="J30" i="9"/>
  <c r="AZ30" i="9" s="1"/>
  <c r="BI115" i="10"/>
  <c r="BG116" i="10"/>
  <c r="BG117" i="10" s="1"/>
  <c r="F85" i="25"/>
  <c r="T33" i="9"/>
  <c r="S34" i="9"/>
  <c r="P34" i="9" s="1"/>
  <c r="E108" i="17"/>
  <c r="E116" i="10"/>
  <c r="D117" i="10"/>
  <c r="E120" i="18"/>
  <c r="E116" i="18"/>
  <c r="D110" i="17"/>
  <c r="D77" i="17"/>
  <c r="K156" i="9"/>
  <c r="A157" i="9"/>
  <c r="E184" i="15"/>
  <c r="AG207" i="9"/>
  <c r="AD207" i="9" s="1"/>
  <c r="AH206" i="9"/>
  <c r="CG14" i="9"/>
  <c r="BK27" i="9"/>
  <c r="C12" i="27"/>
  <c r="BA69" i="9"/>
  <c r="BN66" i="9" s="1"/>
  <c r="AS115" i="10"/>
  <c r="AQ116" i="10"/>
  <c r="AQ117" i="10" s="1"/>
  <c r="BB202" i="9"/>
  <c r="F202" i="9"/>
  <c r="AV202" i="9" s="1"/>
  <c r="E203" i="9"/>
  <c r="B117" i="9"/>
  <c r="AU117" i="9"/>
  <c r="AJ114" i="10"/>
  <c r="AJ115" i="10" s="1"/>
  <c r="AJ116" i="10" s="1"/>
  <c r="AI115" i="10"/>
  <c r="BV107" i="10"/>
  <c r="O242" i="9"/>
  <c r="Y241" i="9"/>
  <c r="BA241" i="9" s="1"/>
  <c r="BB30" i="9"/>
  <c r="E31" i="9"/>
  <c r="F30" i="9"/>
  <c r="AV30" i="9" s="1"/>
  <c r="BH117" i="10"/>
  <c r="BI116" i="10"/>
  <c r="BO115" i="10"/>
  <c r="BP114" i="10"/>
  <c r="BP115" i="10" s="1"/>
  <c r="BP116" i="10" s="1"/>
  <c r="AM72" i="9"/>
  <c r="AC73" i="9"/>
  <c r="AK122" i="9"/>
  <c r="AL122" i="9" s="1"/>
  <c r="AN122" i="9"/>
  <c r="AI123" i="9"/>
  <c r="S114" i="10" l="1"/>
  <c r="U112" i="10"/>
  <c r="U114" i="10" s="1"/>
  <c r="U111" i="10"/>
  <c r="E138" i="18"/>
  <c r="D116" i="17" s="1"/>
  <c r="BW115" i="10"/>
  <c r="BX114" i="10"/>
  <c r="BX115" i="10" s="1"/>
  <c r="BX116" i="10" s="1"/>
  <c r="U67" i="11"/>
  <c r="W67" i="11" s="1"/>
  <c r="Z67" i="11" s="1"/>
  <c r="Y67" i="11" s="1"/>
  <c r="T67" i="11"/>
  <c r="V66" i="11"/>
  <c r="X66" i="11" s="1"/>
  <c r="CN114" i="10"/>
  <c r="CN115" i="10" s="1"/>
  <c r="CN116" i="10" s="1"/>
  <c r="CM115" i="10"/>
  <c r="K114" i="10"/>
  <c r="M112" i="10"/>
  <c r="M114" i="10" s="1"/>
  <c r="M111" i="10"/>
  <c r="CZ107" i="10" s="1"/>
  <c r="L109" i="17"/>
  <c r="N109" i="17" s="1"/>
  <c r="DO95" i="10"/>
  <c r="K157" i="9"/>
  <c r="A158" i="9"/>
  <c r="S122" i="9"/>
  <c r="P122" i="9" s="1"/>
  <c r="T121" i="9"/>
  <c r="G125" i="18"/>
  <c r="S208" i="9"/>
  <c r="P208" i="9" s="1"/>
  <c r="T207" i="9"/>
  <c r="BA70" i="9"/>
  <c r="BN67" i="9" s="1"/>
  <c r="E79" i="25"/>
  <c r="B65" i="2"/>
  <c r="F55" i="26"/>
  <c r="C152" i="31" s="1"/>
  <c r="E168" i="14"/>
  <c r="E179" i="14"/>
  <c r="E122" i="14"/>
  <c r="E156" i="14" s="1"/>
  <c r="AH122" i="9"/>
  <c r="AG123" i="9"/>
  <c r="AD123" i="9" s="1"/>
  <c r="BP117" i="10"/>
  <c r="B31" i="9"/>
  <c r="AU31" i="9"/>
  <c r="B203" i="9"/>
  <c r="AU203" i="9"/>
  <c r="AW112" i="10"/>
  <c r="AX112" i="10" s="1"/>
  <c r="BA156" i="9"/>
  <c r="E80" i="25"/>
  <c r="BM112" i="10"/>
  <c r="BN112" i="10" s="1"/>
  <c r="BA120" i="10"/>
  <c r="AY121" i="10"/>
  <c r="AY122" i="10" s="1"/>
  <c r="CG115" i="10"/>
  <c r="CE116" i="10"/>
  <c r="CE117" i="10" s="1"/>
  <c r="O158" i="9"/>
  <c r="Y157" i="9"/>
  <c r="A72" i="9"/>
  <c r="K71" i="9"/>
  <c r="D20" i="22"/>
  <c r="I112" i="10"/>
  <c r="N69" i="25"/>
  <c r="N108" i="18"/>
  <c r="O109" i="18"/>
  <c r="O69" i="25" s="1"/>
  <c r="M76" i="17"/>
  <c r="N76" i="17" s="1"/>
  <c r="H82" i="22"/>
  <c r="O130" i="13"/>
  <c r="E180" i="15"/>
  <c r="AJ117" i="10"/>
  <c r="E62" i="22"/>
  <c r="BQ115" i="10"/>
  <c r="BO116" i="10"/>
  <c r="BO117" i="10" s="1"/>
  <c r="D112" i="17"/>
  <c r="V34" i="9"/>
  <c r="Q34" i="9"/>
  <c r="R34" i="9" s="1"/>
  <c r="BM27" i="9"/>
  <c r="CG17" i="9"/>
  <c r="AG112" i="10"/>
  <c r="AH112" i="10" s="1"/>
  <c r="AI35" i="9"/>
  <c r="AN34" i="9"/>
  <c r="AK34" i="9"/>
  <c r="AL34" i="9" s="1"/>
  <c r="AZ122" i="10"/>
  <c r="CG116" i="10"/>
  <c r="CF117" i="10"/>
  <c r="E48" i="25"/>
  <c r="E59" i="18"/>
  <c r="CH13" i="9"/>
  <c r="BI28" i="9"/>
  <c r="BJ28" i="9" s="1"/>
  <c r="L68" i="11"/>
  <c r="N68" i="11" s="1"/>
  <c r="Q68" i="11" s="1"/>
  <c r="P68" i="11" s="1"/>
  <c r="M67" i="11"/>
  <c r="O67" i="11" s="1"/>
  <c r="K68" i="11"/>
  <c r="C98" i="25"/>
  <c r="B116" i="17"/>
  <c r="B70" i="11"/>
  <c r="D69" i="11"/>
  <c r="F69" i="11" s="1"/>
  <c r="C70" i="11"/>
  <c r="E70" i="11" s="1"/>
  <c r="H70" i="11" s="1"/>
  <c r="G70" i="11" s="1"/>
  <c r="K243" i="9"/>
  <c r="A244" i="9"/>
  <c r="O72" i="9"/>
  <c r="Y71" i="9"/>
  <c r="E130" i="15"/>
  <c r="E173" i="15" s="1"/>
  <c r="Y242" i="9"/>
  <c r="O243" i="9"/>
  <c r="AA119" i="10"/>
  <c r="AC117" i="10"/>
  <c r="AC119" i="10" s="1"/>
  <c r="AC74" i="9"/>
  <c r="AM73" i="9"/>
  <c r="AK115" i="10"/>
  <c r="AI116" i="10"/>
  <c r="AI117" i="10" s="1"/>
  <c r="H117" i="9"/>
  <c r="C117" i="9"/>
  <c r="AR117" i="9"/>
  <c r="AS117" i="10"/>
  <c r="AS119" i="10" s="1"/>
  <c r="AQ119" i="10"/>
  <c r="AJ207" i="9"/>
  <c r="AE207" i="9"/>
  <c r="AF207" i="9" s="1"/>
  <c r="E76" i="25"/>
  <c r="E111" i="18"/>
  <c r="BI117" i="10"/>
  <c r="BI119" i="10" s="1"/>
  <c r="BG119" i="10"/>
  <c r="CG16" i="9"/>
  <c r="BL27" i="9"/>
  <c r="AS116" i="10"/>
  <c r="DG89" i="10"/>
  <c r="E75" i="17"/>
  <c r="F53" i="22"/>
  <c r="F82" i="13"/>
  <c r="F99" i="18" s="1"/>
  <c r="T70" i="13"/>
  <c r="T82" i="13" s="1"/>
  <c r="H186" i="15"/>
  <c r="H125" i="18" s="1"/>
  <c r="I187" i="15"/>
  <c r="F73" i="25"/>
  <c r="C116" i="17"/>
  <c r="D98" i="25"/>
  <c r="AM157" i="9"/>
  <c r="AC158" i="9"/>
  <c r="E117" i="10"/>
  <c r="E119" i="10" s="1"/>
  <c r="C119" i="10"/>
  <c r="CX107" i="10"/>
  <c r="AC116" i="10"/>
  <c r="AM242" i="9"/>
  <c r="AC243" i="9"/>
  <c r="BA121" i="10" l="1"/>
  <c r="T114" i="10"/>
  <c r="T115" i="10" s="1"/>
  <c r="T116" i="10" s="1"/>
  <c r="S115" i="10"/>
  <c r="CG18" i="9"/>
  <c r="E98" i="25"/>
  <c r="DA107" i="10"/>
  <c r="DG91" i="10" s="1"/>
  <c r="G60" i="22" s="1"/>
  <c r="CY112" i="10"/>
  <c r="CO115" i="10"/>
  <c r="CS112" i="10" s="1"/>
  <c r="CT112" i="10" s="1"/>
  <c r="CM116" i="10"/>
  <c r="CM117" i="10" s="1"/>
  <c r="CN117" i="10"/>
  <c r="BX117" i="10"/>
  <c r="BY115" i="10"/>
  <c r="CC112" i="10" s="1"/>
  <c r="CD112" i="10" s="1"/>
  <c r="BW116" i="10"/>
  <c r="BW117" i="10" s="1"/>
  <c r="L114" i="10"/>
  <c r="L115" i="10" s="1"/>
  <c r="L116" i="10" s="1"/>
  <c r="K115" i="10"/>
  <c r="V67" i="11"/>
  <c r="X67" i="11" s="1"/>
  <c r="T68" i="11"/>
  <c r="U68" i="11"/>
  <c r="W68" i="11" s="1"/>
  <c r="Z68" i="11" s="1"/>
  <c r="Y68" i="11" s="1"/>
  <c r="D119" i="10"/>
  <c r="D120" i="10" s="1"/>
  <c r="D121" i="10" s="1"/>
  <c r="C120" i="10"/>
  <c r="G68" i="13"/>
  <c r="BG120" i="10"/>
  <c r="BH119" i="10"/>
  <c r="BH120" i="10" s="1"/>
  <c r="BH121" i="10" s="1"/>
  <c r="E71" i="25"/>
  <c r="AC75" i="9"/>
  <c r="AM74" i="9"/>
  <c r="E82" i="18"/>
  <c r="E70" i="18"/>
  <c r="E50" i="25"/>
  <c r="E71" i="18"/>
  <c r="D114" i="17"/>
  <c r="D113" i="17"/>
  <c r="AM243" i="9"/>
  <c r="AC244" i="9"/>
  <c r="DG92" i="10"/>
  <c r="F66" i="22"/>
  <c r="AK207" i="9"/>
  <c r="AL207" i="9" s="1"/>
  <c r="AN207" i="9"/>
  <c r="AI208" i="9"/>
  <c r="O244" i="9"/>
  <c r="Y243" i="9"/>
  <c r="K244" i="9"/>
  <c r="A245" i="9"/>
  <c r="D70" i="11"/>
  <c r="F70" i="11" s="1"/>
  <c r="C71" i="11"/>
  <c r="E71" i="11" s="1"/>
  <c r="H71" i="11" s="1"/>
  <c r="G71" i="11" s="1"/>
  <c r="B71" i="11"/>
  <c r="L69" i="11"/>
  <c r="N69" i="11" s="1"/>
  <c r="Q69" i="11" s="1"/>
  <c r="P69" i="11" s="1"/>
  <c r="M68" i="11"/>
  <c r="O68" i="11" s="1"/>
  <c r="K69" i="11"/>
  <c r="D22" i="22"/>
  <c r="CK112" i="10"/>
  <c r="CL112" i="10" s="1"/>
  <c r="BG28" i="9"/>
  <c r="BH28" i="9" s="1"/>
  <c r="CH12" i="9"/>
  <c r="BQ116" i="10"/>
  <c r="Q208" i="9"/>
  <c r="R208" i="9" s="1"/>
  <c r="V208" i="9"/>
  <c r="Q122" i="9"/>
  <c r="R122" i="9" s="1"/>
  <c r="V122" i="9"/>
  <c r="I186" i="15"/>
  <c r="J187" i="15"/>
  <c r="AS117" i="9"/>
  <c r="D117" i="9"/>
  <c r="AT117" i="9" s="1"/>
  <c r="BA243" i="9"/>
  <c r="BU112" i="10"/>
  <c r="BV112" i="10" s="1"/>
  <c r="AK116" i="10"/>
  <c r="E192" i="15"/>
  <c r="J112" i="10"/>
  <c r="BA71" i="9"/>
  <c r="BN68" i="9" s="1"/>
  <c r="Y158" i="9"/>
  <c r="O159" i="9"/>
  <c r="BA122" i="10"/>
  <c r="BA124" i="10" s="1"/>
  <c r="AY124" i="10"/>
  <c r="H31" i="9"/>
  <c r="AR31" i="9"/>
  <c r="C31" i="9"/>
  <c r="E63" i="22"/>
  <c r="K158" i="9"/>
  <c r="A159" i="9"/>
  <c r="AC159" i="9"/>
  <c r="AM158" i="9"/>
  <c r="H85" i="25"/>
  <c r="F98" i="18"/>
  <c r="F59" i="25"/>
  <c r="AX117" i="9"/>
  <c r="G118" i="9"/>
  <c r="AW118" i="9" s="1"/>
  <c r="L117" i="9"/>
  <c r="I117" i="9"/>
  <c r="W34" i="9"/>
  <c r="X34" i="9" s="1"/>
  <c r="U35" i="9"/>
  <c r="Z34" i="9"/>
  <c r="I82" i="22"/>
  <c r="N68" i="25"/>
  <c r="O108" i="18"/>
  <c r="A73" i="9"/>
  <c r="K72" i="9"/>
  <c r="CG117" i="10"/>
  <c r="CG119" i="10" s="1"/>
  <c r="CE119" i="10"/>
  <c r="AJ123" i="9"/>
  <c r="AE123" i="9"/>
  <c r="AF123" i="9" s="1"/>
  <c r="E126" i="18"/>
  <c r="C31" i="31"/>
  <c r="C34" i="31" s="1"/>
  <c r="G85" i="25"/>
  <c r="BA157" i="9"/>
  <c r="BA242" i="9"/>
  <c r="F159" i="15"/>
  <c r="F142" i="14"/>
  <c r="E82" i="17"/>
  <c r="E85" i="17"/>
  <c r="F143" i="14"/>
  <c r="F157" i="15"/>
  <c r="F156" i="15"/>
  <c r="F138" i="14"/>
  <c r="F140" i="14"/>
  <c r="F144" i="14"/>
  <c r="E86" i="17"/>
  <c r="F137" i="14"/>
  <c r="F160" i="15"/>
  <c r="F136" i="14"/>
  <c r="F139" i="14"/>
  <c r="F141" i="14"/>
  <c r="F135" i="14"/>
  <c r="F158" i="15"/>
  <c r="AQ120" i="10"/>
  <c r="AR119" i="10"/>
  <c r="AR120" i="10" s="1"/>
  <c r="AR121" i="10" s="1"/>
  <c r="AO112" i="10"/>
  <c r="AP112" i="10" s="1"/>
  <c r="AI119" i="10"/>
  <c r="AK117" i="10"/>
  <c r="AK119" i="10" s="1"/>
  <c r="AB119" i="10"/>
  <c r="AB120" i="10" s="1"/>
  <c r="AB121" i="10" s="1"/>
  <c r="AA120" i="10"/>
  <c r="Y72" i="9"/>
  <c r="O73" i="9"/>
  <c r="AG35" i="9"/>
  <c r="AD35" i="9" s="1"/>
  <c r="AH34" i="9"/>
  <c r="BQ117" i="10"/>
  <c r="BQ119" i="10" s="1"/>
  <c r="BO119" i="10"/>
  <c r="BE117" i="10"/>
  <c r="BF117" i="10" s="1"/>
  <c r="H203" i="9"/>
  <c r="C203" i="9"/>
  <c r="AR203" i="9"/>
  <c r="BY116" i="10" l="1"/>
  <c r="U115" i="10"/>
  <c r="Y112" i="10" s="1"/>
  <c r="Z112" i="10" s="1"/>
  <c r="S116" i="10"/>
  <c r="S117" i="10" s="1"/>
  <c r="T117" i="10"/>
  <c r="U116" i="10"/>
  <c r="T69" i="11"/>
  <c r="U69" i="11"/>
  <c r="W69" i="11" s="1"/>
  <c r="Z69" i="11" s="1"/>
  <c r="Y69" i="11" s="1"/>
  <c r="V68" i="11"/>
  <c r="X68" i="11" s="1"/>
  <c r="BW119" i="10"/>
  <c r="BY117" i="10"/>
  <c r="BY119" i="10" s="1"/>
  <c r="CO116" i="10"/>
  <c r="M115" i="10"/>
  <c r="Q112" i="10" s="1"/>
  <c r="R112" i="10" s="1"/>
  <c r="K116" i="10"/>
  <c r="K117" i="10" s="1"/>
  <c r="CM119" i="10"/>
  <c r="CO117" i="10"/>
  <c r="CO119" i="10" s="1"/>
  <c r="L117" i="10"/>
  <c r="AS203" i="9"/>
  <c r="D203" i="9"/>
  <c r="AT203" i="9" s="1"/>
  <c r="F182" i="15"/>
  <c r="E86" i="25"/>
  <c r="E124" i="18"/>
  <c r="AB122" i="10"/>
  <c r="F119" i="18"/>
  <c r="BA72" i="9"/>
  <c r="BN69" i="9" s="1"/>
  <c r="AY125" i="10"/>
  <c r="AZ124" i="10"/>
  <c r="AZ125" i="10" s="1"/>
  <c r="AZ126" i="10" s="1"/>
  <c r="AG208" i="9"/>
  <c r="AD208" i="9" s="1"/>
  <c r="AH207" i="9"/>
  <c r="AC245" i="9"/>
  <c r="AM244" i="9"/>
  <c r="F143" i="18"/>
  <c r="C144" i="13"/>
  <c r="D145" i="13"/>
  <c r="F147" i="13"/>
  <c r="H71" i="13"/>
  <c r="V71" i="13" s="1"/>
  <c r="K74" i="13"/>
  <c r="Y74" i="13" s="1"/>
  <c r="G70" i="13"/>
  <c r="E146" i="13"/>
  <c r="J73" i="13"/>
  <c r="X73" i="13" s="1"/>
  <c r="N77" i="13"/>
  <c r="AB77" i="13" s="1"/>
  <c r="L75" i="13"/>
  <c r="Z75" i="13" s="1"/>
  <c r="G98" i="13"/>
  <c r="M76" i="13"/>
  <c r="AA76" i="13" s="1"/>
  <c r="I72" i="13"/>
  <c r="W72" i="13" s="1"/>
  <c r="O74" i="9"/>
  <c r="Y73" i="9"/>
  <c r="F120" i="18"/>
  <c r="F155" i="15"/>
  <c r="F181" i="15"/>
  <c r="F116" i="18"/>
  <c r="E77" i="17"/>
  <c r="A74" i="9"/>
  <c r="K73" i="9"/>
  <c r="C185" i="31"/>
  <c r="D12" i="21"/>
  <c r="E118" i="9"/>
  <c r="F117" i="9"/>
  <c r="AV117" i="9" s="1"/>
  <c r="BB117" i="9"/>
  <c r="D31" i="9"/>
  <c r="AT31" i="9" s="1"/>
  <c r="AS31" i="9"/>
  <c r="J186" i="15"/>
  <c r="J125" i="18" s="1"/>
  <c r="K187" i="15"/>
  <c r="W208" i="9"/>
  <c r="X208" i="9" s="1"/>
  <c r="U209" i="9"/>
  <c r="Z208" i="9"/>
  <c r="K70" i="11"/>
  <c r="M69" i="11"/>
  <c r="O69" i="11" s="1"/>
  <c r="L70" i="11"/>
  <c r="N70" i="11" s="1"/>
  <c r="Q70" i="11" s="1"/>
  <c r="P70" i="11" s="1"/>
  <c r="E60" i="18"/>
  <c r="E73" i="18"/>
  <c r="BH122" i="10"/>
  <c r="F183" i="15"/>
  <c r="C11" i="23"/>
  <c r="O68" i="25"/>
  <c r="S35" i="9"/>
  <c r="P35" i="9" s="1"/>
  <c r="T34" i="9"/>
  <c r="F58" i="25"/>
  <c r="AC160" i="9"/>
  <c r="AM159" i="9"/>
  <c r="A160" i="9"/>
  <c r="K159" i="9"/>
  <c r="I125" i="18"/>
  <c r="D122" i="17"/>
  <c r="O245" i="9"/>
  <c r="Y244" i="9"/>
  <c r="E61" i="18"/>
  <c r="E83" i="18"/>
  <c r="E84" i="18" s="1"/>
  <c r="E9" i="22"/>
  <c r="BI120" i="10"/>
  <c r="BG121" i="10"/>
  <c r="BG122" i="10" s="1"/>
  <c r="E120" i="10"/>
  <c r="C121" i="10"/>
  <c r="C122" i="10" s="1"/>
  <c r="I203" i="9"/>
  <c r="AX203" i="9"/>
  <c r="G204" i="9"/>
  <c r="AW204" i="9" s="1"/>
  <c r="L203" i="9"/>
  <c r="BO120" i="10"/>
  <c r="BP119" i="10"/>
  <c r="BP120" i="10" s="1"/>
  <c r="BP121" i="10" s="1"/>
  <c r="AC120" i="10"/>
  <c r="AA121" i="10"/>
  <c r="AA122" i="10" s="1"/>
  <c r="AI120" i="10"/>
  <c r="AJ119" i="10"/>
  <c r="AJ120" i="10" s="1"/>
  <c r="AJ121" i="10" s="1"/>
  <c r="AR122" i="10"/>
  <c r="F134" i="14"/>
  <c r="F185" i="15"/>
  <c r="F184" i="15"/>
  <c r="BA158" i="9"/>
  <c r="G32" i="9"/>
  <c r="AX31" i="9"/>
  <c r="L31" i="9"/>
  <c r="I31" i="9"/>
  <c r="Y159" i="9"/>
  <c r="O160" i="9"/>
  <c r="CW112" i="10"/>
  <c r="DH89" i="10" s="1"/>
  <c r="H68" i="13" s="1"/>
  <c r="U123" i="9"/>
  <c r="W122" i="9"/>
  <c r="X122" i="9" s="1"/>
  <c r="Z122" i="9"/>
  <c r="CX112" i="10"/>
  <c r="DH92" i="10" s="1"/>
  <c r="G108" i="17" s="1"/>
  <c r="A246" i="9"/>
  <c r="K245" i="9"/>
  <c r="F108" i="17"/>
  <c r="AM75" i="9"/>
  <c r="AC76" i="9"/>
  <c r="E121" i="10"/>
  <c r="D122" i="10"/>
  <c r="AE35" i="9"/>
  <c r="AF35" i="9" s="1"/>
  <c r="AJ35" i="9"/>
  <c r="CE120" i="10"/>
  <c r="CF119" i="10"/>
  <c r="CF120" i="10" s="1"/>
  <c r="CF121" i="10" s="1"/>
  <c r="AS120" i="10"/>
  <c r="AQ121" i="10"/>
  <c r="AQ122" i="10" s="1"/>
  <c r="AN123" i="9"/>
  <c r="AI124" i="9"/>
  <c r="AK123" i="9"/>
  <c r="AL123" i="9" s="1"/>
  <c r="AY117" i="9"/>
  <c r="J117" i="9"/>
  <c r="AZ117" i="9" s="1"/>
  <c r="C72" i="11"/>
  <c r="E72" i="11" s="1"/>
  <c r="H72" i="11" s="1"/>
  <c r="G72" i="11" s="1"/>
  <c r="B72" i="11"/>
  <c r="D71" i="11"/>
  <c r="F71" i="11" s="1"/>
  <c r="M116" i="10" l="1"/>
  <c r="CZ112" i="10" s="1"/>
  <c r="U117" i="10"/>
  <c r="U119" i="10" s="1"/>
  <c r="S119" i="10"/>
  <c r="BX119" i="10"/>
  <c r="BX120" i="10" s="1"/>
  <c r="BX121" i="10" s="1"/>
  <c r="BW120" i="10"/>
  <c r="CM120" i="10"/>
  <c r="CN119" i="10"/>
  <c r="CN120" i="10" s="1"/>
  <c r="CN121" i="10" s="1"/>
  <c r="K119" i="10"/>
  <c r="M117" i="10"/>
  <c r="M119" i="10" s="1"/>
  <c r="V69" i="11"/>
  <c r="X69" i="11" s="1"/>
  <c r="T70" i="11"/>
  <c r="U70" i="11"/>
  <c r="W70" i="11" s="1"/>
  <c r="Z70" i="11" s="1"/>
  <c r="Y70" i="11" s="1"/>
  <c r="K73" i="13"/>
  <c r="Y73" i="13" s="1"/>
  <c r="L74" i="13"/>
  <c r="Z74" i="13" s="1"/>
  <c r="G147" i="13"/>
  <c r="M75" i="13"/>
  <c r="AA75" i="13" s="1"/>
  <c r="C143" i="13"/>
  <c r="E145" i="13"/>
  <c r="N76" i="13"/>
  <c r="AB76" i="13" s="1"/>
  <c r="J72" i="13"/>
  <c r="X72" i="13" s="1"/>
  <c r="D144" i="13"/>
  <c r="I71" i="13"/>
  <c r="W71" i="13" s="1"/>
  <c r="H70" i="13"/>
  <c r="F146" i="13"/>
  <c r="H98" i="13"/>
  <c r="BB31" i="9"/>
  <c r="F31" i="9"/>
  <c r="AV31" i="9" s="1"/>
  <c r="E32" i="9"/>
  <c r="BQ120" i="10"/>
  <c r="BO121" i="10"/>
  <c r="BO122" i="10" s="1"/>
  <c r="AC161" i="9"/>
  <c r="AM160" i="9"/>
  <c r="E51" i="25"/>
  <c r="E62" i="18"/>
  <c r="F56" i="18"/>
  <c r="BA73" i="9"/>
  <c r="BN70" i="9" s="1"/>
  <c r="F130" i="15"/>
  <c r="F173" i="15" s="1"/>
  <c r="AZ127" i="10"/>
  <c r="AH123" i="9"/>
  <c r="AG124" i="9"/>
  <c r="AD124" i="9" s="1"/>
  <c r="CF122" i="10"/>
  <c r="S123" i="9"/>
  <c r="P123" i="9" s="1"/>
  <c r="T122" i="9"/>
  <c r="O161" i="9"/>
  <c r="Y160" i="9"/>
  <c r="AS121" i="10"/>
  <c r="BB203" i="9"/>
  <c r="F203" i="9"/>
  <c r="AV203" i="9" s="1"/>
  <c r="E204" i="9"/>
  <c r="C124" i="10"/>
  <c r="E122" i="10"/>
  <c r="E124" i="10" s="1"/>
  <c r="E10" i="22"/>
  <c r="E52" i="25"/>
  <c r="K6" i="3"/>
  <c r="L6" i="3" s="1"/>
  <c r="BA159" i="9"/>
  <c r="Q35" i="9"/>
  <c r="R35" i="9" s="1"/>
  <c r="V35" i="9"/>
  <c r="BI121" i="10"/>
  <c r="L71" i="11"/>
  <c r="N71" i="11" s="1"/>
  <c r="Q71" i="11" s="1"/>
  <c r="P71" i="11" s="1"/>
  <c r="K71" i="11"/>
  <c r="M70" i="11"/>
  <c r="O70" i="11" s="1"/>
  <c r="K186" i="15"/>
  <c r="K125" i="18" s="1"/>
  <c r="L187" i="15"/>
  <c r="AU118" i="9"/>
  <c r="B118" i="9"/>
  <c r="A75" i="9"/>
  <c r="K74" i="9"/>
  <c r="F76" i="25"/>
  <c r="F111" i="18"/>
  <c r="F103" i="25"/>
  <c r="AE208" i="9"/>
  <c r="AF208" i="9" s="1"/>
  <c r="AJ208" i="9"/>
  <c r="BA125" i="10"/>
  <c r="AY126" i="10"/>
  <c r="AY127" i="10" s="1"/>
  <c r="AA124" i="10"/>
  <c r="AC122" i="10"/>
  <c r="AC124" i="10" s="1"/>
  <c r="BI122" i="10"/>
  <c r="BI124" i="10" s="1"/>
  <c r="BG124" i="10"/>
  <c r="CH14" i="9"/>
  <c r="E110" i="17" s="1"/>
  <c r="BK28" i="9"/>
  <c r="O75" i="9"/>
  <c r="Y74" i="9"/>
  <c r="AS122" i="10"/>
  <c r="AS124" i="10" s="1"/>
  <c r="AQ124" i="10"/>
  <c r="CG120" i="10"/>
  <c r="CE121" i="10"/>
  <c r="CE122" i="10" s="1"/>
  <c r="F79" i="17"/>
  <c r="AW32" i="9"/>
  <c r="G113" i="18"/>
  <c r="AJ122" i="10"/>
  <c r="AG117" i="10"/>
  <c r="AH117" i="10" s="1"/>
  <c r="BM117" i="10"/>
  <c r="BN117" i="10" s="1"/>
  <c r="A161" i="9"/>
  <c r="K160" i="9"/>
  <c r="E72" i="18"/>
  <c r="T208" i="9"/>
  <c r="S209" i="9"/>
  <c r="P209" i="9" s="1"/>
  <c r="J85" i="25"/>
  <c r="F62" i="22"/>
  <c r="F80" i="25"/>
  <c r="F75" i="17"/>
  <c r="G53" i="22"/>
  <c r="F79" i="25"/>
  <c r="E123" i="18"/>
  <c r="E84" i="25"/>
  <c r="AW117" i="10"/>
  <c r="AX117" i="10" s="1"/>
  <c r="AY203" i="9"/>
  <c r="J203" i="9"/>
  <c r="AZ203" i="9" s="1"/>
  <c r="I85" i="25"/>
  <c r="C73" i="11"/>
  <c r="E73" i="11" s="1"/>
  <c r="H73" i="11" s="1"/>
  <c r="G73" i="11" s="1"/>
  <c r="B73" i="11"/>
  <c r="D72" i="11"/>
  <c r="F72" i="11" s="1"/>
  <c r="AI36" i="9"/>
  <c r="AN35" i="9"/>
  <c r="AK35" i="9"/>
  <c r="AL35" i="9" s="1"/>
  <c r="AM76" i="9"/>
  <c r="AC77" i="9"/>
  <c r="A247" i="9"/>
  <c r="K246" i="9"/>
  <c r="AY31" i="9"/>
  <c r="J31" i="9"/>
  <c r="AZ31" i="9" s="1"/>
  <c r="F168" i="14"/>
  <c r="F179" i="14"/>
  <c r="F122" i="14"/>
  <c r="F156" i="14" s="1"/>
  <c r="F63" i="22" s="1"/>
  <c r="AK120" i="10"/>
  <c r="AI121" i="10"/>
  <c r="AI122" i="10" s="1"/>
  <c r="BP122" i="10"/>
  <c r="I117" i="10"/>
  <c r="F16" i="18"/>
  <c r="Y245" i="9"/>
  <c r="O246" i="9"/>
  <c r="F180" i="15"/>
  <c r="U70" i="13"/>
  <c r="U82" i="13" s="1"/>
  <c r="G82" i="13"/>
  <c r="G99" i="18" s="1"/>
  <c r="AC246" i="9"/>
  <c r="AM245" i="9"/>
  <c r="BA244" i="9"/>
  <c r="AC121" i="10"/>
  <c r="T119" i="10" l="1"/>
  <c r="T120" i="10" s="1"/>
  <c r="T121" i="10" s="1"/>
  <c r="S120" i="10"/>
  <c r="CY117" i="10"/>
  <c r="DA112" i="10"/>
  <c r="DH91" i="10" s="1"/>
  <c r="H60" i="22" s="1"/>
  <c r="I60" i="22" s="1"/>
  <c r="CN122" i="10"/>
  <c r="CO120" i="10"/>
  <c r="CS117" i="10" s="1"/>
  <c r="CT117" i="10" s="1"/>
  <c r="CM121" i="10"/>
  <c r="CM122" i="10" s="1"/>
  <c r="BY120" i="10"/>
  <c r="CC117" i="10" s="1"/>
  <c r="CD117" i="10" s="1"/>
  <c r="BW121" i="10"/>
  <c r="BW122" i="10" s="1"/>
  <c r="T71" i="11"/>
  <c r="U71" i="11"/>
  <c r="W71" i="11" s="1"/>
  <c r="Z71" i="11" s="1"/>
  <c r="Y71" i="11" s="1"/>
  <c r="V70" i="11"/>
  <c r="X70" i="11" s="1"/>
  <c r="L119" i="10"/>
  <c r="L120" i="10" s="1"/>
  <c r="L121" i="10" s="1"/>
  <c r="K120" i="10"/>
  <c r="BX122" i="10"/>
  <c r="BY121" i="10"/>
  <c r="F126" i="18"/>
  <c r="BA245" i="9"/>
  <c r="O247" i="9"/>
  <c r="Y246" i="9"/>
  <c r="AK122" i="10"/>
  <c r="AK124" i="10" s="1"/>
  <c r="AI124" i="10"/>
  <c r="C74" i="11"/>
  <c r="E74" i="11" s="1"/>
  <c r="H74" i="11" s="1"/>
  <c r="G74" i="11" s="1"/>
  <c r="D73" i="11"/>
  <c r="F73" i="11" s="1"/>
  <c r="B74" i="11"/>
  <c r="G66" i="22"/>
  <c r="F51" i="18"/>
  <c r="G73" i="25"/>
  <c r="AQ125" i="10"/>
  <c r="AR124" i="10"/>
  <c r="AR125" i="10" s="1"/>
  <c r="AR126" i="10" s="1"/>
  <c r="Y75" i="9"/>
  <c r="O76" i="9"/>
  <c r="AB124" i="10"/>
  <c r="AB125" i="10" s="1"/>
  <c r="AB126" i="10" s="1"/>
  <c r="AA125" i="10"/>
  <c r="F138" i="18"/>
  <c r="C118" i="9"/>
  <c r="AR118" i="9"/>
  <c r="H118" i="9"/>
  <c r="U36" i="9"/>
  <c r="Z35" i="9"/>
  <c r="W35" i="9"/>
  <c r="X35" i="9" s="1"/>
  <c r="D7" i="27"/>
  <c r="D57" i="17"/>
  <c r="C6" i="3"/>
  <c r="D6" i="3" s="1"/>
  <c r="E14" i="22"/>
  <c r="B204" i="9"/>
  <c r="AU204" i="9"/>
  <c r="O162" i="9"/>
  <c r="Y161" i="9"/>
  <c r="E53" i="25"/>
  <c r="AC162" i="9"/>
  <c r="AM161" i="9"/>
  <c r="B32" i="9"/>
  <c r="AU32" i="9"/>
  <c r="G59" i="25"/>
  <c r="G98" i="18"/>
  <c r="J117" i="10"/>
  <c r="A248" i="9"/>
  <c r="K247" i="9"/>
  <c r="AH35" i="9"/>
  <c r="AG36" i="9"/>
  <c r="AD36" i="9" s="1"/>
  <c r="BA127" i="10"/>
  <c r="BA129" i="10" s="1"/>
  <c r="AY129" i="10"/>
  <c r="L72" i="11"/>
  <c r="N72" i="11" s="1"/>
  <c r="Q72" i="11" s="1"/>
  <c r="P72" i="11" s="1"/>
  <c r="M71" i="11"/>
  <c r="O71" i="11" s="1"/>
  <c r="K72" i="11"/>
  <c r="BA126" i="10"/>
  <c r="AO117" i="10"/>
  <c r="AP117" i="10" s="1"/>
  <c r="CH17" i="9"/>
  <c r="BM28" i="9"/>
  <c r="AM77" i="9"/>
  <c r="AC78" i="9"/>
  <c r="Q209" i="9"/>
  <c r="R209" i="9" s="1"/>
  <c r="V209" i="9"/>
  <c r="BA160" i="9"/>
  <c r="AK121" i="10"/>
  <c r="F71" i="25"/>
  <c r="BA74" i="9"/>
  <c r="BN71" i="9" s="1"/>
  <c r="L186" i="15"/>
  <c r="L125" i="18" s="1"/>
  <c r="M187" i="15"/>
  <c r="D124" i="10"/>
  <c r="D125" i="10" s="1"/>
  <c r="D126" i="10" s="1"/>
  <c r="C125" i="10"/>
  <c r="Q123" i="9"/>
  <c r="R123" i="9" s="1"/>
  <c r="V123" i="9"/>
  <c r="CG121" i="10"/>
  <c r="F192" i="15"/>
  <c r="E83" i="25"/>
  <c r="E139" i="18"/>
  <c r="G142" i="14"/>
  <c r="G157" i="15"/>
  <c r="F82" i="17"/>
  <c r="F77" i="17" s="1"/>
  <c r="G159" i="15"/>
  <c r="F85" i="17"/>
  <c r="G143" i="14"/>
  <c r="G137" i="14"/>
  <c r="G141" i="14"/>
  <c r="G136" i="14"/>
  <c r="G144" i="14"/>
  <c r="G156" i="15"/>
  <c r="G160" i="15"/>
  <c r="F86" i="17"/>
  <c r="G139" i="14"/>
  <c r="G140" i="14"/>
  <c r="G138" i="14"/>
  <c r="G135" i="14"/>
  <c r="G158" i="15"/>
  <c r="CI13" i="9"/>
  <c r="BI29" i="9"/>
  <c r="BJ29" i="9" s="1"/>
  <c r="CE124" i="10"/>
  <c r="CG122" i="10"/>
  <c r="CG124" i="10" s="1"/>
  <c r="BQ122" i="10"/>
  <c r="BQ124" i="10" s="1"/>
  <c r="BO124" i="10"/>
  <c r="H82" i="13"/>
  <c r="H99" i="18" s="1"/>
  <c r="V70" i="13"/>
  <c r="V82" i="13" s="1"/>
  <c r="AM246" i="9"/>
  <c r="AC247" i="9"/>
  <c r="F8" i="25"/>
  <c r="F19" i="18"/>
  <c r="BQ121" i="10"/>
  <c r="CH16" i="9"/>
  <c r="BL28" i="9"/>
  <c r="K161" i="9"/>
  <c r="A162" i="9"/>
  <c r="CK117" i="10"/>
  <c r="CL117" i="10" s="1"/>
  <c r="BH124" i="10"/>
  <c r="BH125" i="10" s="1"/>
  <c r="BH126" i="10" s="1"/>
  <c r="BG125" i="10"/>
  <c r="BE122" i="10"/>
  <c r="BF122" i="10" s="1"/>
  <c r="AK208" i="9"/>
  <c r="AL208" i="9" s="1"/>
  <c r="AN208" i="9"/>
  <c r="AI209" i="9"/>
  <c r="A76" i="9"/>
  <c r="K75" i="9"/>
  <c r="K85" i="25"/>
  <c r="AE124" i="9"/>
  <c r="AF124" i="9" s="1"/>
  <c r="AJ124" i="9"/>
  <c r="F47" i="25"/>
  <c r="BU117" i="10"/>
  <c r="BV117" i="10" s="1"/>
  <c r="H53" i="22"/>
  <c r="I53" i="22" s="1"/>
  <c r="G75" i="17"/>
  <c r="CO121" i="10" l="1"/>
  <c r="U120" i="10"/>
  <c r="Y117" i="10" s="1"/>
  <c r="Z117" i="10" s="1"/>
  <c r="S121" i="10"/>
  <c r="S122" i="10" s="1"/>
  <c r="T122" i="10"/>
  <c r="CO122" i="10"/>
  <c r="CO124" i="10" s="1"/>
  <c r="CM124" i="10"/>
  <c r="BA246" i="9"/>
  <c r="M120" i="10"/>
  <c r="Q117" i="10" s="1"/>
  <c r="R117" i="10" s="1"/>
  <c r="K121" i="10"/>
  <c r="K122" i="10" s="1"/>
  <c r="V71" i="11"/>
  <c r="X71" i="11" s="1"/>
  <c r="T72" i="11"/>
  <c r="U72" i="11"/>
  <c r="W72" i="11" s="1"/>
  <c r="Z72" i="11" s="1"/>
  <c r="Y72" i="11" s="1"/>
  <c r="L122" i="10"/>
  <c r="M121" i="10"/>
  <c r="BY122" i="10"/>
  <c r="BY124" i="10" s="1"/>
  <c r="BW124" i="10"/>
  <c r="U210" i="9"/>
  <c r="Z209" i="9"/>
  <c r="W209" i="9"/>
  <c r="X209" i="9" s="1"/>
  <c r="AJ36" i="9"/>
  <c r="AE36" i="9"/>
  <c r="AF36" i="9" s="1"/>
  <c r="F86" i="25"/>
  <c r="F124" i="18"/>
  <c r="H159" i="15"/>
  <c r="H184" i="15" s="1"/>
  <c r="H143" i="14"/>
  <c r="H142" i="14"/>
  <c r="G82" i="17"/>
  <c r="H157" i="15"/>
  <c r="H182" i="15" s="1"/>
  <c r="G85" i="17"/>
  <c r="H119" i="18" s="1"/>
  <c r="H79" i="25" s="1"/>
  <c r="H140" i="14"/>
  <c r="H139" i="14"/>
  <c r="G86" i="17"/>
  <c r="H120" i="18" s="1"/>
  <c r="H80" i="25" s="1"/>
  <c r="H141" i="14"/>
  <c r="H136" i="14"/>
  <c r="H156" i="15"/>
  <c r="H160" i="15"/>
  <c r="H185" i="15" s="1"/>
  <c r="H138" i="14"/>
  <c r="H144" i="14"/>
  <c r="H137" i="14"/>
  <c r="H158" i="15"/>
  <c r="H183" i="15" s="1"/>
  <c r="H135" i="14"/>
  <c r="BA75" i="9"/>
  <c r="BN72" i="9" s="1"/>
  <c r="BH127" i="10"/>
  <c r="H66" i="22"/>
  <c r="I66" i="22" s="1"/>
  <c r="A77" i="9"/>
  <c r="K76" i="9"/>
  <c r="AC248" i="9"/>
  <c r="AM247" i="9"/>
  <c r="BA247" i="9" s="1"/>
  <c r="BO125" i="10"/>
  <c r="BP124" i="10"/>
  <c r="BP125" i="10" s="1"/>
  <c r="BP126" i="10" s="1"/>
  <c r="G155" i="15"/>
  <c r="G181" i="15"/>
  <c r="G116" i="18"/>
  <c r="M186" i="15"/>
  <c r="M125" i="18" s="1"/>
  <c r="N187" i="15"/>
  <c r="AM78" i="9"/>
  <c r="AC79" i="9"/>
  <c r="K248" i="9"/>
  <c r="A249" i="9"/>
  <c r="G58" i="25"/>
  <c r="E17" i="22"/>
  <c r="Y76" i="9"/>
  <c r="O77" i="9"/>
  <c r="F21" i="22"/>
  <c r="F42" i="25"/>
  <c r="F54" i="18"/>
  <c r="F57" i="18" s="1"/>
  <c r="D74" i="11"/>
  <c r="F74" i="11" s="1"/>
  <c r="C75" i="11"/>
  <c r="E75" i="11" s="1"/>
  <c r="H75" i="11" s="1"/>
  <c r="G75" i="11" s="1"/>
  <c r="B75" i="11"/>
  <c r="AI125" i="10"/>
  <c r="AJ124" i="10"/>
  <c r="AJ125" i="10" s="1"/>
  <c r="AJ126" i="10" s="1"/>
  <c r="O248" i="9"/>
  <c r="Y247" i="9"/>
  <c r="G183" i="15"/>
  <c r="Y162" i="9"/>
  <c r="O163" i="9"/>
  <c r="AS118" i="9"/>
  <c r="D118" i="9"/>
  <c r="AT118" i="9" s="1"/>
  <c r="AN124" i="9"/>
  <c r="AI125" i="9"/>
  <c r="AK124" i="9"/>
  <c r="AL124" i="9" s="1"/>
  <c r="BI125" i="10"/>
  <c r="BG126" i="10"/>
  <c r="BG127" i="10" s="1"/>
  <c r="CX117" i="10"/>
  <c r="DI92" i="10" s="1"/>
  <c r="H108" i="17" s="1"/>
  <c r="BA161" i="9"/>
  <c r="I7" i="3"/>
  <c r="F11" i="25"/>
  <c r="G134" i="14"/>
  <c r="G120" i="18"/>
  <c r="G119" i="18"/>
  <c r="U124" i="9"/>
  <c r="Z123" i="9"/>
  <c r="W123" i="9"/>
  <c r="X123" i="9" s="1"/>
  <c r="E125" i="10"/>
  <c r="C126" i="10"/>
  <c r="C127" i="10" s="1"/>
  <c r="AY130" i="10"/>
  <c r="AZ129" i="10"/>
  <c r="AZ130" i="10" s="1"/>
  <c r="AZ131" i="10" s="1"/>
  <c r="CW117" i="10"/>
  <c r="DI89" i="10" s="1"/>
  <c r="I68" i="13" s="1"/>
  <c r="BG29" i="9"/>
  <c r="BH29" i="9" s="1"/>
  <c r="CI12" i="9"/>
  <c r="G136" i="18" s="1"/>
  <c r="H204" i="9"/>
  <c r="AR204" i="9"/>
  <c r="C204" i="9"/>
  <c r="E116" i="17"/>
  <c r="F98" i="25"/>
  <c r="AC125" i="10"/>
  <c r="AA126" i="10"/>
  <c r="AA127" i="10" s="1"/>
  <c r="AR127" i="10"/>
  <c r="K162" i="9"/>
  <c r="A163" i="9"/>
  <c r="CF124" i="10"/>
  <c r="CF125" i="10" s="1"/>
  <c r="CF126" i="10" s="1"/>
  <c r="CE125" i="10"/>
  <c r="G182" i="15"/>
  <c r="L85" i="25"/>
  <c r="G62" i="22"/>
  <c r="AM162" i="9"/>
  <c r="AC163" i="9"/>
  <c r="S36" i="9"/>
  <c r="P36" i="9" s="1"/>
  <c r="T35" i="9"/>
  <c r="AH208" i="9"/>
  <c r="AG209" i="9"/>
  <c r="AD209" i="9" s="1"/>
  <c r="H59" i="25"/>
  <c r="H98" i="18"/>
  <c r="G185" i="15"/>
  <c r="G184" i="15"/>
  <c r="J18" i="3"/>
  <c r="E99" i="25"/>
  <c r="D127" i="10"/>
  <c r="CH18" i="9"/>
  <c r="K73" i="11"/>
  <c r="L73" i="11"/>
  <c r="N73" i="11" s="1"/>
  <c r="Q73" i="11" s="1"/>
  <c r="P73" i="11" s="1"/>
  <c r="M72" i="11"/>
  <c r="O72" i="11" s="1"/>
  <c r="C32" i="9"/>
  <c r="H32" i="9"/>
  <c r="AR32" i="9"/>
  <c r="D12" i="27"/>
  <c r="AX118" i="9"/>
  <c r="I118" i="9"/>
  <c r="G119" i="9"/>
  <c r="AW119" i="9" s="1"/>
  <c r="L118" i="9"/>
  <c r="AB127" i="10"/>
  <c r="AC126" i="10"/>
  <c r="AS125" i="10"/>
  <c r="AQ126" i="10"/>
  <c r="AQ127" i="10" s="1"/>
  <c r="U121" i="10" l="1"/>
  <c r="CZ117" i="10" s="1"/>
  <c r="S124" i="10"/>
  <c r="U122" i="10"/>
  <c r="U124" i="10" s="1"/>
  <c r="U73" i="11"/>
  <c r="W73" i="11" s="1"/>
  <c r="Z73" i="11" s="1"/>
  <c r="Y73" i="11" s="1"/>
  <c r="V72" i="11"/>
  <c r="X72" i="11" s="1"/>
  <c r="T73" i="11"/>
  <c r="BX124" i="10"/>
  <c r="BX125" i="10" s="1"/>
  <c r="BX126" i="10" s="1"/>
  <c r="BW125" i="10"/>
  <c r="K124" i="10"/>
  <c r="M122" i="10"/>
  <c r="M124" i="10" s="1"/>
  <c r="CM125" i="10"/>
  <c r="CN124" i="10"/>
  <c r="CN125" i="10" s="1"/>
  <c r="CN126" i="10" s="1"/>
  <c r="F48" i="25"/>
  <c r="F59" i="18"/>
  <c r="C129" i="10"/>
  <c r="E127" i="10"/>
  <c r="E129" i="10" s="1"/>
  <c r="G79" i="25"/>
  <c r="K74" i="11"/>
  <c r="L74" i="11"/>
  <c r="N74" i="11" s="1"/>
  <c r="Q74" i="11" s="1"/>
  <c r="P74" i="11" s="1"/>
  <c r="M73" i="11"/>
  <c r="O73" i="11" s="1"/>
  <c r="E126" i="10"/>
  <c r="BB118" i="9"/>
  <c r="F118" i="9"/>
  <c r="AV118" i="9" s="1"/>
  <c r="E119" i="9"/>
  <c r="AX32" i="9"/>
  <c r="L32" i="9"/>
  <c r="I32" i="9"/>
  <c r="G33" i="9"/>
  <c r="CF127" i="10"/>
  <c r="AA129" i="10"/>
  <c r="AC127" i="10"/>
  <c r="AC129" i="10" s="1"/>
  <c r="G96" i="25"/>
  <c r="G68" i="22"/>
  <c r="BA130" i="10"/>
  <c r="AY131" i="10"/>
  <c r="AY132" i="10" s="1"/>
  <c r="BI127" i="10"/>
  <c r="BI129" i="10" s="1"/>
  <c r="BG129" i="10"/>
  <c r="Y163" i="9"/>
  <c r="O164" i="9"/>
  <c r="C76" i="11"/>
  <c r="E76" i="11" s="1"/>
  <c r="H76" i="11" s="1"/>
  <c r="G76" i="11" s="1"/>
  <c r="D75" i="11"/>
  <c r="F75" i="11" s="1"/>
  <c r="B76" i="11"/>
  <c r="K249" i="9"/>
  <c r="A250" i="9"/>
  <c r="N186" i="15"/>
  <c r="O187" i="15"/>
  <c r="G76" i="25"/>
  <c r="G111" i="18"/>
  <c r="BP127" i="10"/>
  <c r="BA76" i="9"/>
  <c r="BN73" i="9" s="1"/>
  <c r="BI126" i="10"/>
  <c r="H134" i="14"/>
  <c r="T209" i="9"/>
  <c r="S210" i="9"/>
  <c r="P210" i="9" s="1"/>
  <c r="AS127" i="10"/>
  <c r="AS129" i="10" s="1"/>
  <c r="AQ129" i="10"/>
  <c r="AS32" i="9"/>
  <c r="D32" i="9"/>
  <c r="AT32" i="9" s="1"/>
  <c r="AJ209" i="9"/>
  <c r="AE209" i="9"/>
  <c r="AF209" i="9" s="1"/>
  <c r="L204" i="9"/>
  <c r="AX204" i="9"/>
  <c r="G205" i="9"/>
  <c r="AW205" i="9" s="1"/>
  <c r="I204" i="9"/>
  <c r="S124" i="9"/>
  <c r="P124" i="9" s="1"/>
  <c r="T123" i="9"/>
  <c r="AG125" i="9"/>
  <c r="AD125" i="9" s="1"/>
  <c r="AH124" i="9"/>
  <c r="Y248" i="9"/>
  <c r="O249" i="9"/>
  <c r="M85" i="25"/>
  <c r="K77" i="9"/>
  <c r="A78" i="9"/>
  <c r="K163" i="9"/>
  <c r="A164" i="9"/>
  <c r="AS126" i="10"/>
  <c r="AG122" i="10"/>
  <c r="AH122" i="10" s="1"/>
  <c r="L73" i="13"/>
  <c r="Z73" i="13" s="1"/>
  <c r="K72" i="13"/>
  <c r="Y72" i="13" s="1"/>
  <c r="N75" i="13"/>
  <c r="AB75" i="13" s="1"/>
  <c r="C142" i="13"/>
  <c r="I98" i="13"/>
  <c r="M74" i="13"/>
  <c r="AA74" i="13" s="1"/>
  <c r="F145" i="13"/>
  <c r="I70" i="13"/>
  <c r="G146" i="13"/>
  <c r="J71" i="13"/>
  <c r="X71" i="13" s="1"/>
  <c r="H147" i="13"/>
  <c r="D143" i="13"/>
  <c r="E144" i="13"/>
  <c r="BM122" i="10"/>
  <c r="BN122" i="10" s="1"/>
  <c r="AJ127" i="10"/>
  <c r="I21" i="22"/>
  <c r="E58" i="17"/>
  <c r="E20" i="22"/>
  <c r="AM79" i="9"/>
  <c r="AC80" i="9"/>
  <c r="G180" i="15"/>
  <c r="G192" i="15" s="1"/>
  <c r="H155" i="15"/>
  <c r="H130" i="15" s="1"/>
  <c r="H173" i="15" s="1"/>
  <c r="H181" i="15"/>
  <c r="H180" i="15" s="1"/>
  <c r="H116" i="18"/>
  <c r="AN36" i="9"/>
  <c r="AK36" i="9"/>
  <c r="AL36" i="9" s="1"/>
  <c r="AI37" i="9"/>
  <c r="Q36" i="9"/>
  <c r="R36" i="9" s="1"/>
  <c r="V36" i="9"/>
  <c r="G179" i="14"/>
  <c r="G168" i="14"/>
  <c r="G122" i="14"/>
  <c r="G156" i="14" s="1"/>
  <c r="BQ125" i="10"/>
  <c r="BO126" i="10"/>
  <c r="BO127" i="10" s="1"/>
  <c r="AY118" i="9"/>
  <c r="J118" i="9"/>
  <c r="AZ118" i="9" s="1"/>
  <c r="H58" i="25"/>
  <c r="AC164" i="9"/>
  <c r="AM163" i="9"/>
  <c r="AW122" i="10"/>
  <c r="AX122" i="10" s="1"/>
  <c r="CG125" i="10"/>
  <c r="CE126" i="10"/>
  <c r="CE127" i="10" s="1"/>
  <c r="BA162" i="9"/>
  <c r="AS204" i="9"/>
  <c r="D204" i="9"/>
  <c r="AT204" i="9" s="1"/>
  <c r="AZ132" i="10"/>
  <c r="I122" i="10"/>
  <c r="G80" i="25"/>
  <c r="AK125" i="10"/>
  <c r="AI126" i="10"/>
  <c r="AI127" i="10" s="1"/>
  <c r="F45" i="25"/>
  <c r="E4" i="24" s="1"/>
  <c r="E5" i="24" s="1"/>
  <c r="E6" i="24" s="1"/>
  <c r="J7" i="3"/>
  <c r="Y77" i="9"/>
  <c r="O78" i="9"/>
  <c r="G130" i="15"/>
  <c r="G173" i="15" s="1"/>
  <c r="AM248" i="9"/>
  <c r="AC249" i="9"/>
  <c r="F123" i="18"/>
  <c r="F84" i="25"/>
  <c r="CY122" i="10" l="1"/>
  <c r="DA117" i="10"/>
  <c r="DI91" i="10" s="1"/>
  <c r="C83" i="22" s="1"/>
  <c r="T124" i="10"/>
  <c r="T125" i="10" s="1"/>
  <c r="T126" i="10" s="1"/>
  <c r="S125" i="10"/>
  <c r="BA131" i="10"/>
  <c r="CO125" i="10"/>
  <c r="CS122" i="10" s="1"/>
  <c r="CT122" i="10" s="1"/>
  <c r="CM126" i="10"/>
  <c r="CM127" i="10" s="1"/>
  <c r="BY125" i="10"/>
  <c r="CC122" i="10" s="1"/>
  <c r="CD122" i="10" s="1"/>
  <c r="BW126" i="10"/>
  <c r="BW127" i="10" s="1"/>
  <c r="BX127" i="10"/>
  <c r="BY126" i="10"/>
  <c r="G63" i="22"/>
  <c r="F122" i="17" s="1"/>
  <c r="CN127" i="10"/>
  <c r="L124" i="10"/>
  <c r="L125" i="10" s="1"/>
  <c r="L126" i="10" s="1"/>
  <c r="K125" i="10"/>
  <c r="T74" i="11"/>
  <c r="V73" i="11"/>
  <c r="X73" i="11" s="1"/>
  <c r="U74" i="11"/>
  <c r="W74" i="11" s="1"/>
  <c r="Z74" i="11" s="1"/>
  <c r="Y74" i="11" s="1"/>
  <c r="AQ130" i="10"/>
  <c r="AR129" i="10"/>
  <c r="AR130" i="10" s="1"/>
  <c r="AR131" i="10" s="1"/>
  <c r="N125" i="18"/>
  <c r="O186" i="15"/>
  <c r="Y164" i="9"/>
  <c r="O165" i="9"/>
  <c r="AU119" i="9"/>
  <c r="B119" i="9"/>
  <c r="AM249" i="9"/>
  <c r="AC250" i="9"/>
  <c r="AO122" i="10"/>
  <c r="AP122" i="10" s="1"/>
  <c r="CE129" i="10"/>
  <c r="CG127" i="10"/>
  <c r="CG129" i="10" s="1"/>
  <c r="Z36" i="9"/>
  <c r="W36" i="9"/>
  <c r="X36" i="9" s="1"/>
  <c r="U37" i="9"/>
  <c r="AG37" i="9"/>
  <c r="AD37" i="9" s="1"/>
  <c r="AH36" i="9"/>
  <c r="AM80" i="9"/>
  <c r="AC81" i="9"/>
  <c r="K164" i="9"/>
  <c r="A165" i="9"/>
  <c r="BA77" i="9"/>
  <c r="BN74" i="9" s="1"/>
  <c r="V124" i="9"/>
  <c r="Q124" i="9"/>
  <c r="R124" i="9" s="1"/>
  <c r="F204" i="9"/>
  <c r="AV204" i="9" s="1"/>
  <c r="BB204" i="9"/>
  <c r="E205" i="9"/>
  <c r="CI14" i="9"/>
  <c r="BK29" i="9"/>
  <c r="V210" i="9"/>
  <c r="Q210" i="9"/>
  <c r="R210" i="9" s="1"/>
  <c r="G71" i="25"/>
  <c r="BE127" i="10"/>
  <c r="BF127" i="10" s="1"/>
  <c r="AB129" i="10"/>
  <c r="AB130" i="10" s="1"/>
  <c r="AB131" i="10" s="1"/>
  <c r="AA130" i="10"/>
  <c r="AW33" i="9"/>
  <c r="G79" i="17"/>
  <c r="G77" i="17" s="1"/>
  <c r="H62" i="22" s="1"/>
  <c r="H113" i="18"/>
  <c r="K75" i="11"/>
  <c r="L75" i="11"/>
  <c r="N75" i="11" s="1"/>
  <c r="Q75" i="11" s="1"/>
  <c r="P75" i="11" s="1"/>
  <c r="M74" i="11"/>
  <c r="O74" i="11" s="1"/>
  <c r="Y78" i="9"/>
  <c r="O79" i="9"/>
  <c r="BU122" i="10"/>
  <c r="BV122" i="10" s="1"/>
  <c r="AY204" i="9"/>
  <c r="J204" i="9"/>
  <c r="AZ204" i="9" s="1"/>
  <c r="AY32" i="9"/>
  <c r="J32" i="9"/>
  <c r="AZ32" i="9" s="1"/>
  <c r="F83" i="25"/>
  <c r="AK127" i="10"/>
  <c r="AK129" i="10" s="1"/>
  <c r="AI129" i="10"/>
  <c r="J122" i="10"/>
  <c r="CK122" i="10"/>
  <c r="CL122" i="10" s="1"/>
  <c r="AC165" i="9"/>
  <c r="AM164" i="9"/>
  <c r="H76" i="25"/>
  <c r="AK126" i="10"/>
  <c r="C76" i="22"/>
  <c r="H75" i="17"/>
  <c r="AJ125" i="9"/>
  <c r="AE125" i="9"/>
  <c r="AF125" i="9" s="1"/>
  <c r="AK209" i="9"/>
  <c r="AL209" i="9" s="1"/>
  <c r="AN209" i="9"/>
  <c r="AI210" i="9"/>
  <c r="H179" i="14"/>
  <c r="H126" i="18" s="1"/>
  <c r="H168" i="14"/>
  <c r="H122" i="14"/>
  <c r="H156" i="14" s="1"/>
  <c r="H63" i="22" s="1"/>
  <c r="I63" i="22" s="1"/>
  <c r="BQ126" i="10"/>
  <c r="A251" i="9"/>
  <c r="K250" i="9"/>
  <c r="BA132" i="10"/>
  <c r="BA134" i="10" s="1"/>
  <c r="AY134" i="10"/>
  <c r="BB32" i="9"/>
  <c r="F32" i="9"/>
  <c r="AV32" i="9" s="1"/>
  <c r="E33" i="9"/>
  <c r="C130" i="10"/>
  <c r="D129" i="10"/>
  <c r="D130" i="10" s="1"/>
  <c r="D131" i="10" s="1"/>
  <c r="F71" i="18"/>
  <c r="F70" i="18"/>
  <c r="F82" i="18"/>
  <c r="F50" i="25"/>
  <c r="F6" i="24"/>
  <c r="BA163" i="9"/>
  <c r="C77" i="11"/>
  <c r="E77" i="11" s="1"/>
  <c r="H77" i="11" s="1"/>
  <c r="G77" i="11" s="1"/>
  <c r="D76" i="11"/>
  <c r="F76" i="11" s="1"/>
  <c r="B77" i="11"/>
  <c r="BQ127" i="10"/>
  <c r="BQ129" i="10" s="1"/>
  <c r="BO129" i="10"/>
  <c r="BA248" i="9"/>
  <c r="G126" i="18"/>
  <c r="H192" i="15"/>
  <c r="E22" i="22"/>
  <c r="W70" i="13"/>
  <c r="W82" i="13" s="1"/>
  <c r="I82" i="13"/>
  <c r="I99" i="18" s="1"/>
  <c r="K78" i="9"/>
  <c r="A79" i="9"/>
  <c r="Y249" i="9"/>
  <c r="BA249" i="9" s="1"/>
  <c r="O250" i="9"/>
  <c r="BG130" i="10"/>
  <c r="BH129" i="10"/>
  <c r="BH130" i="10" s="1"/>
  <c r="BH131" i="10" s="1"/>
  <c r="CG126" i="10"/>
  <c r="CO126" i="10" l="1"/>
  <c r="U125" i="10"/>
  <c r="Y122" i="10" s="1"/>
  <c r="Z122" i="10" s="1"/>
  <c r="S126" i="10"/>
  <c r="S127" i="10" s="1"/>
  <c r="T127" i="10"/>
  <c r="U126" i="10"/>
  <c r="CX122" i="10"/>
  <c r="DJ92" i="10" s="1"/>
  <c r="I108" i="17" s="1"/>
  <c r="T75" i="11"/>
  <c r="V74" i="11"/>
  <c r="X74" i="11" s="1"/>
  <c r="U75" i="11"/>
  <c r="W75" i="11" s="1"/>
  <c r="Z75" i="11" s="1"/>
  <c r="Y75" i="11" s="1"/>
  <c r="BY127" i="10"/>
  <c r="BY129" i="10" s="1"/>
  <c r="BW129" i="10"/>
  <c r="M125" i="10"/>
  <c r="Q122" i="10" s="1"/>
  <c r="R122" i="10" s="1"/>
  <c r="K126" i="10"/>
  <c r="K127" i="10" s="1"/>
  <c r="L127" i="10"/>
  <c r="CM129" i="10"/>
  <c r="CO127" i="10"/>
  <c r="CO129" i="10" s="1"/>
  <c r="K79" i="9"/>
  <c r="A80" i="9"/>
  <c r="G6" i="24"/>
  <c r="AU33" i="9"/>
  <c r="B33" i="9"/>
  <c r="H86" i="25"/>
  <c r="H124" i="18"/>
  <c r="I143" i="14"/>
  <c r="H85" i="17"/>
  <c r="I119" i="18" s="1"/>
  <c r="I79" i="25" s="1"/>
  <c r="I159" i="15"/>
  <c r="I184" i="15" s="1"/>
  <c r="H82" i="17"/>
  <c r="I142" i="14"/>
  <c r="I157" i="15"/>
  <c r="I182" i="15" s="1"/>
  <c r="I138" i="14"/>
  <c r="I156" i="15"/>
  <c r="I141" i="14"/>
  <c r="H86" i="17"/>
  <c r="I120" i="18" s="1"/>
  <c r="I80" i="25" s="1"/>
  <c r="I137" i="14"/>
  <c r="I139" i="14"/>
  <c r="I140" i="14"/>
  <c r="I160" i="15"/>
  <c r="I185" i="15" s="1"/>
  <c r="I136" i="14"/>
  <c r="I144" i="14"/>
  <c r="I158" i="15"/>
  <c r="I183" i="15" s="1"/>
  <c r="I135" i="14"/>
  <c r="B205" i="9"/>
  <c r="AU205" i="9"/>
  <c r="BH132" i="10"/>
  <c r="BI130" i="10"/>
  <c r="BG131" i="10"/>
  <c r="BG132" i="10" s="1"/>
  <c r="I59" i="25"/>
  <c r="I98" i="18"/>
  <c r="BO130" i="10"/>
  <c r="BP129" i="10"/>
  <c r="BP130" i="10" s="1"/>
  <c r="BP131" i="10" s="1"/>
  <c r="E130" i="10"/>
  <c r="C131" i="10"/>
  <c r="C132" i="10" s="1"/>
  <c r="AZ134" i="10"/>
  <c r="AZ135" i="10" s="1"/>
  <c r="AZ136" i="10" s="1"/>
  <c r="AY135" i="10"/>
  <c r="AJ129" i="10"/>
  <c r="AJ130" i="10" s="1"/>
  <c r="AJ131" i="10" s="1"/>
  <c r="AI130" i="10"/>
  <c r="I62" i="22"/>
  <c r="F110" i="17"/>
  <c r="G138" i="18"/>
  <c r="K165" i="9"/>
  <c r="A166" i="9"/>
  <c r="CE130" i="10"/>
  <c r="CF129" i="10"/>
  <c r="CF130" i="10" s="1"/>
  <c r="CF131" i="10" s="1"/>
  <c r="N85" i="25"/>
  <c r="O125" i="18"/>
  <c r="U125" i="9"/>
  <c r="W124" i="9"/>
  <c r="X124" i="9" s="1"/>
  <c r="Z124" i="9"/>
  <c r="T36" i="9"/>
  <c r="S37" i="9"/>
  <c r="P37" i="9" s="1"/>
  <c r="Y165" i="9"/>
  <c r="O166" i="9"/>
  <c r="AR132" i="10"/>
  <c r="BA78" i="9"/>
  <c r="BN75" i="9" s="1"/>
  <c r="G86" i="25"/>
  <c r="G124" i="18"/>
  <c r="F61" i="18"/>
  <c r="AI126" i="9"/>
  <c r="AK125" i="9"/>
  <c r="AL125" i="9" s="1"/>
  <c r="AN125" i="9"/>
  <c r="C89" i="22"/>
  <c r="CW122" i="10"/>
  <c r="DJ89" i="10" s="1"/>
  <c r="J68" i="13" s="1"/>
  <c r="CI17" i="9"/>
  <c r="BM29" i="9"/>
  <c r="Y79" i="9"/>
  <c r="O80" i="9"/>
  <c r="AC130" i="10"/>
  <c r="AA131" i="10"/>
  <c r="AA132" i="10" s="1"/>
  <c r="U211" i="9"/>
  <c r="W210" i="9"/>
  <c r="X210" i="9" s="1"/>
  <c r="Z210" i="9"/>
  <c r="AE37" i="9"/>
  <c r="AF37" i="9" s="1"/>
  <c r="AJ37" i="9"/>
  <c r="AS130" i="10"/>
  <c r="AQ131" i="10"/>
  <c r="AQ132" i="10" s="1"/>
  <c r="B78" i="11"/>
  <c r="C78" i="11"/>
  <c r="E78" i="11" s="1"/>
  <c r="H78" i="11" s="1"/>
  <c r="G78" i="11" s="1"/>
  <c r="D77" i="11"/>
  <c r="F77" i="11" s="1"/>
  <c r="F60" i="18"/>
  <c r="F73" i="18"/>
  <c r="K251" i="9"/>
  <c r="A252" i="9"/>
  <c r="CJ13" i="9"/>
  <c r="BI30" i="9"/>
  <c r="BJ30" i="9" s="1"/>
  <c r="BA164" i="9"/>
  <c r="O251" i="9"/>
  <c r="Y250" i="9"/>
  <c r="F9" i="22"/>
  <c r="F83" i="18"/>
  <c r="F84" i="18" s="1"/>
  <c r="D132" i="10"/>
  <c r="AG210" i="9"/>
  <c r="AD210" i="9" s="1"/>
  <c r="AH209" i="9"/>
  <c r="AC166" i="9"/>
  <c r="AM165" i="9"/>
  <c r="CI16" i="9"/>
  <c r="BL29" i="9"/>
  <c r="L76" i="11"/>
  <c r="N76" i="11" s="1"/>
  <c r="Q76" i="11" s="1"/>
  <c r="P76" i="11" s="1"/>
  <c r="K76" i="11"/>
  <c r="M75" i="11"/>
  <c r="O75" i="11" s="1"/>
  <c r="H73" i="25"/>
  <c r="H111" i="18"/>
  <c r="AB132" i="10"/>
  <c r="AC82" i="9"/>
  <c r="AM81" i="9"/>
  <c r="AC251" i="9"/>
  <c r="AM250" i="9"/>
  <c r="AR119" i="9"/>
  <c r="C119" i="9"/>
  <c r="H119" i="9"/>
  <c r="U127" i="10" l="1"/>
  <c r="U129" i="10" s="1"/>
  <c r="S129" i="10"/>
  <c r="AC131" i="10"/>
  <c r="CM130" i="10"/>
  <c r="CN129" i="10"/>
  <c r="CN130" i="10" s="1"/>
  <c r="CN131" i="10" s="1"/>
  <c r="M126" i="10"/>
  <c r="CZ122" i="10" s="1"/>
  <c r="BW130" i="10"/>
  <c r="BX129" i="10"/>
  <c r="BX130" i="10" s="1"/>
  <c r="BX131" i="10" s="1"/>
  <c r="V75" i="11"/>
  <c r="X75" i="11" s="1"/>
  <c r="U76" i="11"/>
  <c r="W76" i="11" s="1"/>
  <c r="Z76" i="11" s="1"/>
  <c r="Y76" i="11" s="1"/>
  <c r="T76" i="11"/>
  <c r="K129" i="10"/>
  <c r="M127" i="10"/>
  <c r="M129" i="10" s="1"/>
  <c r="G16" i="18"/>
  <c r="AJ210" i="9"/>
  <c r="AE210" i="9"/>
  <c r="AF210" i="9" s="1"/>
  <c r="D142" i="13"/>
  <c r="M73" i="13"/>
  <c r="AA73" i="13" s="1"/>
  <c r="C141" i="13"/>
  <c r="J98" i="13"/>
  <c r="G145" i="13"/>
  <c r="I147" i="13"/>
  <c r="L72" i="13"/>
  <c r="Z72" i="13" s="1"/>
  <c r="J70" i="13"/>
  <c r="H146" i="13"/>
  <c r="F144" i="13"/>
  <c r="K71" i="13"/>
  <c r="Y71" i="13" s="1"/>
  <c r="N74" i="13"/>
  <c r="AB74" i="13" s="1"/>
  <c r="E143" i="13"/>
  <c r="K166" i="9"/>
  <c r="A167" i="9"/>
  <c r="C134" i="10"/>
  <c r="E132" i="10"/>
  <c r="E134" i="10" s="1"/>
  <c r="BI132" i="10"/>
  <c r="BI134" i="10" s="1"/>
  <c r="BG134" i="10"/>
  <c r="BG30" i="9"/>
  <c r="BH30" i="9" s="1"/>
  <c r="CJ12" i="9"/>
  <c r="H136" i="18" s="1"/>
  <c r="AS119" i="9"/>
  <c r="D119" i="9"/>
  <c r="AT119" i="9" s="1"/>
  <c r="AM166" i="9"/>
  <c r="AC167" i="9"/>
  <c r="AC83" i="9"/>
  <c r="AM82" i="9"/>
  <c r="E131" i="10"/>
  <c r="F10" i="22"/>
  <c r="A253" i="9"/>
  <c r="K252" i="9"/>
  <c r="F51" i="25"/>
  <c r="F62" i="18"/>
  <c r="G56" i="18"/>
  <c r="AS132" i="10"/>
  <c r="AS134" i="10" s="1"/>
  <c r="AQ134" i="10"/>
  <c r="AG127" i="10"/>
  <c r="AH127" i="10" s="1"/>
  <c r="CI18" i="9"/>
  <c r="Y166" i="9"/>
  <c r="O167" i="9"/>
  <c r="AJ132" i="10"/>
  <c r="AZ137" i="10"/>
  <c r="BQ130" i="10"/>
  <c r="BO131" i="10"/>
  <c r="BO132" i="10" s="1"/>
  <c r="BI131" i="10"/>
  <c r="I134" i="14"/>
  <c r="H33" i="9"/>
  <c r="C33" i="9"/>
  <c r="AR33" i="9"/>
  <c r="K80" i="9"/>
  <c r="A81" i="9"/>
  <c r="BA79" i="9"/>
  <c r="BN76" i="9" s="1"/>
  <c r="I119" i="9"/>
  <c r="AX119" i="9"/>
  <c r="L119" i="9"/>
  <c r="G120" i="9"/>
  <c r="AW120" i="9" s="1"/>
  <c r="AM251" i="9"/>
  <c r="AC252" i="9"/>
  <c r="K77" i="11"/>
  <c r="L77" i="11"/>
  <c r="N77" i="11" s="1"/>
  <c r="Q77" i="11" s="1"/>
  <c r="P77" i="11" s="1"/>
  <c r="M76" i="11"/>
  <c r="O76" i="11" s="1"/>
  <c r="AW127" i="10"/>
  <c r="AX127" i="10" s="1"/>
  <c r="AA134" i="10"/>
  <c r="AC132" i="10"/>
  <c r="AC134" i="10" s="1"/>
  <c r="AG126" i="9"/>
  <c r="AD126" i="9" s="1"/>
  <c r="AH125" i="9"/>
  <c r="K7" i="3"/>
  <c r="L7" i="3" s="1"/>
  <c r="F52" i="25"/>
  <c r="G123" i="18"/>
  <c r="G84" i="25"/>
  <c r="V37" i="9"/>
  <c r="Q37" i="9"/>
  <c r="R37" i="9" s="1"/>
  <c r="T124" i="9"/>
  <c r="S125" i="9"/>
  <c r="P125" i="9" s="1"/>
  <c r="O85" i="25"/>
  <c r="C26" i="23"/>
  <c r="CF132" i="10"/>
  <c r="BA165" i="9"/>
  <c r="BA250" i="9"/>
  <c r="I58" i="25"/>
  <c r="I155" i="15"/>
  <c r="I130" i="15" s="1"/>
  <c r="I173" i="15" s="1"/>
  <c r="I181" i="15"/>
  <c r="I180" i="15" s="1"/>
  <c r="I192" i="15" s="1"/>
  <c r="I116" i="18"/>
  <c r="H123" i="18"/>
  <c r="H83" i="25" s="1"/>
  <c r="H84" i="25"/>
  <c r="AN37" i="9"/>
  <c r="AI38" i="9"/>
  <c r="AK37" i="9"/>
  <c r="AL37" i="9" s="1"/>
  <c r="Y80" i="9"/>
  <c r="O81" i="9"/>
  <c r="H71" i="25"/>
  <c r="Y251" i="9"/>
  <c r="O252" i="9"/>
  <c r="C79" i="11"/>
  <c r="E79" i="11" s="1"/>
  <c r="H79" i="11" s="1"/>
  <c r="G79" i="11" s="1"/>
  <c r="B79" i="11"/>
  <c r="D78" i="11"/>
  <c r="F78" i="11" s="1"/>
  <c r="T210" i="9"/>
  <c r="S211" i="9"/>
  <c r="P211" i="9" s="1"/>
  <c r="AS131" i="10"/>
  <c r="CG130" i="10"/>
  <c r="CE131" i="10"/>
  <c r="CE132" i="10" s="1"/>
  <c r="G98" i="25"/>
  <c r="F116" i="17"/>
  <c r="AK130" i="10"/>
  <c r="AI131" i="10"/>
  <c r="AI132" i="10" s="1"/>
  <c r="BA135" i="10"/>
  <c r="AY136" i="10"/>
  <c r="AY137" i="10" s="1"/>
  <c r="I127" i="10"/>
  <c r="BP132" i="10"/>
  <c r="BQ131" i="10"/>
  <c r="BM127" i="10"/>
  <c r="BN127" i="10" s="1"/>
  <c r="C205" i="9"/>
  <c r="H205" i="9"/>
  <c r="AR205" i="9"/>
  <c r="T129" i="10" l="1"/>
  <c r="T130" i="10" s="1"/>
  <c r="T131" i="10" s="1"/>
  <c r="S130" i="10"/>
  <c r="CY127" i="10"/>
  <c r="DA122" i="10"/>
  <c r="DJ91" i="10" s="1"/>
  <c r="D83" i="22" s="1"/>
  <c r="CN132" i="10"/>
  <c r="AK131" i="10"/>
  <c r="L129" i="10"/>
  <c r="L130" i="10" s="1"/>
  <c r="L131" i="10" s="1"/>
  <c r="K130" i="10"/>
  <c r="BX132" i="10"/>
  <c r="CO130" i="10"/>
  <c r="CS127" i="10" s="1"/>
  <c r="CT127" i="10" s="1"/>
  <c r="CM131" i="10"/>
  <c r="CM132" i="10" s="1"/>
  <c r="V76" i="11"/>
  <c r="X76" i="11" s="1"/>
  <c r="U77" i="11"/>
  <c r="W77" i="11" s="1"/>
  <c r="Z77" i="11" s="1"/>
  <c r="Y77" i="11" s="1"/>
  <c r="T77" i="11"/>
  <c r="BY130" i="10"/>
  <c r="CC127" i="10" s="1"/>
  <c r="CD127" i="10" s="1"/>
  <c r="BW131" i="10"/>
  <c r="BW132" i="10" s="1"/>
  <c r="L205" i="9"/>
  <c r="AX205" i="9"/>
  <c r="G206" i="9"/>
  <c r="AW206" i="9" s="1"/>
  <c r="I205" i="9"/>
  <c r="C80" i="11"/>
  <c r="E80" i="11" s="1"/>
  <c r="H80" i="11" s="1"/>
  <c r="G80" i="11" s="1"/>
  <c r="D79" i="11"/>
  <c r="F79" i="11" s="1"/>
  <c r="B80" i="11"/>
  <c r="AY119" i="9"/>
  <c r="J119" i="9"/>
  <c r="AZ119" i="9" s="1"/>
  <c r="K81" i="9"/>
  <c r="A82" i="9"/>
  <c r="BA166" i="9"/>
  <c r="J127" i="10"/>
  <c r="AK132" i="10"/>
  <c r="AK134" i="10" s="1"/>
  <c r="AI134" i="10"/>
  <c r="CK127" i="10"/>
  <c r="CL127" i="10" s="1"/>
  <c r="AC253" i="9"/>
  <c r="AM252" i="9"/>
  <c r="D33" i="9"/>
  <c r="AT33" i="9" s="1"/>
  <c r="AS33" i="9"/>
  <c r="BQ132" i="10"/>
  <c r="BQ134" i="10" s="1"/>
  <c r="BO134" i="10"/>
  <c r="C7" i="3"/>
  <c r="D7" i="3" s="1"/>
  <c r="E57" i="17"/>
  <c r="E7" i="27"/>
  <c r="F14" i="22"/>
  <c r="AM167" i="9"/>
  <c r="AC168" i="9"/>
  <c r="H68" i="22"/>
  <c r="G122" i="17" s="1"/>
  <c r="H96" i="25"/>
  <c r="K167" i="9"/>
  <c r="A168" i="9"/>
  <c r="J82" i="13"/>
  <c r="J99" i="18" s="1"/>
  <c r="X70" i="13"/>
  <c r="X82" i="13" s="1"/>
  <c r="D76" i="22"/>
  <c r="I75" i="17"/>
  <c r="L33" i="9"/>
  <c r="I33" i="9"/>
  <c r="AX33" i="9"/>
  <c r="G34" i="9"/>
  <c r="G47" i="25"/>
  <c r="AN210" i="9"/>
  <c r="AK210" i="9"/>
  <c r="AL210" i="9" s="1"/>
  <c r="AI211" i="9"/>
  <c r="D205" i="9"/>
  <c r="AT205" i="9" s="1"/>
  <c r="AS205" i="9"/>
  <c r="AO127" i="10"/>
  <c r="AP127" i="10" s="1"/>
  <c r="CE134" i="10"/>
  <c r="CG132" i="10"/>
  <c r="CG134" i="10" s="1"/>
  <c r="Q211" i="9"/>
  <c r="R211" i="9" s="1"/>
  <c r="V211" i="9"/>
  <c r="Z37" i="9"/>
  <c r="W37" i="9"/>
  <c r="X37" i="9" s="1"/>
  <c r="U38" i="9"/>
  <c r="AE126" i="9"/>
  <c r="AF126" i="9" s="1"/>
  <c r="AJ126" i="9"/>
  <c r="AB134" i="10"/>
  <c r="AB135" i="10" s="1"/>
  <c r="AB136" i="10" s="1"/>
  <c r="AA135" i="10"/>
  <c r="BA80" i="9"/>
  <c r="BN77" i="9" s="1"/>
  <c r="I168" i="14"/>
  <c r="I179" i="14"/>
  <c r="I126" i="18" s="1"/>
  <c r="I122" i="14"/>
  <c r="I156" i="14" s="1"/>
  <c r="C86" i="22" s="1"/>
  <c r="BU127" i="10"/>
  <c r="BV127" i="10" s="1"/>
  <c r="AQ135" i="10"/>
  <c r="AR134" i="10"/>
  <c r="AR135" i="10" s="1"/>
  <c r="AR136" i="10" s="1"/>
  <c r="F53" i="25"/>
  <c r="A254" i="9"/>
  <c r="K253" i="9"/>
  <c r="BH134" i="10"/>
  <c r="BH135" i="10" s="1"/>
  <c r="BH136" i="10" s="1"/>
  <c r="BG135" i="10"/>
  <c r="BA137" i="10"/>
  <c r="BA139" i="10" s="1"/>
  <c r="AY139" i="10"/>
  <c r="Y81" i="9"/>
  <c r="O82" i="9"/>
  <c r="AG38" i="9"/>
  <c r="AD38" i="9" s="1"/>
  <c r="AH37" i="9"/>
  <c r="G83" i="25"/>
  <c r="G139" i="18"/>
  <c r="Y167" i="9"/>
  <c r="O168" i="9"/>
  <c r="BE132" i="10"/>
  <c r="BF132" i="10" s="1"/>
  <c r="O253" i="9"/>
  <c r="Y252" i="9"/>
  <c r="BA252" i="9" s="1"/>
  <c r="BA251" i="9"/>
  <c r="I76" i="25"/>
  <c r="CG131" i="10"/>
  <c r="V125" i="9"/>
  <c r="Q125" i="9"/>
  <c r="R125" i="9" s="1"/>
  <c r="K78" i="11"/>
  <c r="L78" i="11"/>
  <c r="N78" i="11" s="1"/>
  <c r="Q78" i="11" s="1"/>
  <c r="P78" i="11" s="1"/>
  <c r="M77" i="11"/>
  <c r="O77" i="11" s="1"/>
  <c r="BB119" i="9"/>
  <c r="F119" i="9"/>
  <c r="AV119" i="9" s="1"/>
  <c r="E120" i="9"/>
  <c r="BA136" i="10"/>
  <c r="AC84" i="9"/>
  <c r="AM83" i="9"/>
  <c r="D134" i="10"/>
  <c r="D135" i="10" s="1"/>
  <c r="D136" i="10" s="1"/>
  <c r="C135" i="10"/>
  <c r="G8" i="25"/>
  <c r="G19" i="18"/>
  <c r="U130" i="10" l="1"/>
  <c r="Y127" i="10" s="1"/>
  <c r="Z127" i="10" s="1"/>
  <c r="S131" i="10"/>
  <c r="S132" i="10" s="1"/>
  <c r="T132" i="10"/>
  <c r="U131" i="10"/>
  <c r="BY132" i="10"/>
  <c r="BY134" i="10" s="1"/>
  <c r="BW134" i="10"/>
  <c r="BY131" i="10"/>
  <c r="CO131" i="10"/>
  <c r="CO132" i="10"/>
  <c r="CO134" i="10" s="1"/>
  <c r="CM134" i="10"/>
  <c r="M130" i="10"/>
  <c r="Q127" i="10" s="1"/>
  <c r="R127" i="10" s="1"/>
  <c r="K131" i="10"/>
  <c r="K132" i="10" s="1"/>
  <c r="T78" i="11"/>
  <c r="U78" i="11"/>
  <c r="W78" i="11" s="1"/>
  <c r="Z78" i="11" s="1"/>
  <c r="Y78" i="11" s="1"/>
  <c r="V77" i="11"/>
  <c r="X77" i="11" s="1"/>
  <c r="L132" i="10"/>
  <c r="A255" i="9"/>
  <c r="K254" i="9"/>
  <c r="AC135" i="10"/>
  <c r="AA136" i="10"/>
  <c r="AA137" i="10" s="1"/>
  <c r="D89" i="22"/>
  <c r="G57" i="18"/>
  <c r="G11" i="25"/>
  <c r="I8" i="3"/>
  <c r="AC85" i="9"/>
  <c r="AM84" i="9"/>
  <c r="W125" i="9"/>
  <c r="X125" i="9" s="1"/>
  <c r="U126" i="9"/>
  <c r="Z125" i="9"/>
  <c r="J20" i="3"/>
  <c r="G99" i="25"/>
  <c r="Y82" i="9"/>
  <c r="O83" i="9"/>
  <c r="AR137" i="10"/>
  <c r="AG211" i="9"/>
  <c r="AD211" i="9" s="1"/>
  <c r="AH210" i="9"/>
  <c r="I113" i="18"/>
  <c r="AW34" i="9"/>
  <c r="H79" i="17"/>
  <c r="H77" i="17" s="1"/>
  <c r="C85" i="22" s="1"/>
  <c r="J159" i="15"/>
  <c r="J184" i="15" s="1"/>
  <c r="I82" i="17"/>
  <c r="J142" i="14"/>
  <c r="I85" i="17"/>
  <c r="J119" i="18" s="1"/>
  <c r="J79" i="25" s="1"/>
  <c r="J157" i="15"/>
  <c r="J182" i="15" s="1"/>
  <c r="J143" i="14"/>
  <c r="J139" i="14"/>
  <c r="J140" i="14"/>
  <c r="J144" i="14"/>
  <c r="J156" i="15"/>
  <c r="J160" i="15"/>
  <c r="J185" i="15" s="1"/>
  <c r="J138" i="14"/>
  <c r="I86" i="17"/>
  <c r="J120" i="18" s="1"/>
  <c r="J80" i="25" s="1"/>
  <c r="J141" i="14"/>
  <c r="J137" i="14"/>
  <c r="J136" i="14"/>
  <c r="J158" i="15"/>
  <c r="J183" i="15" s="1"/>
  <c r="J135" i="14"/>
  <c r="K168" i="9"/>
  <c r="A169" i="9"/>
  <c r="AC169" i="9"/>
  <c r="AM168" i="9"/>
  <c r="E12" i="27"/>
  <c r="CJ14" i="9"/>
  <c r="BK30" i="9"/>
  <c r="AM253" i="9"/>
  <c r="AC254" i="9"/>
  <c r="AJ134" i="10"/>
  <c r="AJ135" i="10" s="1"/>
  <c r="AJ136" i="10" s="1"/>
  <c r="AI135" i="10"/>
  <c r="AY205" i="9"/>
  <c r="J205" i="9"/>
  <c r="AZ205" i="9" s="1"/>
  <c r="E135" i="10"/>
  <c r="C136" i="10"/>
  <c r="C137" i="10" s="1"/>
  <c r="B120" i="9"/>
  <c r="AU120" i="9"/>
  <c r="O254" i="9"/>
  <c r="Y253" i="9"/>
  <c r="BI135" i="10"/>
  <c r="BG136" i="10"/>
  <c r="BG137" i="10" s="1"/>
  <c r="AS135" i="10"/>
  <c r="AQ136" i="10"/>
  <c r="AQ137" i="10" s="1"/>
  <c r="D137" i="10"/>
  <c r="E136" i="10"/>
  <c r="M78" i="11"/>
  <c r="O78" i="11" s="1"/>
  <c r="L79" i="11"/>
  <c r="N79" i="11" s="1"/>
  <c r="Q79" i="11" s="1"/>
  <c r="P79" i="11" s="1"/>
  <c r="K79" i="11"/>
  <c r="Y168" i="9"/>
  <c r="O169" i="9"/>
  <c r="AY140" i="10"/>
  <c r="AZ139" i="10"/>
  <c r="AZ140" i="10" s="1"/>
  <c r="AZ141" i="10" s="1"/>
  <c r="BH137" i="10"/>
  <c r="AB137" i="10"/>
  <c r="AY33" i="9"/>
  <c r="J33" i="9"/>
  <c r="AZ33" i="9" s="1"/>
  <c r="CX127" i="10"/>
  <c r="DK92" i="10" s="1"/>
  <c r="J108" i="17" s="1"/>
  <c r="K82" i="9"/>
  <c r="A83" i="9"/>
  <c r="B81" i="11"/>
  <c r="C81" i="11"/>
  <c r="E81" i="11" s="1"/>
  <c r="H81" i="11" s="1"/>
  <c r="G81" i="11" s="1"/>
  <c r="D80" i="11"/>
  <c r="F80" i="11" s="1"/>
  <c r="I86" i="25"/>
  <c r="I124" i="18"/>
  <c r="Z211" i="9"/>
  <c r="W211" i="9"/>
  <c r="X211" i="9" s="1"/>
  <c r="U212" i="9"/>
  <c r="CF134" i="10"/>
  <c r="CF135" i="10" s="1"/>
  <c r="CF136" i="10" s="1"/>
  <c r="CE135" i="10"/>
  <c r="BA167" i="9"/>
  <c r="BP134" i="10"/>
  <c r="BP135" i="10" s="1"/>
  <c r="BP136" i="10" s="1"/>
  <c r="BO135" i="10"/>
  <c r="AE38" i="9"/>
  <c r="AF38" i="9" s="1"/>
  <c r="AJ38" i="9"/>
  <c r="AN126" i="9"/>
  <c r="AI127" i="9"/>
  <c r="AK126" i="9"/>
  <c r="AL126" i="9" s="1"/>
  <c r="S38" i="9"/>
  <c r="P38" i="9" s="1"/>
  <c r="T37" i="9"/>
  <c r="F33" i="9"/>
  <c r="AV33" i="9" s="1"/>
  <c r="E34" i="9"/>
  <c r="BB33" i="9"/>
  <c r="J98" i="18"/>
  <c r="J59" i="25"/>
  <c r="F17" i="22"/>
  <c r="CW127" i="10"/>
  <c r="DK89" i="10" s="1"/>
  <c r="K68" i="13" s="1"/>
  <c r="BA81" i="9"/>
  <c r="BN78" i="9" s="1"/>
  <c r="E206" i="9"/>
  <c r="F205" i="9"/>
  <c r="AV205" i="9" s="1"/>
  <c r="BB205" i="9"/>
  <c r="U132" i="10" l="1"/>
  <c r="U134" i="10" s="1"/>
  <c r="S134" i="10"/>
  <c r="M131" i="10"/>
  <c r="CZ127" i="10" s="1"/>
  <c r="V78" i="11"/>
  <c r="X78" i="11" s="1"/>
  <c r="U79" i="11"/>
  <c r="W79" i="11" s="1"/>
  <c r="Z79" i="11" s="1"/>
  <c r="Y79" i="11" s="1"/>
  <c r="T79" i="11"/>
  <c r="CN134" i="10"/>
  <c r="CN135" i="10" s="1"/>
  <c r="CN136" i="10" s="1"/>
  <c r="CM135" i="10"/>
  <c r="M132" i="10"/>
  <c r="M134" i="10" s="1"/>
  <c r="K134" i="10"/>
  <c r="BX134" i="10"/>
  <c r="BX135" i="10" s="1"/>
  <c r="BX136" i="10" s="1"/>
  <c r="BW135" i="10"/>
  <c r="K83" i="9"/>
  <c r="A84" i="9"/>
  <c r="AJ137" i="10"/>
  <c r="G110" i="17"/>
  <c r="G112" i="17" s="1"/>
  <c r="H138" i="18"/>
  <c r="AM169" i="9"/>
  <c r="AC170" i="9"/>
  <c r="AC136" i="10"/>
  <c r="BA140" i="10"/>
  <c r="AY141" i="10"/>
  <c r="AY142" i="10" s="1"/>
  <c r="AU206" i="9"/>
  <c r="B206" i="9"/>
  <c r="J58" i="25"/>
  <c r="AH126" i="9"/>
  <c r="AG127" i="9"/>
  <c r="AD127" i="9" s="1"/>
  <c r="BP137" i="10"/>
  <c r="CF137" i="10"/>
  <c r="I84" i="25"/>
  <c r="I123" i="18"/>
  <c r="D81" i="11"/>
  <c r="F81" i="11" s="1"/>
  <c r="C82" i="11"/>
  <c r="E82" i="11" s="1"/>
  <c r="H82" i="11" s="1"/>
  <c r="G82" i="11" s="1"/>
  <c r="B82" i="11"/>
  <c r="CJ17" i="9"/>
  <c r="BM30" i="9"/>
  <c r="BI136" i="10"/>
  <c r="Y169" i="9"/>
  <c r="O170" i="9"/>
  <c r="AW132" i="10"/>
  <c r="AX132" i="10" s="1"/>
  <c r="O255" i="9"/>
  <c r="Y254" i="9"/>
  <c r="AK135" i="10"/>
  <c r="AI136" i="10"/>
  <c r="AI137" i="10" s="1"/>
  <c r="J134" i="14"/>
  <c r="J155" i="15"/>
  <c r="J130" i="15" s="1"/>
  <c r="J173" i="15" s="1"/>
  <c r="J181" i="15"/>
  <c r="J180" i="15" s="1"/>
  <c r="J192" i="15" s="1"/>
  <c r="J116" i="18"/>
  <c r="I73" i="25"/>
  <c r="I111" i="18"/>
  <c r="AS136" i="10"/>
  <c r="Y83" i="9"/>
  <c r="O84" i="9"/>
  <c r="I132" i="10"/>
  <c r="G48" i="25"/>
  <c r="G59" i="18"/>
  <c r="AA139" i="10"/>
  <c r="AC137" i="10"/>
  <c r="AC139" i="10" s="1"/>
  <c r="K255" i="9"/>
  <c r="A256" i="9"/>
  <c r="L71" i="13"/>
  <c r="Z71" i="13" s="1"/>
  <c r="E142" i="13"/>
  <c r="H145" i="13"/>
  <c r="K70" i="13"/>
  <c r="F143" i="13"/>
  <c r="N73" i="13"/>
  <c r="AB73" i="13" s="1"/>
  <c r="I146" i="13"/>
  <c r="M72" i="13"/>
  <c r="AA72" i="13" s="1"/>
  <c r="J147" i="13"/>
  <c r="D141" i="13"/>
  <c r="C140" i="13"/>
  <c r="G144" i="13"/>
  <c r="K98" i="13"/>
  <c r="F20" i="22"/>
  <c r="B34" i="9"/>
  <c r="AU34" i="9"/>
  <c r="BA82" i="9"/>
  <c r="BN79" i="9" s="1"/>
  <c r="AZ142" i="10"/>
  <c r="BA141" i="10"/>
  <c r="L80" i="11"/>
  <c r="N80" i="11" s="1"/>
  <c r="Q80" i="11" s="1"/>
  <c r="P80" i="11" s="1"/>
  <c r="M79" i="11"/>
  <c r="O79" i="11" s="1"/>
  <c r="K80" i="11"/>
  <c r="AS137" i="10"/>
  <c r="AS139" i="10" s="1"/>
  <c r="AQ139" i="10"/>
  <c r="AR120" i="9"/>
  <c r="C120" i="9"/>
  <c r="H120" i="9"/>
  <c r="AC255" i="9"/>
  <c r="AM254" i="9"/>
  <c r="BA254" i="9" s="1"/>
  <c r="K169" i="9"/>
  <c r="A170" i="9"/>
  <c r="AJ211" i="9"/>
  <c r="AE211" i="9"/>
  <c r="AF211" i="9" s="1"/>
  <c r="V38" i="9"/>
  <c r="Q38" i="9"/>
  <c r="R38" i="9" s="1"/>
  <c r="BL30" i="9"/>
  <c r="CJ16" i="9"/>
  <c r="BI137" i="10"/>
  <c r="BI139" i="10" s="1"/>
  <c r="BG139" i="10"/>
  <c r="AN38" i="9"/>
  <c r="AK38" i="9"/>
  <c r="AL38" i="9" s="1"/>
  <c r="AI39" i="9"/>
  <c r="BQ135" i="10"/>
  <c r="BO136" i="10"/>
  <c r="BO137" i="10" s="1"/>
  <c r="CG135" i="10"/>
  <c r="CE136" i="10"/>
  <c r="CE137" i="10" s="1"/>
  <c r="T211" i="9"/>
  <c r="S212" i="9"/>
  <c r="P212" i="9" s="1"/>
  <c r="BM132" i="10"/>
  <c r="BN132" i="10" s="1"/>
  <c r="E137" i="10"/>
  <c r="E139" i="10" s="1"/>
  <c r="C139" i="10"/>
  <c r="BA168" i="9"/>
  <c r="CK13" i="9"/>
  <c r="BI31" i="9"/>
  <c r="BJ31" i="9" s="1"/>
  <c r="BA253" i="9"/>
  <c r="T125" i="9"/>
  <c r="S126" i="9"/>
  <c r="P126" i="9" s="1"/>
  <c r="AM85" i="9"/>
  <c r="AC86" i="9"/>
  <c r="AG132" i="10"/>
  <c r="AH132" i="10" s="1"/>
  <c r="S135" i="10" l="1"/>
  <c r="T134" i="10"/>
  <c r="T135" i="10" s="1"/>
  <c r="T136" i="10" s="1"/>
  <c r="L134" i="10"/>
  <c r="L135" i="10" s="1"/>
  <c r="L136" i="10" s="1"/>
  <c r="K135" i="10"/>
  <c r="U80" i="11"/>
  <c r="W80" i="11" s="1"/>
  <c r="Z80" i="11" s="1"/>
  <c r="Y80" i="11" s="1"/>
  <c r="V79" i="11"/>
  <c r="X79" i="11" s="1"/>
  <c r="T80" i="11"/>
  <c r="BY135" i="10"/>
  <c r="CC132" i="10" s="1"/>
  <c r="CD132" i="10" s="1"/>
  <c r="BW136" i="10"/>
  <c r="BW137" i="10" s="1"/>
  <c r="BX137" i="10"/>
  <c r="CO135" i="10"/>
  <c r="CS132" i="10" s="1"/>
  <c r="CT132" i="10" s="1"/>
  <c r="CM136" i="10"/>
  <c r="CM137" i="10" s="1"/>
  <c r="CJ18" i="9"/>
  <c r="CN137" i="10"/>
  <c r="DA127" i="10"/>
  <c r="DK91" i="10" s="1"/>
  <c r="E83" i="22" s="1"/>
  <c r="CY132" i="10"/>
  <c r="G121" i="9"/>
  <c r="AW121" i="9" s="1"/>
  <c r="I120" i="9"/>
  <c r="L120" i="9"/>
  <c r="AX120" i="9"/>
  <c r="E76" i="22"/>
  <c r="J75" i="17"/>
  <c r="Y170" i="9"/>
  <c r="O171" i="9"/>
  <c r="AG39" i="9"/>
  <c r="AD39" i="9" s="1"/>
  <c r="AH38" i="9"/>
  <c r="Q126" i="9"/>
  <c r="R126" i="9" s="1"/>
  <c r="V126" i="9"/>
  <c r="C140" i="10"/>
  <c r="D139" i="10"/>
  <c r="D140" i="10" s="1"/>
  <c r="D141" i="10" s="1"/>
  <c r="BU132" i="10"/>
  <c r="BV132" i="10" s="1"/>
  <c r="BG140" i="10"/>
  <c r="BH139" i="10"/>
  <c r="BH140" i="10" s="1"/>
  <c r="BH141" i="10" s="1"/>
  <c r="K170" i="9"/>
  <c r="A171" i="9"/>
  <c r="AC256" i="9"/>
  <c r="AM255" i="9"/>
  <c r="M80" i="11"/>
  <c r="O80" i="11" s="1"/>
  <c r="L81" i="11"/>
  <c r="N81" i="11" s="1"/>
  <c r="Q81" i="11" s="1"/>
  <c r="P81" i="11" s="1"/>
  <c r="K81" i="11"/>
  <c r="F22" i="22"/>
  <c r="AB139" i="10"/>
  <c r="AB140" i="10" s="1"/>
  <c r="AB141" i="10" s="1"/>
  <c r="AA140" i="10"/>
  <c r="Y84" i="9"/>
  <c r="O85" i="9"/>
  <c r="CG136" i="10"/>
  <c r="AE127" i="9"/>
  <c r="AF127" i="9" s="1"/>
  <c r="AJ127" i="9"/>
  <c r="AR206" i="9"/>
  <c r="C206" i="9"/>
  <c r="H206" i="9"/>
  <c r="BE137" i="10"/>
  <c r="BF137" i="10" s="1"/>
  <c r="BA83" i="9"/>
  <c r="BN80" i="9" s="1"/>
  <c r="BA169" i="9"/>
  <c r="BG31" i="9"/>
  <c r="BH31" i="9" s="1"/>
  <c r="CK12" i="9"/>
  <c r="K256" i="9"/>
  <c r="A257" i="9"/>
  <c r="J179" i="14"/>
  <c r="J126" i="18" s="1"/>
  <c r="J168" i="14"/>
  <c r="J122" i="14"/>
  <c r="J156" i="14" s="1"/>
  <c r="D86" i="22" s="1"/>
  <c r="H98" i="25"/>
  <c r="G116" i="17"/>
  <c r="H139" i="18"/>
  <c r="BQ137" i="10"/>
  <c r="BQ139" i="10" s="1"/>
  <c r="BO139" i="10"/>
  <c r="Z38" i="9"/>
  <c r="W38" i="9"/>
  <c r="X38" i="9" s="1"/>
  <c r="U39" i="9"/>
  <c r="AS120" i="9"/>
  <c r="D120" i="9"/>
  <c r="AT120" i="9" s="1"/>
  <c r="AQ140" i="10"/>
  <c r="AR139" i="10"/>
  <c r="AR140" i="10" s="1"/>
  <c r="AR141" i="10" s="1"/>
  <c r="AR34" i="9"/>
  <c r="H34" i="9"/>
  <c r="C34" i="9"/>
  <c r="Y70" i="13"/>
  <c r="Y82" i="13" s="1"/>
  <c r="K82" i="13"/>
  <c r="K99" i="18" s="1"/>
  <c r="G71" i="18"/>
  <c r="G50" i="25"/>
  <c r="G70" i="18"/>
  <c r="G82" i="18"/>
  <c r="J132" i="10"/>
  <c r="J76" i="25"/>
  <c r="C83" i="11"/>
  <c r="E83" i="11" s="1"/>
  <c r="H83" i="11" s="1"/>
  <c r="G83" i="11" s="1"/>
  <c r="B83" i="11"/>
  <c r="D82" i="11"/>
  <c r="F82" i="11" s="1"/>
  <c r="I83" i="25"/>
  <c r="BA142" i="10"/>
  <c r="BA144" i="10" s="1"/>
  <c r="AY144" i="10"/>
  <c r="G114" i="17"/>
  <c r="G113" i="17"/>
  <c r="Q212" i="9"/>
  <c r="R212" i="9" s="1"/>
  <c r="V212" i="9"/>
  <c r="CK132" i="10"/>
  <c r="CL132" i="10" s="1"/>
  <c r="AI212" i="9"/>
  <c r="AK211" i="9"/>
  <c r="AL211" i="9" s="1"/>
  <c r="AN211" i="9"/>
  <c r="AO132" i="10"/>
  <c r="AP132" i="10" s="1"/>
  <c r="AM86" i="9"/>
  <c r="AC87" i="9"/>
  <c r="AM87" i="9" s="1"/>
  <c r="CG137" i="10"/>
  <c r="CG139" i="10" s="1"/>
  <c r="CE139" i="10"/>
  <c r="I71" i="25"/>
  <c r="AK137" i="10"/>
  <c r="AK139" i="10" s="1"/>
  <c r="AI139" i="10"/>
  <c r="O256" i="9"/>
  <c r="Y255" i="9"/>
  <c r="BQ136" i="10"/>
  <c r="AM170" i="9"/>
  <c r="AC171" i="9"/>
  <c r="AK136" i="10"/>
  <c r="K84" i="9"/>
  <c r="A85" i="9"/>
  <c r="T137" i="10" l="1"/>
  <c r="U135" i="10"/>
  <c r="Y132" i="10" s="1"/>
  <c r="Z132" i="10" s="1"/>
  <c r="S136" i="10"/>
  <c r="S137" i="10" s="1"/>
  <c r="BY136" i="10"/>
  <c r="CM139" i="10"/>
  <c r="CO137" i="10"/>
  <c r="CO139" i="10" s="1"/>
  <c r="BY137" i="10"/>
  <c r="BY139" i="10" s="1"/>
  <c r="BW139" i="10"/>
  <c r="CO136" i="10"/>
  <c r="M135" i="10"/>
  <c r="Q132" i="10" s="1"/>
  <c r="R132" i="10" s="1"/>
  <c r="CX132" i="10" s="1"/>
  <c r="DL92" i="10" s="1"/>
  <c r="K108" i="17" s="1"/>
  <c r="K136" i="10"/>
  <c r="K137" i="10" s="1"/>
  <c r="T81" i="11"/>
  <c r="U81" i="11"/>
  <c r="W81" i="11" s="1"/>
  <c r="Z81" i="11" s="1"/>
  <c r="Y81" i="11" s="1"/>
  <c r="V80" i="11"/>
  <c r="X80" i="11" s="1"/>
  <c r="L137" i="10"/>
  <c r="G60" i="18"/>
  <c r="G73" i="18"/>
  <c r="BA84" i="9"/>
  <c r="BN81" i="9" s="1"/>
  <c r="CE140" i="10"/>
  <c r="CF139" i="10"/>
  <c r="CF140" i="10" s="1"/>
  <c r="CF141" i="10" s="1"/>
  <c r="AR142" i="10"/>
  <c r="J86" i="25"/>
  <c r="J124" i="18"/>
  <c r="L206" i="9"/>
  <c r="I206" i="9"/>
  <c r="G207" i="9"/>
  <c r="AW207" i="9" s="1"/>
  <c r="AX206" i="9"/>
  <c r="Y85" i="9"/>
  <c r="O86" i="9"/>
  <c r="A172" i="9"/>
  <c r="K171" i="9"/>
  <c r="D142" i="10"/>
  <c r="Y171" i="9"/>
  <c r="O172" i="9"/>
  <c r="E121" i="9"/>
  <c r="BB120" i="9"/>
  <c r="F120" i="9"/>
  <c r="AV120" i="9" s="1"/>
  <c r="AM171" i="9"/>
  <c r="AC172" i="9"/>
  <c r="Y256" i="9"/>
  <c r="O257" i="9"/>
  <c r="AH211" i="9"/>
  <c r="AG212" i="9"/>
  <c r="AD212" i="9" s="1"/>
  <c r="AX34" i="9"/>
  <c r="L34" i="9"/>
  <c r="G35" i="9"/>
  <c r="I34" i="9"/>
  <c r="I143" i="18"/>
  <c r="C84" i="11"/>
  <c r="E84" i="11" s="1"/>
  <c r="H84" i="11" s="1"/>
  <c r="G84" i="11" s="1"/>
  <c r="B84" i="11"/>
  <c r="D83" i="11"/>
  <c r="F83" i="11" s="1"/>
  <c r="G9" i="22"/>
  <c r="G83" i="18"/>
  <c r="G84" i="18" s="1"/>
  <c r="G61" i="18"/>
  <c r="AS34" i="9"/>
  <c r="D34" i="9"/>
  <c r="AT34" i="9" s="1"/>
  <c r="AS140" i="10"/>
  <c r="AQ141" i="10"/>
  <c r="AQ142" i="10" s="1"/>
  <c r="K257" i="9"/>
  <c r="A258" i="9"/>
  <c r="D206" i="9"/>
  <c r="AT206" i="9" s="1"/>
  <c r="AS206" i="9"/>
  <c r="BA170" i="9"/>
  <c r="E140" i="10"/>
  <c r="C141" i="10"/>
  <c r="C142" i="10" s="1"/>
  <c r="AE39" i="9"/>
  <c r="AF39" i="9" s="1"/>
  <c r="AJ39" i="9"/>
  <c r="AY120" i="9"/>
  <c r="J120" i="9"/>
  <c r="AZ120" i="9" s="1"/>
  <c r="S39" i="9"/>
  <c r="P39" i="9" s="1"/>
  <c r="T38" i="9"/>
  <c r="AC140" i="10"/>
  <c r="AA141" i="10"/>
  <c r="AA142" i="10" s="1"/>
  <c r="BH142" i="10"/>
  <c r="W126" i="9"/>
  <c r="X126" i="9" s="1"/>
  <c r="Z126" i="9"/>
  <c r="U127" i="9"/>
  <c r="K159" i="15"/>
  <c r="K184" i="15" s="1"/>
  <c r="K143" i="14"/>
  <c r="J82" i="17"/>
  <c r="K157" i="15"/>
  <c r="K182" i="15" s="1"/>
  <c r="J85" i="17"/>
  <c r="K119" i="18" s="1"/>
  <c r="K79" i="25" s="1"/>
  <c r="K142" i="14"/>
  <c r="K139" i="14"/>
  <c r="K140" i="14"/>
  <c r="K141" i="14"/>
  <c r="K144" i="14"/>
  <c r="J86" i="17"/>
  <c r="K120" i="18" s="1"/>
  <c r="K80" i="25" s="1"/>
  <c r="K137" i="14"/>
  <c r="K136" i="14"/>
  <c r="K156" i="15"/>
  <c r="K160" i="15"/>
  <c r="K185" i="15" s="1"/>
  <c r="K138" i="14"/>
  <c r="K135" i="14"/>
  <c r="K158" i="15"/>
  <c r="K183" i="15" s="1"/>
  <c r="K85" i="9"/>
  <c r="A86" i="9"/>
  <c r="AJ139" i="10"/>
  <c r="AJ140" i="10" s="1"/>
  <c r="AJ141" i="10" s="1"/>
  <c r="AI140" i="10"/>
  <c r="W212" i="9"/>
  <c r="X212" i="9" s="1"/>
  <c r="Z212" i="9"/>
  <c r="U213" i="9"/>
  <c r="AZ144" i="10"/>
  <c r="AZ145" i="10" s="1"/>
  <c r="AZ146" i="10" s="1"/>
  <c r="AY145" i="10"/>
  <c r="CW132" i="10"/>
  <c r="DL89" i="10" s="1"/>
  <c r="L68" i="13" s="1"/>
  <c r="BA255" i="9"/>
  <c r="K98" i="18"/>
  <c r="K59" i="25"/>
  <c r="BP139" i="10"/>
  <c r="BP140" i="10" s="1"/>
  <c r="BP141" i="10" s="1"/>
  <c r="BO140" i="10"/>
  <c r="H99" i="25"/>
  <c r="J21" i="3"/>
  <c r="AN127" i="9"/>
  <c r="AK127" i="9"/>
  <c r="AL127" i="9" s="1"/>
  <c r="AI128" i="9"/>
  <c r="AB142" i="10"/>
  <c r="M81" i="11"/>
  <c r="O81" i="11" s="1"/>
  <c r="L82" i="11"/>
  <c r="N82" i="11" s="1"/>
  <c r="Q82" i="11" s="1"/>
  <c r="P82" i="11" s="1"/>
  <c r="K82" i="11"/>
  <c r="AC257" i="9"/>
  <c r="AM256" i="9"/>
  <c r="BA256" i="9" s="1"/>
  <c r="BI140" i="10"/>
  <c r="BG141" i="10"/>
  <c r="BG142" i="10" s="1"/>
  <c r="E89" i="22"/>
  <c r="BI141" i="10" l="1"/>
  <c r="U137" i="10"/>
  <c r="U139" i="10" s="1"/>
  <c r="S139" i="10"/>
  <c r="K134" i="14"/>
  <c r="U136" i="10"/>
  <c r="M136" i="10"/>
  <c r="K139" i="10"/>
  <c r="M137" i="10"/>
  <c r="M139" i="10" s="1"/>
  <c r="BX139" i="10"/>
  <c r="BX140" i="10" s="1"/>
  <c r="BX141" i="10" s="1"/>
  <c r="BW140" i="10"/>
  <c r="CM140" i="10"/>
  <c r="CN139" i="10"/>
  <c r="CN140" i="10" s="1"/>
  <c r="CN141" i="10" s="1"/>
  <c r="AC141" i="10"/>
  <c r="V81" i="11"/>
  <c r="X81" i="11" s="1"/>
  <c r="T82" i="11"/>
  <c r="U82" i="11"/>
  <c r="W82" i="11" s="1"/>
  <c r="Z82" i="11" s="1"/>
  <c r="Y82" i="11" s="1"/>
  <c r="H16" i="18"/>
  <c r="AH127" i="9"/>
  <c r="AG128" i="9"/>
  <c r="AD128" i="9" s="1"/>
  <c r="K168" i="14"/>
  <c r="K179" i="14"/>
  <c r="K126" i="18" s="1"/>
  <c r="K122" i="14"/>
  <c r="K156" i="14" s="1"/>
  <c r="Q39" i="9"/>
  <c r="R39" i="9" s="1"/>
  <c r="V39" i="9"/>
  <c r="AK140" i="10"/>
  <c r="AI141" i="10"/>
  <c r="AI142" i="10" s="1"/>
  <c r="K116" i="18"/>
  <c r="S127" i="9"/>
  <c r="P127" i="9" s="1"/>
  <c r="T126" i="9"/>
  <c r="AC142" i="10"/>
  <c r="AC144" i="10" s="1"/>
  <c r="AA144" i="10"/>
  <c r="Y172" i="9"/>
  <c r="O173" i="9"/>
  <c r="Y173" i="9" s="1"/>
  <c r="E141" i="10"/>
  <c r="Y86" i="9"/>
  <c r="O87" i="9"/>
  <c r="Y87" i="9" s="1"/>
  <c r="AY206" i="9"/>
  <c r="J206" i="9"/>
  <c r="AZ206" i="9" s="1"/>
  <c r="AS141" i="10"/>
  <c r="G51" i="25"/>
  <c r="G62" i="18"/>
  <c r="H56" i="18"/>
  <c r="BM137" i="10"/>
  <c r="BN137" i="10" s="1"/>
  <c r="BP142" i="10"/>
  <c r="T212" i="9"/>
  <c r="S213" i="9"/>
  <c r="P213" i="9" s="1"/>
  <c r="AG137" i="10"/>
  <c r="AH137" i="10" s="1"/>
  <c r="I79" i="17"/>
  <c r="I77" i="17" s="1"/>
  <c r="D85" i="22" s="1"/>
  <c r="J113" i="18"/>
  <c r="AW35" i="9"/>
  <c r="BA171" i="9"/>
  <c r="J84" i="25"/>
  <c r="J123" i="18"/>
  <c r="J83" i="25" s="1"/>
  <c r="BI142" i="10"/>
  <c r="BI144" i="10" s="1"/>
  <c r="BG144" i="10"/>
  <c r="AC258" i="9"/>
  <c r="AM257" i="9"/>
  <c r="K58" i="25"/>
  <c r="BA85" i="9"/>
  <c r="BN82" i="9" s="1"/>
  <c r="K83" i="11"/>
  <c r="L83" i="11"/>
  <c r="N83" i="11" s="1"/>
  <c r="Q83" i="11" s="1"/>
  <c r="P83" i="11" s="1"/>
  <c r="M82" i="11"/>
  <c r="O82" i="11" s="1"/>
  <c r="BQ140" i="10"/>
  <c r="BO141" i="10"/>
  <c r="BO142" i="10" s="1"/>
  <c r="AK141" i="10"/>
  <c r="AJ142" i="10"/>
  <c r="K155" i="15"/>
  <c r="K130" i="15" s="1"/>
  <c r="K173" i="15" s="1"/>
  <c r="K181" i="15"/>
  <c r="K180" i="15" s="1"/>
  <c r="K192" i="15" s="1"/>
  <c r="AK39" i="9"/>
  <c r="AL39" i="9" s="1"/>
  <c r="AN39" i="9"/>
  <c r="AI40" i="9"/>
  <c r="I137" i="10"/>
  <c r="A259" i="9"/>
  <c r="K259" i="9" s="1"/>
  <c r="K258" i="9"/>
  <c r="AW137" i="10"/>
  <c r="AX137" i="10" s="1"/>
  <c r="K8" i="3"/>
  <c r="L8" i="3" s="1"/>
  <c r="G52" i="25"/>
  <c r="G10" i="22"/>
  <c r="AY34" i="9"/>
  <c r="J34" i="9"/>
  <c r="AZ34" i="9" s="1"/>
  <c r="AJ212" i="9"/>
  <c r="AE212" i="9"/>
  <c r="AF212" i="9" s="1"/>
  <c r="AM172" i="9"/>
  <c r="AC173" i="9"/>
  <c r="AM173" i="9" s="1"/>
  <c r="B121" i="9"/>
  <c r="AU121" i="9"/>
  <c r="F206" i="9"/>
  <c r="AV206" i="9" s="1"/>
  <c r="BB206" i="9"/>
  <c r="E207" i="9"/>
  <c r="H144" i="13"/>
  <c r="J146" i="13"/>
  <c r="C139" i="13"/>
  <c r="E141" i="13"/>
  <c r="N72" i="13"/>
  <c r="AB72" i="13" s="1"/>
  <c r="G143" i="13"/>
  <c r="K147" i="13"/>
  <c r="I145" i="13"/>
  <c r="L70" i="13"/>
  <c r="F142" i="13"/>
  <c r="M71" i="13"/>
  <c r="AA71" i="13" s="1"/>
  <c r="L98" i="13"/>
  <c r="D140" i="13"/>
  <c r="I103" i="25"/>
  <c r="CF142" i="10"/>
  <c r="BA145" i="10"/>
  <c r="AY149" i="10"/>
  <c r="AY146" i="10"/>
  <c r="BA146" i="10" s="1"/>
  <c r="K86" i="9"/>
  <c r="A87" i="9"/>
  <c r="K87" i="9" s="1"/>
  <c r="E142" i="10"/>
  <c r="E144" i="10" s="1"/>
  <c r="C144" i="10"/>
  <c r="AS142" i="10"/>
  <c r="AS144" i="10" s="1"/>
  <c r="AQ144" i="10"/>
  <c r="BK31" i="9"/>
  <c r="CK14" i="9"/>
  <c r="D84" i="11"/>
  <c r="F84" i="11" s="1"/>
  <c r="C85" i="11"/>
  <c r="E85" i="11" s="1"/>
  <c r="H85" i="11" s="1"/>
  <c r="G85" i="11" s="1"/>
  <c r="B85" i="11"/>
  <c r="BB34" i="9"/>
  <c r="F34" i="9"/>
  <c r="AV34" i="9" s="1"/>
  <c r="E35" i="9"/>
  <c r="O258" i="9"/>
  <c r="Y257" i="9"/>
  <c r="BA257" i="9" s="1"/>
  <c r="A173" i="9"/>
  <c r="K173" i="9" s="1"/>
  <c r="K172" i="9"/>
  <c r="CG140" i="10"/>
  <c r="CE141" i="10"/>
  <c r="CE142" i="10" s="1"/>
  <c r="BQ141" i="10" l="1"/>
  <c r="CZ132" i="10"/>
  <c r="T139" i="10"/>
  <c r="T140" i="10" s="1"/>
  <c r="T141" i="10" s="1"/>
  <c r="S140" i="10"/>
  <c r="CG141" i="10"/>
  <c r="T83" i="11"/>
  <c r="U83" i="11"/>
  <c r="W83" i="11" s="1"/>
  <c r="Z83" i="11" s="1"/>
  <c r="Y83" i="11" s="1"/>
  <c r="V82" i="11"/>
  <c r="X82" i="11" s="1"/>
  <c r="CO140" i="10"/>
  <c r="CS137" i="10" s="1"/>
  <c r="CT137" i="10" s="1"/>
  <c r="CM141" i="10"/>
  <c r="CM142" i="10" s="1"/>
  <c r="BY140" i="10"/>
  <c r="CC137" i="10" s="1"/>
  <c r="CD137" i="10" s="1"/>
  <c r="BW141" i="10"/>
  <c r="BW142" i="10" s="1"/>
  <c r="L139" i="10"/>
  <c r="L140" i="10" s="1"/>
  <c r="L141" i="10" s="1"/>
  <c r="K140" i="10"/>
  <c r="BX142" i="10"/>
  <c r="BY141" i="10"/>
  <c r="CN142" i="10"/>
  <c r="CO141" i="10"/>
  <c r="C86" i="11"/>
  <c r="E86" i="11" s="1"/>
  <c r="H86" i="11" s="1"/>
  <c r="G86" i="11" s="1"/>
  <c r="D85" i="11"/>
  <c r="F85" i="11" s="1"/>
  <c r="B86" i="11"/>
  <c r="C145" i="10"/>
  <c r="D144" i="10"/>
  <c r="D145" i="10" s="1"/>
  <c r="D146" i="10" s="1"/>
  <c r="CK137" i="10"/>
  <c r="CL137" i="10" s="1"/>
  <c r="AU35" i="9"/>
  <c r="B35" i="9"/>
  <c r="AR144" i="10"/>
  <c r="AR145" i="10" s="1"/>
  <c r="AR146" i="10" s="1"/>
  <c r="AQ145" i="10"/>
  <c r="BA87" i="9"/>
  <c r="BN84" i="9" s="1"/>
  <c r="BE142" i="10"/>
  <c r="BA149" i="10"/>
  <c r="BA150" i="10" s="1"/>
  <c r="H121" i="9"/>
  <c r="AR121" i="9"/>
  <c r="C121" i="9"/>
  <c r="AN212" i="9"/>
  <c r="AI213" i="9"/>
  <c r="AK212" i="9"/>
  <c r="AL212" i="9" s="1"/>
  <c r="F7" i="27"/>
  <c r="F57" i="17"/>
  <c r="C8" i="3"/>
  <c r="D8" i="3" s="1"/>
  <c r="G14" i="22"/>
  <c r="AC259" i="9"/>
  <c r="AM259" i="9" s="1"/>
  <c r="AM258" i="9"/>
  <c r="CL13" i="9"/>
  <c r="BI32" i="9"/>
  <c r="BJ32" i="9" s="1"/>
  <c r="Q127" i="9"/>
  <c r="R127" i="9" s="1"/>
  <c r="V127" i="9"/>
  <c r="AE128" i="9"/>
  <c r="AF128" i="9" s="1"/>
  <c r="AJ128" i="9"/>
  <c r="L84" i="11"/>
  <c r="N84" i="11" s="1"/>
  <c r="Q84" i="11" s="1"/>
  <c r="P84" i="11" s="1"/>
  <c r="K84" i="11"/>
  <c r="M83" i="11"/>
  <c r="O83" i="11" s="1"/>
  <c r="K86" i="25"/>
  <c r="K124" i="18"/>
  <c r="BA172" i="9"/>
  <c r="CG142" i="10"/>
  <c r="CG144" i="10" s="1"/>
  <c r="CE144" i="10"/>
  <c r="BA173" i="9"/>
  <c r="H110" i="17"/>
  <c r="I138" i="18"/>
  <c r="BA86" i="9"/>
  <c r="BN83" i="9" s="1"/>
  <c r="L82" i="13"/>
  <c r="L99" i="18" s="1"/>
  <c r="Z70" i="13"/>
  <c r="Z82" i="13" s="1"/>
  <c r="BM31" i="9"/>
  <c r="CK17" i="9"/>
  <c r="J137" i="10"/>
  <c r="BQ142" i="10"/>
  <c r="BQ144" i="10" s="1"/>
  <c r="BO144" i="10"/>
  <c r="BG145" i="10"/>
  <c r="BH144" i="10"/>
  <c r="BH145" i="10" s="1"/>
  <c r="BH146" i="10" s="1"/>
  <c r="J73" i="25"/>
  <c r="J111" i="18"/>
  <c r="H47" i="25"/>
  <c r="AB144" i="10"/>
  <c r="AB145" i="10" s="1"/>
  <c r="AB146" i="10" s="1"/>
  <c r="AA145" i="10"/>
  <c r="AO137" i="10"/>
  <c r="AP137" i="10" s="1"/>
  <c r="E86" i="22"/>
  <c r="Y258" i="9"/>
  <c r="O259" i="9"/>
  <c r="Y259" i="9" s="1"/>
  <c r="K75" i="17"/>
  <c r="F76" i="22"/>
  <c r="AU207" i="9"/>
  <c r="B207" i="9"/>
  <c r="BL31" i="9"/>
  <c r="CK16" i="9"/>
  <c r="G53" i="25"/>
  <c r="K76" i="25"/>
  <c r="AZ149" i="10"/>
  <c r="AY150" i="10"/>
  <c r="BA259" i="9"/>
  <c r="AH39" i="9"/>
  <c r="AG40" i="9"/>
  <c r="AD40" i="9" s="1"/>
  <c r="BU137" i="10"/>
  <c r="BV137" i="10" s="1"/>
  <c r="Q213" i="9"/>
  <c r="R213" i="9" s="1"/>
  <c r="V213" i="9"/>
  <c r="AK142" i="10"/>
  <c r="AK144" i="10" s="1"/>
  <c r="AI144" i="10"/>
  <c r="Z39" i="9"/>
  <c r="U40" i="9"/>
  <c r="W39" i="9"/>
  <c r="X39" i="9" s="1"/>
  <c r="H8" i="25"/>
  <c r="H19" i="18"/>
  <c r="U140" i="10" l="1"/>
  <c r="Y137" i="10" s="1"/>
  <c r="Z137" i="10" s="1"/>
  <c r="S141" i="10"/>
  <c r="S142" i="10" s="1"/>
  <c r="T142" i="10"/>
  <c r="U141" i="10"/>
  <c r="CY137" i="10"/>
  <c r="DA132" i="10"/>
  <c r="DL91" i="10" s="1"/>
  <c r="F83" i="22" s="1"/>
  <c r="BY142" i="10"/>
  <c r="BY144" i="10" s="1"/>
  <c r="BW144" i="10"/>
  <c r="M140" i="10"/>
  <c r="Q137" i="10" s="1"/>
  <c r="R137" i="10" s="1"/>
  <c r="K141" i="10"/>
  <c r="K142" i="10" s="1"/>
  <c r="CO142" i="10"/>
  <c r="CO144" i="10" s="1"/>
  <c r="CM144" i="10"/>
  <c r="U84" i="11"/>
  <c r="W84" i="11" s="1"/>
  <c r="Z84" i="11" s="1"/>
  <c r="Y84" i="11" s="1"/>
  <c r="V83" i="11"/>
  <c r="X83" i="11" s="1"/>
  <c r="T84" i="11"/>
  <c r="L142" i="10"/>
  <c r="M141" i="10"/>
  <c r="CZ137" i="10" s="1"/>
  <c r="U214" i="9"/>
  <c r="W213" i="9"/>
  <c r="X213" i="9" s="1"/>
  <c r="Z213" i="9"/>
  <c r="BF142" i="10"/>
  <c r="BF147" i="10" s="1"/>
  <c r="BE147" i="10"/>
  <c r="BC147" i="10" s="1"/>
  <c r="AR207" i="9"/>
  <c r="C207" i="9"/>
  <c r="H207" i="9"/>
  <c r="BP144" i="10"/>
  <c r="BP145" i="10" s="1"/>
  <c r="BP146" i="10" s="1"/>
  <c r="BO145" i="10"/>
  <c r="CW137" i="10"/>
  <c r="DM89" i="10" s="1"/>
  <c r="M68" i="13" s="1"/>
  <c r="L85" i="11"/>
  <c r="N85" i="11" s="1"/>
  <c r="Q85" i="11" s="1"/>
  <c r="P85" i="11" s="1"/>
  <c r="M84" i="11"/>
  <c r="O84" i="11" s="1"/>
  <c r="K85" i="11"/>
  <c r="F12" i="27"/>
  <c r="AS121" i="9"/>
  <c r="D121" i="9"/>
  <c r="AT121" i="9" s="1"/>
  <c r="CX137" i="10"/>
  <c r="DM92" i="10" s="1"/>
  <c r="L108" i="17" s="1"/>
  <c r="E145" i="10"/>
  <c r="C149" i="10"/>
  <c r="C146" i="10"/>
  <c r="F89" i="22"/>
  <c r="CK18" i="9"/>
  <c r="CF144" i="10"/>
  <c r="CF145" i="10" s="1"/>
  <c r="CF146" i="10" s="1"/>
  <c r="CE145" i="10"/>
  <c r="BG32" i="9"/>
  <c r="BH32" i="9" s="1"/>
  <c r="CL12" i="9"/>
  <c r="J136" i="18" s="1"/>
  <c r="H57" i="18"/>
  <c r="I9" i="3"/>
  <c r="H11" i="25"/>
  <c r="S40" i="9"/>
  <c r="P40" i="9" s="1"/>
  <c r="T39" i="9"/>
  <c r="DA137" i="10"/>
  <c r="DM91" i="10" s="1"/>
  <c r="G83" i="22" s="1"/>
  <c r="CY142" i="10"/>
  <c r="AC145" i="10"/>
  <c r="AA149" i="10"/>
  <c r="AA146" i="10"/>
  <c r="AC146" i="10" s="1"/>
  <c r="H116" i="17"/>
  <c r="I98" i="25"/>
  <c r="K84" i="25"/>
  <c r="K123" i="18"/>
  <c r="K83" i="25" s="1"/>
  <c r="AI129" i="9"/>
  <c r="AK128" i="9"/>
  <c r="AL128" i="9" s="1"/>
  <c r="AN128" i="9"/>
  <c r="G17" i="22"/>
  <c r="C35" i="9"/>
  <c r="AR35" i="9"/>
  <c r="H35" i="9"/>
  <c r="BA258" i="9"/>
  <c r="C87" i="11"/>
  <c r="E87" i="11" s="1"/>
  <c r="H87" i="11" s="1"/>
  <c r="G87" i="11" s="1"/>
  <c r="D86" i="11"/>
  <c r="F86" i="11" s="1"/>
  <c r="B87" i="11"/>
  <c r="AJ144" i="10"/>
  <c r="AJ145" i="10" s="1"/>
  <c r="AJ146" i="10" s="1"/>
  <c r="AI145" i="10"/>
  <c r="L98" i="18"/>
  <c r="L59" i="25"/>
  <c r="AX121" i="9"/>
  <c r="I121" i="9"/>
  <c r="G122" i="9"/>
  <c r="AW122" i="9" s="1"/>
  <c r="L121" i="9"/>
  <c r="AJ40" i="9"/>
  <c r="AE40" i="9"/>
  <c r="AF40" i="9" s="1"/>
  <c r="AY157" i="10"/>
  <c r="AZ150" i="10"/>
  <c r="AZ157" i="10" s="1"/>
  <c r="K85" i="17"/>
  <c r="L119" i="18" s="1"/>
  <c r="L79" i="25" s="1"/>
  <c r="L159" i="15"/>
  <c r="L184" i="15" s="1"/>
  <c r="L142" i="14"/>
  <c r="L157" i="15"/>
  <c r="L182" i="15" s="1"/>
  <c r="K82" i="17"/>
  <c r="L143" i="14"/>
  <c r="K86" i="17"/>
  <c r="L120" i="18" s="1"/>
  <c r="L80" i="25" s="1"/>
  <c r="L137" i="14"/>
  <c r="L141" i="14"/>
  <c r="L139" i="14"/>
  <c r="L144" i="14"/>
  <c r="L156" i="15"/>
  <c r="L140" i="14"/>
  <c r="L160" i="15"/>
  <c r="L185" i="15" s="1"/>
  <c r="L138" i="14"/>
  <c r="L136" i="14"/>
  <c r="L135" i="14"/>
  <c r="L158" i="15"/>
  <c r="L183" i="15" s="1"/>
  <c r="J71" i="25"/>
  <c r="BI145" i="10"/>
  <c r="BG149" i="10"/>
  <c r="BG146" i="10"/>
  <c r="BI146" i="10" s="1"/>
  <c r="W127" i="9"/>
  <c r="X127" i="9" s="1"/>
  <c r="Z127" i="9"/>
  <c r="U128" i="9"/>
  <c r="AH212" i="9"/>
  <c r="AG213" i="9"/>
  <c r="AD213" i="9" s="1"/>
  <c r="AS145" i="10"/>
  <c r="AQ149" i="10"/>
  <c r="AQ146" i="10"/>
  <c r="AS146" i="10" s="1"/>
  <c r="E146" i="10"/>
  <c r="S144" i="10" l="1"/>
  <c r="U142" i="10"/>
  <c r="U144" i="10" s="1"/>
  <c r="T85" i="11"/>
  <c r="V84" i="11"/>
  <c r="X84" i="11" s="1"/>
  <c r="U85" i="11"/>
  <c r="W85" i="11" s="1"/>
  <c r="Z85" i="11" s="1"/>
  <c r="Y85" i="11" s="1"/>
  <c r="CM145" i="10"/>
  <c r="CN144" i="10"/>
  <c r="CN145" i="10" s="1"/>
  <c r="CN146" i="10" s="1"/>
  <c r="K144" i="10"/>
  <c r="M142" i="10"/>
  <c r="M144" i="10" s="1"/>
  <c r="BX144" i="10"/>
  <c r="BX145" i="10" s="1"/>
  <c r="BX146" i="10" s="1"/>
  <c r="BW145" i="10"/>
  <c r="BH149" i="10"/>
  <c r="BG150" i="10"/>
  <c r="AG129" i="9"/>
  <c r="AD129" i="9" s="1"/>
  <c r="AH128" i="9"/>
  <c r="H48" i="25"/>
  <c r="H59" i="18"/>
  <c r="AW142" i="10"/>
  <c r="AS149" i="10"/>
  <c r="AS150" i="10" s="1"/>
  <c r="AJ213" i="9"/>
  <c r="AE213" i="9"/>
  <c r="AF213" i="9" s="1"/>
  <c r="T127" i="9"/>
  <c r="S128" i="9"/>
  <c r="P128" i="9" s="1"/>
  <c r="AY216" i="10"/>
  <c r="AY159" i="10"/>
  <c r="AY160" i="10" s="1"/>
  <c r="AK145" i="10"/>
  <c r="AI149" i="10"/>
  <c r="AI146" i="10"/>
  <c r="AK146" i="10" s="1"/>
  <c r="D35" i="9"/>
  <c r="AT35" i="9" s="1"/>
  <c r="AS35" i="9"/>
  <c r="L86" i="11"/>
  <c r="N86" i="11" s="1"/>
  <c r="Q86" i="11" s="1"/>
  <c r="P86" i="11" s="1"/>
  <c r="K86" i="11"/>
  <c r="M85" i="11"/>
  <c r="O85" i="11" s="1"/>
  <c r="BQ145" i="10"/>
  <c r="BO149" i="10"/>
  <c r="BO146" i="10"/>
  <c r="BQ146" i="10" s="1"/>
  <c r="AS207" i="9"/>
  <c r="D207" i="9"/>
  <c r="AT207" i="9" s="1"/>
  <c r="CG145" i="10"/>
  <c r="CE149" i="10"/>
  <c r="CE146" i="10"/>
  <c r="CG146" i="10" s="1"/>
  <c r="T213" i="9"/>
  <c r="S214" i="9"/>
  <c r="P214" i="9" s="1"/>
  <c r="BM142" i="10"/>
  <c r="BI149" i="10"/>
  <c r="BI150" i="10" s="1"/>
  <c r="L134" i="14"/>
  <c r="L116" i="18"/>
  <c r="AN40" i="9"/>
  <c r="AK40" i="9"/>
  <c r="AL40" i="9" s="1"/>
  <c r="AI41" i="9"/>
  <c r="B88" i="11"/>
  <c r="D87" i="11"/>
  <c r="F87" i="11" s="1"/>
  <c r="C88" i="11"/>
  <c r="E88" i="11" s="1"/>
  <c r="H88" i="11" s="1"/>
  <c r="G88" i="11" s="1"/>
  <c r="AX35" i="9"/>
  <c r="G36" i="9"/>
  <c r="L35" i="9"/>
  <c r="I35" i="9"/>
  <c r="G20" i="22"/>
  <c r="AB149" i="10"/>
  <c r="AA150" i="10"/>
  <c r="Q40" i="9"/>
  <c r="R40" i="9" s="1"/>
  <c r="V40" i="9"/>
  <c r="J96" i="25"/>
  <c r="D91" i="22"/>
  <c r="I122" i="17" s="1"/>
  <c r="I142" i="10"/>
  <c r="E149" i="10"/>
  <c r="E150" i="10" s="1"/>
  <c r="E122" i="9"/>
  <c r="BB121" i="9"/>
  <c r="F121" i="9"/>
  <c r="AV121" i="9" s="1"/>
  <c r="C198" i="28"/>
  <c r="D149" i="10"/>
  <c r="C150" i="10"/>
  <c r="AR149" i="10"/>
  <c r="AQ150" i="10"/>
  <c r="L155" i="15"/>
  <c r="L130" i="15" s="1"/>
  <c r="L173" i="15" s="1"/>
  <c r="L181" i="15"/>
  <c r="L180" i="15" s="1"/>
  <c r="L192" i="15" s="1"/>
  <c r="AZ158" i="10"/>
  <c r="AZ216" i="10"/>
  <c r="BA157" i="10"/>
  <c r="AY121" i="9"/>
  <c r="J121" i="9"/>
  <c r="AZ121" i="9" s="1"/>
  <c r="L58" i="25"/>
  <c r="AG142" i="10"/>
  <c r="AC149" i="10"/>
  <c r="AC150" i="10" s="1"/>
  <c r="M70" i="13"/>
  <c r="K146" i="13"/>
  <c r="C138" i="13"/>
  <c r="M98" i="13"/>
  <c r="E140" i="13"/>
  <c r="I144" i="13"/>
  <c r="D139" i="13"/>
  <c r="L147" i="13"/>
  <c r="H143" i="13"/>
  <c r="F141" i="13"/>
  <c r="G142" i="13"/>
  <c r="N71" i="13"/>
  <c r="AB71" i="13" s="1"/>
  <c r="J145" i="13"/>
  <c r="I207" i="9"/>
  <c r="G208" i="9"/>
  <c r="AW208" i="9" s="1"/>
  <c r="AX207" i="9"/>
  <c r="L207" i="9"/>
  <c r="S145" i="10" l="1"/>
  <c r="T144" i="10"/>
  <c r="T145" i="10" s="1"/>
  <c r="T146" i="10" s="1"/>
  <c r="CO145" i="10"/>
  <c r="CM149" i="10"/>
  <c r="CM146" i="10"/>
  <c r="CO146" i="10" s="1"/>
  <c r="BY145" i="10"/>
  <c r="BW149" i="10"/>
  <c r="BW146" i="10"/>
  <c r="BY146" i="10" s="1"/>
  <c r="K145" i="10"/>
  <c r="L144" i="10"/>
  <c r="L145" i="10" s="1"/>
  <c r="L146" i="10" s="1"/>
  <c r="V85" i="11"/>
  <c r="X85" i="11" s="1"/>
  <c r="T86" i="11"/>
  <c r="U86" i="11"/>
  <c r="W86" i="11" s="1"/>
  <c r="Z86" i="11" s="1"/>
  <c r="Y86" i="11" s="1"/>
  <c r="AZ160" i="10"/>
  <c r="AZ161" i="10" s="1"/>
  <c r="AY161" i="10"/>
  <c r="AY207" i="9"/>
  <c r="J207" i="9"/>
  <c r="AZ207" i="9" s="1"/>
  <c r="BU142" i="10"/>
  <c r="BQ149" i="10"/>
  <c r="BQ150" i="10" s="1"/>
  <c r="G76" i="22"/>
  <c r="L75" i="17"/>
  <c r="AH142" i="10"/>
  <c r="AH147" i="10" s="1"/>
  <c r="AG147" i="10"/>
  <c r="AE147" i="10" s="1"/>
  <c r="BA216" i="10"/>
  <c r="AA157" i="10"/>
  <c r="AB150" i="10"/>
  <c r="AB157" i="10" s="1"/>
  <c r="AY35" i="9"/>
  <c r="J35" i="9"/>
  <c r="AZ35" i="9" s="1"/>
  <c r="L179" i="14"/>
  <c r="L126" i="18" s="1"/>
  <c r="L168" i="14"/>
  <c r="L122" i="14"/>
  <c r="L156" i="14" s="1"/>
  <c r="F86" i="22" s="1"/>
  <c r="BP149" i="10"/>
  <c r="BO150" i="10"/>
  <c r="AE129" i="9"/>
  <c r="AF129" i="9" s="1"/>
  <c r="AJ129" i="9"/>
  <c r="AH40" i="9"/>
  <c r="AG41" i="9"/>
  <c r="AD41" i="9" s="1"/>
  <c r="AJ149" i="10"/>
  <c r="AI150" i="10"/>
  <c r="AI214" i="9"/>
  <c r="AN213" i="9"/>
  <c r="AK213" i="9"/>
  <c r="AL213" i="9" s="1"/>
  <c r="H50" i="25"/>
  <c r="H71" i="18"/>
  <c r="H61" i="18" s="1"/>
  <c r="H70" i="18"/>
  <c r="H82" i="18"/>
  <c r="E208" i="9"/>
  <c r="BB207" i="9"/>
  <c r="F207" i="9"/>
  <c r="AV207" i="9" s="1"/>
  <c r="AA70" i="13"/>
  <c r="AA82" i="13" s="1"/>
  <c r="M82" i="13"/>
  <c r="M99" i="18" s="1"/>
  <c r="AZ162" i="10"/>
  <c r="BA158" i="10"/>
  <c r="BE158" i="10" s="1"/>
  <c r="AQ157" i="10"/>
  <c r="AR150" i="10"/>
  <c r="AR157" i="10" s="1"/>
  <c r="J79" i="17"/>
  <c r="J77" i="17" s="1"/>
  <c r="E85" i="22" s="1"/>
  <c r="K113" i="18"/>
  <c r="AW36" i="9"/>
  <c r="B89" i="11"/>
  <c r="C89" i="11"/>
  <c r="E89" i="11" s="1"/>
  <c r="H89" i="11" s="1"/>
  <c r="G89" i="11" s="1"/>
  <c r="D88" i="11"/>
  <c r="F88" i="11" s="1"/>
  <c r="BN142" i="10"/>
  <c r="BN147" i="10" s="1"/>
  <c r="BM147" i="10"/>
  <c r="BK147" i="10" s="1"/>
  <c r="CF149" i="10"/>
  <c r="CE150" i="10"/>
  <c r="BK32" i="9"/>
  <c r="CL14" i="9"/>
  <c r="AO142" i="10"/>
  <c r="AK149" i="10"/>
  <c r="AK150" i="10" s="1"/>
  <c r="V128" i="9"/>
  <c r="Q128" i="9"/>
  <c r="R128" i="9" s="1"/>
  <c r="BG157" i="10"/>
  <c r="BH150" i="10"/>
  <c r="BH157" i="10" s="1"/>
  <c r="C199" i="28"/>
  <c r="C157" i="10"/>
  <c r="D150" i="10"/>
  <c r="D157" i="10" s="1"/>
  <c r="BB35" i="9"/>
  <c r="E36" i="9"/>
  <c r="F35" i="9"/>
  <c r="AV35" i="9" s="1"/>
  <c r="G198" i="28"/>
  <c r="D198" i="28"/>
  <c r="B198" i="28"/>
  <c r="F198" i="28" s="1"/>
  <c r="A198" i="28"/>
  <c r="AU122" i="9"/>
  <c r="B122" i="9"/>
  <c r="J142" i="10"/>
  <c r="J147" i="10" s="1"/>
  <c r="I147" i="10"/>
  <c r="G147" i="10" s="1"/>
  <c r="Z40" i="9"/>
  <c r="W40" i="9"/>
  <c r="X40" i="9" s="1"/>
  <c r="U41" i="9"/>
  <c r="G22" i="22"/>
  <c r="L76" i="25"/>
  <c r="V214" i="9"/>
  <c r="Q214" i="9"/>
  <c r="R214" i="9" s="1"/>
  <c r="CK142" i="10"/>
  <c r="CG149" i="10"/>
  <c r="CG150" i="10" s="1"/>
  <c r="L87" i="11"/>
  <c r="N87" i="11" s="1"/>
  <c r="Q87" i="11" s="1"/>
  <c r="P87" i="11" s="1"/>
  <c r="M86" i="11"/>
  <c r="O86" i="11" s="1"/>
  <c r="K87" i="11"/>
  <c r="AZ159" i="10"/>
  <c r="AX142" i="10"/>
  <c r="AX147" i="10" s="1"/>
  <c r="AW147" i="10"/>
  <c r="AU147" i="10" s="1"/>
  <c r="U145" i="10" l="1"/>
  <c r="S149" i="10"/>
  <c r="S146" i="10"/>
  <c r="U146" i="10" s="1"/>
  <c r="M146" i="10"/>
  <c r="CZ142" i="10" s="1"/>
  <c r="CC142" i="10"/>
  <c r="BY149" i="10"/>
  <c r="BY150" i="10" s="1"/>
  <c r="K149" i="10"/>
  <c r="M145" i="10"/>
  <c r="K146" i="10"/>
  <c r="V86" i="11"/>
  <c r="X86" i="11" s="1"/>
  <c r="U87" i="11"/>
  <c r="W87" i="11" s="1"/>
  <c r="Z87" i="11" s="1"/>
  <c r="Y87" i="11" s="1"/>
  <c r="T87" i="11"/>
  <c r="CN149" i="10"/>
  <c r="CM150" i="10"/>
  <c r="BW150" i="10"/>
  <c r="BX149" i="10"/>
  <c r="CO149" i="10"/>
  <c r="CO150" i="10" s="1"/>
  <c r="CS142" i="10"/>
  <c r="BA159" i="10"/>
  <c r="BF158" i="10"/>
  <c r="E157" i="10"/>
  <c r="D158" i="10"/>
  <c r="D216" i="10"/>
  <c r="CF150" i="10"/>
  <c r="CF157" i="10" s="1"/>
  <c r="CE157" i="10"/>
  <c r="BL32" i="9"/>
  <c r="CL16" i="9"/>
  <c r="M157" i="15"/>
  <c r="M182" i="15" s="1"/>
  <c r="M143" i="14"/>
  <c r="L85" i="17"/>
  <c r="M119" i="18" s="1"/>
  <c r="M79" i="25" s="1"/>
  <c r="M142" i="14"/>
  <c r="M159" i="15"/>
  <c r="M184" i="15" s="1"/>
  <c r="L82" i="17"/>
  <c r="M136" i="14"/>
  <c r="M156" i="15"/>
  <c r="M137" i="14"/>
  <c r="M160" i="15"/>
  <c r="M185" i="15" s="1"/>
  <c r="L86" i="17"/>
  <c r="M120" i="18" s="1"/>
  <c r="M80" i="25" s="1"/>
  <c r="M144" i="14"/>
  <c r="M141" i="14"/>
  <c r="M138" i="14"/>
  <c r="M139" i="14"/>
  <c r="M140" i="14"/>
  <c r="M135" i="14"/>
  <c r="M158" i="15"/>
  <c r="M183" i="15" s="1"/>
  <c r="AY163" i="10"/>
  <c r="BA161" i="10"/>
  <c r="AR122" i="9"/>
  <c r="C122" i="9"/>
  <c r="H122" i="9"/>
  <c r="E198" i="28"/>
  <c r="AU36" i="9"/>
  <c r="B36" i="9"/>
  <c r="A199" i="28"/>
  <c r="G199" i="28"/>
  <c r="B199" i="28"/>
  <c r="F199" i="28" s="1"/>
  <c r="D199" i="28"/>
  <c r="E199" i="28" s="1"/>
  <c r="I110" i="17"/>
  <c r="J138" i="18"/>
  <c r="C90" i="11"/>
  <c r="E90" i="11" s="1"/>
  <c r="H90" i="11" s="1"/>
  <c r="G90" i="11" s="1"/>
  <c r="B90" i="11"/>
  <c r="D89" i="11"/>
  <c r="F89" i="11" s="1"/>
  <c r="AQ159" i="10"/>
  <c r="AQ216" i="10"/>
  <c r="H9" i="22"/>
  <c r="H83" i="18"/>
  <c r="H84" i="18" s="1"/>
  <c r="I16" i="18" s="1"/>
  <c r="BO157" i="10"/>
  <c r="BP150" i="10"/>
  <c r="BP157" i="10" s="1"/>
  <c r="L86" i="25"/>
  <c r="L124" i="18"/>
  <c r="AA159" i="10"/>
  <c r="AA160" i="10" s="1"/>
  <c r="AA216" i="10"/>
  <c r="BH158" i="10"/>
  <c r="BI157" i="10"/>
  <c r="BH216" i="10"/>
  <c r="AZ167" i="10"/>
  <c r="BA162" i="10"/>
  <c r="S41" i="9"/>
  <c r="P41" i="9" s="1"/>
  <c r="T40" i="9"/>
  <c r="K88" i="11"/>
  <c r="M87" i="11"/>
  <c r="O87" i="11" s="1"/>
  <c r="L88" i="11"/>
  <c r="N88" i="11" s="1"/>
  <c r="Q88" i="11" s="1"/>
  <c r="P88" i="11" s="1"/>
  <c r="CL142" i="10"/>
  <c r="CK147" i="10"/>
  <c r="CI147" i="10" s="1"/>
  <c r="W128" i="9"/>
  <c r="X128" i="9" s="1"/>
  <c r="Z128" i="9"/>
  <c r="U129" i="9"/>
  <c r="CM13" i="9"/>
  <c r="BI33" i="9"/>
  <c r="BJ33" i="9" s="1"/>
  <c r="BB158" i="10"/>
  <c r="H60" i="18"/>
  <c r="H73" i="18"/>
  <c r="AI157" i="10"/>
  <c r="AJ150" i="10"/>
  <c r="AJ157" i="10" s="1"/>
  <c r="CL17" i="9"/>
  <c r="BM32" i="9"/>
  <c r="BV142" i="10"/>
  <c r="BV147" i="10" s="1"/>
  <c r="BU147" i="10"/>
  <c r="BS147" i="10" s="1"/>
  <c r="DA142" i="10"/>
  <c r="DN91" i="10" s="1"/>
  <c r="H83" i="22" s="1"/>
  <c r="CZ147" i="10"/>
  <c r="K73" i="25"/>
  <c r="K111" i="18"/>
  <c r="AG214" i="9"/>
  <c r="AD214" i="9" s="1"/>
  <c r="AH213" i="9"/>
  <c r="AK129" i="9"/>
  <c r="AL129" i="9" s="1"/>
  <c r="AN129" i="9"/>
  <c r="AI130" i="9"/>
  <c r="U215" i="9"/>
  <c r="Z214" i="9"/>
  <c r="W214" i="9"/>
  <c r="X214" i="9" s="1"/>
  <c r="C206" i="28"/>
  <c r="C159" i="10"/>
  <c r="C160" i="10" s="1"/>
  <c r="C216" i="10"/>
  <c r="BG216" i="10"/>
  <c r="BG159" i="10"/>
  <c r="BG160" i="10" s="1"/>
  <c r="AP142" i="10"/>
  <c r="AP147" i="10" s="1"/>
  <c r="AO147" i="10"/>
  <c r="AM147" i="10" s="1"/>
  <c r="AS157" i="10"/>
  <c r="AR216" i="10"/>
  <c r="AR158" i="10"/>
  <c r="M59" i="25"/>
  <c r="M98" i="18"/>
  <c r="AU208" i="9"/>
  <c r="B208" i="9"/>
  <c r="K9" i="3"/>
  <c r="L9" i="3" s="1"/>
  <c r="H52" i="25"/>
  <c r="AJ41" i="9"/>
  <c r="AE41" i="9"/>
  <c r="AF41" i="9" s="1"/>
  <c r="AB216" i="10"/>
  <c r="AB158" i="10"/>
  <c r="AC157" i="10"/>
  <c r="BA160" i="10"/>
  <c r="G89" i="22"/>
  <c r="T149" i="10" l="1"/>
  <c r="S150" i="10"/>
  <c r="Y142" i="10"/>
  <c r="U149" i="10"/>
  <c r="U150" i="10" s="1"/>
  <c r="BW157" i="10"/>
  <c r="BX150" i="10"/>
  <c r="BX157" i="10" s="1"/>
  <c r="L149" i="10"/>
  <c r="K150" i="10"/>
  <c r="CT142" i="10"/>
  <c r="CT147" i="10" s="1"/>
  <c r="CS147" i="10"/>
  <c r="CQ147" i="10" s="1"/>
  <c r="CM157" i="10"/>
  <c r="CN150" i="10"/>
  <c r="CN157" i="10" s="1"/>
  <c r="CD142" i="10"/>
  <c r="CD147" i="10" s="1"/>
  <c r="CC147" i="10"/>
  <c r="CA147" i="10" s="1"/>
  <c r="V87" i="11"/>
  <c r="X87" i="11" s="1"/>
  <c r="T88" i="11"/>
  <c r="U88" i="11"/>
  <c r="W88" i="11" s="1"/>
  <c r="Z88" i="11" s="1"/>
  <c r="Y88" i="11" s="1"/>
  <c r="Q142" i="10"/>
  <c r="M149" i="10"/>
  <c r="M150" i="10" s="1"/>
  <c r="AE214" i="9"/>
  <c r="AF214" i="9" s="1"/>
  <c r="AJ214" i="9"/>
  <c r="AI159" i="10"/>
  <c r="AI160" i="10" s="1"/>
  <c r="AI216" i="10"/>
  <c r="V41" i="9"/>
  <c r="Q41" i="9"/>
  <c r="R41" i="9" s="1"/>
  <c r="AR159" i="10"/>
  <c r="M58" i="25"/>
  <c r="BG161" i="10"/>
  <c r="BH160" i="10"/>
  <c r="BH161" i="10" s="1"/>
  <c r="H51" i="25"/>
  <c r="H62" i="18"/>
  <c r="I56" i="18"/>
  <c r="T128" i="9"/>
  <c r="S129" i="9"/>
  <c r="P129" i="9" s="1"/>
  <c r="K89" i="11"/>
  <c r="M88" i="11"/>
  <c r="O88" i="11" s="1"/>
  <c r="L89" i="11"/>
  <c r="N89" i="11" s="1"/>
  <c r="Q89" i="11" s="1"/>
  <c r="P89" i="11" s="1"/>
  <c r="AZ172" i="10"/>
  <c r="BA167" i="10"/>
  <c r="AA161" i="10"/>
  <c r="AB160" i="10"/>
  <c r="AB161" i="10" s="1"/>
  <c r="BO159" i="10"/>
  <c r="BO160" i="10" s="1"/>
  <c r="BO216" i="10"/>
  <c r="J98" i="25"/>
  <c r="I116" i="17"/>
  <c r="J139" i="18"/>
  <c r="BG33" i="9"/>
  <c r="BH33" i="9" s="1"/>
  <c r="CM12" i="9"/>
  <c r="K136" i="18" s="1"/>
  <c r="E208" i="28"/>
  <c r="M134" i="14"/>
  <c r="CE159" i="10"/>
  <c r="CE160" i="10" s="1"/>
  <c r="CE216" i="10"/>
  <c r="E216" i="10"/>
  <c r="D206" i="28"/>
  <c r="E206" i="28" s="1"/>
  <c r="G206" i="28"/>
  <c r="B206" i="28"/>
  <c r="F206" i="28" s="1"/>
  <c r="A206" i="28"/>
  <c r="AY164" i="10"/>
  <c r="AZ163" i="10"/>
  <c r="AZ164" i="10" s="1"/>
  <c r="AZ165" i="10" s="1"/>
  <c r="AS216" i="10"/>
  <c r="AC216" i="10"/>
  <c r="C161" i="10"/>
  <c r="D160" i="10"/>
  <c r="D161" i="10" s="1"/>
  <c r="AB162" i="10"/>
  <c r="AC158" i="10"/>
  <c r="C208" i="9"/>
  <c r="H208" i="9"/>
  <c r="AR208" i="9"/>
  <c r="AS158" i="10"/>
  <c r="AW158" i="10" s="1"/>
  <c r="AR162" i="10"/>
  <c r="BH159" i="10"/>
  <c r="D159" i="10"/>
  <c r="T214" i="9"/>
  <c r="S215" i="9"/>
  <c r="P215" i="9" s="1"/>
  <c r="F23" i="26"/>
  <c r="DA147" i="10"/>
  <c r="DO91" i="10" s="1"/>
  <c r="CY158" i="10"/>
  <c r="CY216" i="10" s="1"/>
  <c r="AK157" i="10"/>
  <c r="AJ158" i="10"/>
  <c r="AJ216" i="10"/>
  <c r="CL147" i="10"/>
  <c r="L123" i="18"/>
  <c r="L83" i="25" s="1"/>
  <c r="L84" i="25"/>
  <c r="AQ160" i="10"/>
  <c r="I122" i="9"/>
  <c r="G123" i="9"/>
  <c r="AW123" i="9" s="1"/>
  <c r="AX122" i="9"/>
  <c r="L122" i="9"/>
  <c r="M155" i="15"/>
  <c r="M130" i="15" s="1"/>
  <c r="M173" i="15" s="1"/>
  <c r="M181" i="15"/>
  <c r="M180" i="15" s="1"/>
  <c r="M192" i="15" s="1"/>
  <c r="CG157" i="10"/>
  <c r="CF158" i="10"/>
  <c r="CF216" i="10"/>
  <c r="AN41" i="9"/>
  <c r="AI42" i="9"/>
  <c r="AK41" i="9"/>
  <c r="AL41" i="9" s="1"/>
  <c r="I83" i="22"/>
  <c r="BI216" i="10"/>
  <c r="I8" i="25"/>
  <c r="I19" i="18"/>
  <c r="C91" i="11"/>
  <c r="E91" i="11" s="1"/>
  <c r="H91" i="11" s="1"/>
  <c r="G91" i="11" s="1"/>
  <c r="B91" i="11"/>
  <c r="D90" i="11"/>
  <c r="F90" i="11" s="1"/>
  <c r="D122" i="9"/>
  <c r="AT122" i="9" s="1"/>
  <c r="AS122" i="9"/>
  <c r="AG130" i="9"/>
  <c r="AD130" i="9" s="1"/>
  <c r="AH129" i="9"/>
  <c r="K71" i="25"/>
  <c r="CL18" i="9"/>
  <c r="H72" i="18"/>
  <c r="BA163" i="10"/>
  <c r="BB161" i="10"/>
  <c r="BI158" i="10"/>
  <c r="BH162" i="10"/>
  <c r="AB159" i="10"/>
  <c r="BP216" i="10"/>
  <c r="BP158" i="10"/>
  <c r="BQ157" i="10"/>
  <c r="H10" i="22"/>
  <c r="I9" i="22"/>
  <c r="AR36" i="9"/>
  <c r="C36" i="9"/>
  <c r="H36" i="9"/>
  <c r="D208" i="28"/>
  <c r="M116" i="18"/>
  <c r="D162" i="10"/>
  <c r="E158" i="10"/>
  <c r="Z142" i="10" l="1"/>
  <c r="Z147" i="10" s="1"/>
  <c r="Y147" i="10"/>
  <c r="W147" i="10" s="1"/>
  <c r="T150" i="10"/>
  <c r="T157" i="10" s="1"/>
  <c r="S157" i="10"/>
  <c r="V88" i="11"/>
  <c r="X88" i="11" s="1"/>
  <c r="T89" i="11"/>
  <c r="U89" i="11"/>
  <c r="W89" i="11" s="1"/>
  <c r="Z89" i="11" s="1"/>
  <c r="Y89" i="11" s="1"/>
  <c r="CN158" i="10"/>
  <c r="CO157" i="10"/>
  <c r="CN216" i="10"/>
  <c r="K157" i="10"/>
  <c r="L150" i="10"/>
  <c r="L157" i="10" s="1"/>
  <c r="CM159" i="10"/>
  <c r="CM216" i="10"/>
  <c r="R142" i="10"/>
  <c r="Q147" i="10"/>
  <c r="O147" i="10" s="1"/>
  <c r="CW142" i="10"/>
  <c r="BX158" i="10"/>
  <c r="BX216" i="10"/>
  <c r="BY157" i="10"/>
  <c r="BW159" i="10"/>
  <c r="BX159" i="10" s="1"/>
  <c r="BW216" i="10"/>
  <c r="AS159" i="10"/>
  <c r="AX158" i="10"/>
  <c r="CE161" i="10"/>
  <c r="CF160" i="10"/>
  <c r="CF161" i="10" s="1"/>
  <c r="F158" i="10"/>
  <c r="D13" i="21"/>
  <c r="B40" i="2" s="1"/>
  <c r="C186" i="31"/>
  <c r="AG42" i="9"/>
  <c r="AD42" i="9" s="1"/>
  <c r="AH41" i="9"/>
  <c r="CG216" i="10"/>
  <c r="AR160" i="10"/>
  <c r="AR161" i="10" s="1"/>
  <c r="AQ161" i="10"/>
  <c r="AZ166" i="10"/>
  <c r="D167" i="10"/>
  <c r="E162" i="10"/>
  <c r="D36" i="9"/>
  <c r="AT36" i="9" s="1"/>
  <c r="AS36" i="9"/>
  <c r="BJ158" i="10"/>
  <c r="I51" i="18"/>
  <c r="I11" i="25"/>
  <c r="I10" i="3"/>
  <c r="E123" i="9"/>
  <c r="F122" i="9"/>
  <c r="AV122" i="9" s="1"/>
  <c r="BB122" i="9"/>
  <c r="AJ162" i="10"/>
  <c r="AK158" i="10"/>
  <c r="V215" i="9"/>
  <c r="Q215" i="9"/>
  <c r="R215" i="9" s="1"/>
  <c r="AC162" i="10"/>
  <c r="AB167" i="10"/>
  <c r="H53" i="25"/>
  <c r="AI161" i="10"/>
  <c r="AJ160" i="10"/>
  <c r="AJ161" i="10" s="1"/>
  <c r="F22" i="26"/>
  <c r="C121" i="31"/>
  <c r="C120" i="31" s="1"/>
  <c r="AR167" i="10"/>
  <c r="AS162" i="10"/>
  <c r="C163" i="10"/>
  <c r="E161" i="10"/>
  <c r="CF159" i="10"/>
  <c r="BB166" i="10"/>
  <c r="M76" i="25"/>
  <c r="G57" i="17"/>
  <c r="H14" i="22"/>
  <c r="C9" i="3"/>
  <c r="D9" i="3" s="1"/>
  <c r="G7" i="27"/>
  <c r="I10" i="22"/>
  <c r="BM158" i="10"/>
  <c r="CF162" i="10"/>
  <c r="CG158" i="10"/>
  <c r="CK158" i="10" s="1"/>
  <c r="AK216" i="10"/>
  <c r="AO158" i="10"/>
  <c r="G209" i="9"/>
  <c r="AW209" i="9" s="1"/>
  <c r="L208" i="9"/>
  <c r="I208" i="9"/>
  <c r="AX208" i="9"/>
  <c r="K96" i="25"/>
  <c r="E91" i="22"/>
  <c r="J122" i="17" s="1"/>
  <c r="BP160" i="10"/>
  <c r="BP161" i="10" s="1"/>
  <c r="BO161" i="10"/>
  <c r="AC161" i="10"/>
  <c r="AA163" i="10"/>
  <c r="V129" i="9"/>
  <c r="Q129" i="9"/>
  <c r="R129" i="9" s="1"/>
  <c r="BG163" i="10"/>
  <c r="BI161" i="10"/>
  <c r="AN214" i="9"/>
  <c r="AK214" i="9"/>
  <c r="AL214" i="9" s="1"/>
  <c r="AI215" i="9"/>
  <c r="BQ216" i="10"/>
  <c r="AE130" i="9"/>
  <c r="AF130" i="9" s="1"/>
  <c r="AJ130" i="9"/>
  <c r="B92" i="11"/>
  <c r="C92" i="11"/>
  <c r="E92" i="11" s="1"/>
  <c r="H92" i="11" s="1"/>
  <c r="G92" i="11" s="1"/>
  <c r="D91" i="11"/>
  <c r="F91" i="11" s="1"/>
  <c r="D208" i="9"/>
  <c r="AT208" i="9" s="1"/>
  <c r="AS208" i="9"/>
  <c r="L90" i="11"/>
  <c r="N90" i="11" s="1"/>
  <c r="Q90" i="11" s="1"/>
  <c r="P90" i="11" s="1"/>
  <c r="M89" i="11"/>
  <c r="O89" i="11" s="1"/>
  <c r="K90" i="11"/>
  <c r="AX36" i="9"/>
  <c r="I36" i="9"/>
  <c r="L36" i="9"/>
  <c r="G37" i="9"/>
  <c r="BP162" i="10"/>
  <c r="BQ158" i="10"/>
  <c r="BU158" i="10" s="1"/>
  <c r="BH167" i="10"/>
  <c r="BI162" i="10"/>
  <c r="AY122" i="9"/>
  <c r="J122" i="9"/>
  <c r="AZ122" i="9" s="1"/>
  <c r="AT158" i="10"/>
  <c r="AD158" i="10"/>
  <c r="AG158" i="10"/>
  <c r="BA164" i="10"/>
  <c r="AY165" i="10"/>
  <c r="AY166" i="10" s="1"/>
  <c r="I158" i="10"/>
  <c r="M179" i="14"/>
  <c r="M126" i="18" s="1"/>
  <c r="M168" i="14"/>
  <c r="M122" i="14"/>
  <c r="M156" i="14" s="1"/>
  <c r="G86" i="22" s="1"/>
  <c r="J23" i="3"/>
  <c r="J99" i="25"/>
  <c r="BP159" i="10"/>
  <c r="BA172" i="10"/>
  <c r="AZ177" i="10"/>
  <c r="I47" i="25"/>
  <c r="U42" i="9"/>
  <c r="W41" i="9"/>
  <c r="X41" i="9" s="1"/>
  <c r="Z41" i="9"/>
  <c r="AJ159" i="10"/>
  <c r="S216" i="10" l="1"/>
  <c r="S159" i="10"/>
  <c r="T159" i="10" s="1"/>
  <c r="S160" i="10"/>
  <c r="T216" i="10"/>
  <c r="U157" i="10"/>
  <c r="U216" i="10" s="1"/>
  <c r="T158" i="10"/>
  <c r="BA165" i="10"/>
  <c r="BY216" i="10"/>
  <c r="L216" i="10"/>
  <c r="L158" i="10"/>
  <c r="M157" i="10"/>
  <c r="CN162" i="10"/>
  <c r="CO158" i="10"/>
  <c r="CP158" i="10" s="1"/>
  <c r="BW160" i="10"/>
  <c r="R147" i="10"/>
  <c r="CX142" i="10"/>
  <c r="K216" i="10"/>
  <c r="K159" i="10"/>
  <c r="L159" i="10" s="1"/>
  <c r="BY158" i="10"/>
  <c r="BZ158" i="10" s="1"/>
  <c r="BX162" i="10"/>
  <c r="T90" i="11"/>
  <c r="U90" i="11"/>
  <c r="W90" i="11" s="1"/>
  <c r="Z90" i="11" s="1"/>
  <c r="Y90" i="11" s="1"/>
  <c r="V89" i="11"/>
  <c r="X89" i="11" s="1"/>
  <c r="DN89" i="10"/>
  <c r="CW147" i="10"/>
  <c r="CM160" i="10"/>
  <c r="CN159" i="10"/>
  <c r="CO216" i="10"/>
  <c r="BV158" i="10"/>
  <c r="BQ159" i="10"/>
  <c r="BB171" i="10"/>
  <c r="BJ161" i="10"/>
  <c r="BI163" i="10"/>
  <c r="BQ161" i="10"/>
  <c r="BO163" i="10"/>
  <c r="J12" i="22"/>
  <c r="J23" i="22"/>
  <c r="J10" i="22"/>
  <c r="J20" i="22"/>
  <c r="J22" i="22"/>
  <c r="J8" i="22"/>
  <c r="J14" i="22"/>
  <c r="J7" i="22"/>
  <c r="J15" i="22"/>
  <c r="J24" i="22"/>
  <c r="J18" i="22"/>
  <c r="J6" i="22"/>
  <c r="J19" i="22"/>
  <c r="J21" i="22"/>
  <c r="J9" i="22"/>
  <c r="J17" i="22"/>
  <c r="J13" i="22"/>
  <c r="J16" i="22"/>
  <c r="AT161" i="10"/>
  <c r="CE163" i="10"/>
  <c r="CG161" i="10"/>
  <c r="BE161" i="10"/>
  <c r="AH158" i="10"/>
  <c r="AC159" i="10"/>
  <c r="BI167" i="10"/>
  <c r="BH172" i="10"/>
  <c r="AB163" i="10"/>
  <c r="AB164" i="10" s="1"/>
  <c r="AB165" i="10" s="1"/>
  <c r="AA164" i="10"/>
  <c r="BI159" i="10"/>
  <c r="BN158" i="10"/>
  <c r="G12" i="27"/>
  <c r="AR172" i="10"/>
  <c r="AS167" i="10"/>
  <c r="AK161" i="10"/>
  <c r="AI163" i="10"/>
  <c r="Z215" i="9"/>
  <c r="W215" i="9"/>
  <c r="X215" i="9" s="1"/>
  <c r="U216" i="9"/>
  <c r="E163" i="10"/>
  <c r="F161" i="10"/>
  <c r="AY36" i="9"/>
  <c r="J36" i="9"/>
  <c r="AZ36" i="9" s="1"/>
  <c r="F208" i="9"/>
  <c r="AV208" i="9" s="1"/>
  <c r="BB208" i="9"/>
  <c r="E209" i="9"/>
  <c r="I42" i="25"/>
  <c r="C44" i="22"/>
  <c r="I54" i="18"/>
  <c r="M86" i="25"/>
  <c r="M124" i="18"/>
  <c r="BR158" i="10"/>
  <c r="L113" i="18"/>
  <c r="K79" i="17"/>
  <c r="K77" i="17" s="1"/>
  <c r="F85" i="22" s="1"/>
  <c r="AW37" i="9"/>
  <c r="D92" i="11"/>
  <c r="F92" i="11" s="1"/>
  <c r="B93" i="11"/>
  <c r="C93" i="11"/>
  <c r="E93" i="11" s="1"/>
  <c r="H93" i="11" s="1"/>
  <c r="G93" i="11" s="1"/>
  <c r="AG215" i="9"/>
  <c r="AD215" i="9" s="1"/>
  <c r="AH214" i="9"/>
  <c r="BH163" i="10"/>
  <c r="BH164" i="10" s="1"/>
  <c r="BH165" i="10" s="1"/>
  <c r="BG164" i="10"/>
  <c r="C164" i="10"/>
  <c r="D163" i="10"/>
  <c r="D164" i="10" s="1"/>
  <c r="D165" i="10" s="1"/>
  <c r="C93" i="31"/>
  <c r="C30" i="31"/>
  <c r="C33" i="31" s="1"/>
  <c r="AC167" i="10"/>
  <c r="AB172" i="10"/>
  <c r="AL158" i="10"/>
  <c r="B123" i="9"/>
  <c r="AU123" i="9"/>
  <c r="E167" i="10"/>
  <c r="D172" i="10"/>
  <c r="AJ42" i="9"/>
  <c r="AE42" i="9"/>
  <c r="AF42" i="9" s="1"/>
  <c r="AS160" i="10"/>
  <c r="W129" i="9"/>
  <c r="X129" i="9" s="1"/>
  <c r="Z129" i="9"/>
  <c r="U130" i="9"/>
  <c r="CF167" i="10"/>
  <c r="CG162" i="10"/>
  <c r="AQ163" i="10"/>
  <c r="AS161" i="10"/>
  <c r="AS163" i="10" s="1"/>
  <c r="CG159" i="10"/>
  <c r="CG160" i="10" s="1"/>
  <c r="CL158" i="10"/>
  <c r="T41" i="9"/>
  <c r="S42" i="9"/>
  <c r="P42" i="9" s="1"/>
  <c r="AZ182" i="10"/>
  <c r="BA177" i="10"/>
  <c r="J158" i="10"/>
  <c r="E159" i="10"/>
  <c r="AY168" i="10"/>
  <c r="BA166" i="10"/>
  <c r="BA168" i="10" s="1"/>
  <c r="BQ162" i="10"/>
  <c r="BP167" i="10"/>
  <c r="F36" i="9"/>
  <c r="AV36" i="9" s="1"/>
  <c r="BB36" i="9"/>
  <c r="E37" i="9"/>
  <c r="L91" i="11"/>
  <c r="N91" i="11" s="1"/>
  <c r="Q91" i="11" s="1"/>
  <c r="P91" i="11" s="1"/>
  <c r="K91" i="11"/>
  <c r="M90" i="11"/>
  <c r="O90" i="11" s="1"/>
  <c r="AK130" i="9"/>
  <c r="AL130" i="9" s="1"/>
  <c r="AI131" i="9"/>
  <c r="AN130" i="9"/>
  <c r="AY208" i="9"/>
  <c r="J208" i="9"/>
  <c r="AZ208" i="9" s="1"/>
  <c r="AP158" i="10"/>
  <c r="AK159" i="10"/>
  <c r="CH158" i="10"/>
  <c r="H17" i="22"/>
  <c r="I14" i="22"/>
  <c r="AC163" i="10"/>
  <c r="AD161" i="10"/>
  <c r="AK162" i="10"/>
  <c r="AJ167" i="10"/>
  <c r="CM14" i="9"/>
  <c r="BK33" i="9"/>
  <c r="U158" i="10" l="1"/>
  <c r="T162" i="10"/>
  <c r="CS158" i="10"/>
  <c r="T160" i="10"/>
  <c r="T161" i="10" s="1"/>
  <c r="S161" i="10"/>
  <c r="CC158" i="10"/>
  <c r="DN92" i="10"/>
  <c r="CX147" i="10"/>
  <c r="CO162" i="10"/>
  <c r="CN167" i="10"/>
  <c r="CN160" i="10"/>
  <c r="CN161" i="10" s="1"/>
  <c r="CM161" i="10"/>
  <c r="M216" i="10"/>
  <c r="BY159" i="10"/>
  <c r="BY160" i="10" s="1"/>
  <c r="CD158" i="10"/>
  <c r="U91" i="11"/>
  <c r="W91" i="11" s="1"/>
  <c r="Z91" i="11" s="1"/>
  <c r="Y91" i="11" s="1"/>
  <c r="T91" i="11"/>
  <c r="V90" i="11"/>
  <c r="X90" i="11" s="1"/>
  <c r="BX160" i="10"/>
  <c r="BX161" i="10" s="1"/>
  <c r="BW161" i="10"/>
  <c r="M158" i="10"/>
  <c r="Q158" i="10" s="1"/>
  <c r="L162" i="10"/>
  <c r="CO159" i="10"/>
  <c r="CO160" i="10" s="1"/>
  <c r="CT158" i="10"/>
  <c r="DO89" i="10"/>
  <c r="DO93" i="10" s="1"/>
  <c r="N68" i="13"/>
  <c r="BX167" i="10"/>
  <c r="BY162" i="10"/>
  <c r="BZ161" i="10" s="1"/>
  <c r="K160" i="10"/>
  <c r="CG167" i="10"/>
  <c r="CF172" i="10"/>
  <c r="BH166" i="10"/>
  <c r="D93" i="11"/>
  <c r="F93" i="11" s="1"/>
  <c r="C94" i="11"/>
  <c r="E94" i="11" s="1"/>
  <c r="H94" i="11" s="1"/>
  <c r="G94" i="11" s="1"/>
  <c r="B94" i="11"/>
  <c r="AL161" i="10"/>
  <c r="AK163" i="10"/>
  <c r="BQ163" i="10"/>
  <c r="BR161" i="10"/>
  <c r="AY169" i="10"/>
  <c r="AZ168" i="10"/>
  <c r="AZ169" i="10" s="1"/>
  <c r="AZ170" i="10" s="1"/>
  <c r="BB176" i="10"/>
  <c r="J110" i="17"/>
  <c r="J112" i="17" s="1"/>
  <c r="K138" i="18"/>
  <c r="AK160" i="10"/>
  <c r="AH130" i="9"/>
  <c r="AG131" i="9"/>
  <c r="AD131" i="9" s="1"/>
  <c r="L92" i="11"/>
  <c r="N92" i="11" s="1"/>
  <c r="Q92" i="11" s="1"/>
  <c r="P92" i="11" s="1"/>
  <c r="K92" i="11"/>
  <c r="M91" i="11"/>
  <c r="O91" i="11" s="1"/>
  <c r="V42" i="9"/>
  <c r="Q42" i="9"/>
  <c r="R42" i="9" s="1"/>
  <c r="CG163" i="10"/>
  <c r="CH161" i="10"/>
  <c r="C123" i="9"/>
  <c r="AR123" i="9"/>
  <c r="H123" i="9"/>
  <c r="AD166" i="10"/>
  <c r="BI164" i="10"/>
  <c r="BM161" i="10" s="1"/>
  <c r="BG165" i="10"/>
  <c r="BG166" i="10" s="1"/>
  <c r="H58" i="17"/>
  <c r="AR177" i="10"/>
  <c r="AS172" i="10"/>
  <c r="BJ166" i="10"/>
  <c r="H20" i="22"/>
  <c r="I17" i="22"/>
  <c r="BQ167" i="10"/>
  <c r="BP172" i="10"/>
  <c r="CN13" i="9"/>
  <c r="BI34" i="9"/>
  <c r="BJ34" i="9" s="1"/>
  <c r="CM17" i="9"/>
  <c r="BM33" i="9"/>
  <c r="B37" i="9"/>
  <c r="AU37" i="9"/>
  <c r="AR163" i="10"/>
  <c r="AR164" i="10" s="1"/>
  <c r="AR165" i="10" s="1"/>
  <c r="AQ164" i="10"/>
  <c r="AK42" i="9"/>
  <c r="AL42" i="9" s="1"/>
  <c r="AI43" i="9"/>
  <c r="AN42" i="9"/>
  <c r="D177" i="10"/>
  <c r="E172" i="10"/>
  <c r="D166" i="10"/>
  <c r="AJ215" i="9"/>
  <c r="AE215" i="9"/>
  <c r="AF215" i="9" s="1"/>
  <c r="M84" i="25"/>
  <c r="M123" i="18"/>
  <c r="M83" i="25" s="1"/>
  <c r="AU209" i="9"/>
  <c r="B209" i="9"/>
  <c r="CM16" i="9"/>
  <c r="BL33" i="9"/>
  <c r="BI160" i="10"/>
  <c r="AC164" i="10"/>
  <c r="AG161" i="10" s="1"/>
  <c r="AA165" i="10"/>
  <c r="AA166" i="10" s="1"/>
  <c r="AC160" i="10"/>
  <c r="BF161" i="10"/>
  <c r="BO164" i="10"/>
  <c r="BP163" i="10"/>
  <c r="BP164" i="10" s="1"/>
  <c r="BP165" i="10" s="1"/>
  <c r="AJ172" i="10"/>
  <c r="AK167" i="10"/>
  <c r="AJ163" i="10"/>
  <c r="AJ164" i="10" s="1"/>
  <c r="AJ165" i="10" s="1"/>
  <c r="AI164" i="10"/>
  <c r="BQ160" i="10"/>
  <c r="E160" i="10"/>
  <c r="BA182" i="10"/>
  <c r="AZ187" i="10"/>
  <c r="T129" i="9"/>
  <c r="S130" i="9"/>
  <c r="P130" i="9" s="1"/>
  <c r="F166" i="10"/>
  <c r="AB177" i="10"/>
  <c r="AC172" i="10"/>
  <c r="E164" i="10"/>
  <c r="I161" i="10" s="1"/>
  <c r="C165" i="10"/>
  <c r="C166" i="10" s="1"/>
  <c r="L73" i="25"/>
  <c r="L111" i="18"/>
  <c r="I45" i="25"/>
  <c r="H4" i="24" s="1"/>
  <c r="H5" i="24" s="1"/>
  <c r="H6" i="24" s="1"/>
  <c r="J10" i="3"/>
  <c r="I57" i="18"/>
  <c r="T215" i="9"/>
  <c r="S216" i="9"/>
  <c r="P216" i="9" s="1"/>
  <c r="AT166" i="10"/>
  <c r="AB166" i="10"/>
  <c r="BI172" i="10"/>
  <c r="BH177" i="10"/>
  <c r="CE164" i="10"/>
  <c r="CF163" i="10"/>
  <c r="CF164" i="10" s="1"/>
  <c r="CF165" i="10" s="1"/>
  <c r="U161" i="10" l="1"/>
  <c r="S163" i="10"/>
  <c r="U162" i="10"/>
  <c r="T167" i="10"/>
  <c r="Y158" i="10"/>
  <c r="V158" i="10"/>
  <c r="R158" i="10"/>
  <c r="M159" i="10"/>
  <c r="M147" i="13"/>
  <c r="L146" i="13"/>
  <c r="N70" i="13"/>
  <c r="H142" i="13"/>
  <c r="J144" i="13"/>
  <c r="F140" i="13"/>
  <c r="N98" i="13"/>
  <c r="E139" i="13"/>
  <c r="K145" i="13"/>
  <c r="D138" i="13"/>
  <c r="C137" i="13"/>
  <c r="I143" i="13"/>
  <c r="G141" i="13"/>
  <c r="O68" i="13"/>
  <c r="B81" i="28" s="1"/>
  <c r="CO167" i="10"/>
  <c r="CP166" i="10" s="1"/>
  <c r="CN172" i="10"/>
  <c r="K161" i="10"/>
  <c r="L160" i="10"/>
  <c r="L161" i="10" s="1"/>
  <c r="M162" i="10"/>
  <c r="L167" i="10"/>
  <c r="CO161" i="10"/>
  <c r="CO163" i="10" s="1"/>
  <c r="CM163" i="10"/>
  <c r="CP161" i="10"/>
  <c r="BI165" i="10"/>
  <c r="N158" i="10"/>
  <c r="CV158" i="10" s="1"/>
  <c r="CU158" i="10"/>
  <c r="V91" i="11"/>
  <c r="X91" i="11" s="1"/>
  <c r="U92" i="11"/>
  <c r="W92" i="11" s="1"/>
  <c r="Z92" i="11" s="1"/>
  <c r="Y92" i="11" s="1"/>
  <c r="T92" i="11"/>
  <c r="M160" i="10"/>
  <c r="BY167" i="10"/>
  <c r="BZ166" i="10" s="1"/>
  <c r="BX172" i="10"/>
  <c r="BY161" i="10"/>
  <c r="BY163" i="10" s="1"/>
  <c r="BW163" i="10"/>
  <c r="DO92" i="10"/>
  <c r="M108" i="17"/>
  <c r="N108" i="17" s="1"/>
  <c r="AH161" i="10"/>
  <c r="H37" i="9"/>
  <c r="C37" i="9"/>
  <c r="AR37" i="9"/>
  <c r="BI177" i="10"/>
  <c r="BH182" i="10"/>
  <c r="I6" i="24"/>
  <c r="AZ192" i="10"/>
  <c r="BA187" i="10"/>
  <c r="BP166" i="10"/>
  <c r="AA168" i="10"/>
  <c r="AC166" i="10"/>
  <c r="AC168" i="10" s="1"/>
  <c r="F171" i="10"/>
  <c r="AR166" i="10"/>
  <c r="BJ171" i="10"/>
  <c r="I48" i="25"/>
  <c r="I59" i="18"/>
  <c r="L71" i="25"/>
  <c r="J161" i="10"/>
  <c r="BB181" i="10"/>
  <c r="AJ166" i="10"/>
  <c r="BQ164" i="10"/>
  <c r="BO165" i="10"/>
  <c r="BO166" i="10" s="1"/>
  <c r="H209" i="9"/>
  <c r="C209" i="9"/>
  <c r="AR209" i="9"/>
  <c r="D182" i="10"/>
  <c r="E177" i="10"/>
  <c r="BG34" i="9"/>
  <c r="BH34" i="9" s="1"/>
  <c r="CN12" i="9"/>
  <c r="BI166" i="10"/>
  <c r="BI168" i="10" s="1"/>
  <c r="BG168" i="10"/>
  <c r="AX123" i="9"/>
  <c r="L123" i="9"/>
  <c r="I123" i="9"/>
  <c r="G124" i="9"/>
  <c r="AW124" i="9" s="1"/>
  <c r="W42" i="9"/>
  <c r="X42" i="9" s="1"/>
  <c r="U43" i="9"/>
  <c r="Z42" i="9"/>
  <c r="AG43" i="9"/>
  <c r="AD43" i="9" s="1"/>
  <c r="AH42" i="9"/>
  <c r="H22" i="22"/>
  <c r="I20" i="22"/>
  <c r="AT171" i="10"/>
  <c r="M92" i="11"/>
  <c r="O92" i="11" s="1"/>
  <c r="K93" i="11"/>
  <c r="L93" i="11"/>
  <c r="N93" i="11" s="1"/>
  <c r="Q93" i="11" s="1"/>
  <c r="P93" i="11" s="1"/>
  <c r="CG164" i="10"/>
  <c r="CE165" i="10"/>
  <c r="CE166" i="10" s="1"/>
  <c r="AC165" i="10"/>
  <c r="E166" i="10"/>
  <c r="E168" i="10" s="1"/>
  <c r="C168" i="10"/>
  <c r="AC177" i="10"/>
  <c r="AB182" i="10"/>
  <c r="V130" i="9"/>
  <c r="Q130" i="9"/>
  <c r="R130" i="9" s="1"/>
  <c r="AK172" i="10"/>
  <c r="AJ177" i="10"/>
  <c r="AK215" i="9"/>
  <c r="AL215" i="9" s="1"/>
  <c r="AN215" i="9"/>
  <c r="AI216" i="9"/>
  <c r="E165" i="10"/>
  <c r="AS164" i="10"/>
  <c r="AQ165" i="10"/>
  <c r="AQ166" i="10" s="1"/>
  <c r="BQ172" i="10"/>
  <c r="BP177" i="10"/>
  <c r="AR182" i="10"/>
  <c r="AS177" i="10"/>
  <c r="BN161" i="10"/>
  <c r="D123" i="9"/>
  <c r="AT123" i="9" s="1"/>
  <c r="AS123" i="9"/>
  <c r="J116" i="17"/>
  <c r="K98" i="25"/>
  <c r="K139" i="18"/>
  <c r="AZ171" i="10"/>
  <c r="C95" i="11"/>
  <c r="E95" i="11" s="1"/>
  <c r="H95" i="11" s="1"/>
  <c r="G95" i="11" s="1"/>
  <c r="D94" i="11"/>
  <c r="F94" i="11" s="1"/>
  <c r="B95" i="11"/>
  <c r="CF177" i="10"/>
  <c r="CG172" i="10"/>
  <c r="CF166" i="10"/>
  <c r="AD171" i="10"/>
  <c r="AL166" i="10"/>
  <c r="V216" i="9"/>
  <c r="Q216" i="9"/>
  <c r="R216" i="9" s="1"/>
  <c r="AK164" i="10"/>
  <c r="AI165" i="10"/>
  <c r="AI166" i="10" s="1"/>
  <c r="CM18" i="9"/>
  <c r="BR166" i="10"/>
  <c r="AE131" i="9"/>
  <c r="AF131" i="9" s="1"/>
  <c r="AJ131" i="9"/>
  <c r="J114" i="17"/>
  <c r="J113" i="17"/>
  <c r="BA169" i="10"/>
  <c r="AY170" i="10"/>
  <c r="AY171" i="10" s="1"/>
  <c r="CH166" i="10"/>
  <c r="U159" i="10" l="1"/>
  <c r="U160" i="10" s="1"/>
  <c r="Z158" i="10"/>
  <c r="CX158" i="10" s="1"/>
  <c r="T172" i="10"/>
  <c r="U167" i="10"/>
  <c r="V166" i="10" s="1"/>
  <c r="U163" i="10"/>
  <c r="V161" i="10"/>
  <c r="CW158" i="10"/>
  <c r="T163" i="10"/>
  <c r="T164" i="10" s="1"/>
  <c r="T165" i="10" s="1"/>
  <c r="T166" i="10" s="1"/>
  <c r="S164" i="10"/>
  <c r="CZ158" i="10"/>
  <c r="CY161" i="10" s="1"/>
  <c r="CZ217" i="10"/>
  <c r="DA158" i="10"/>
  <c r="DC160" i="10" s="1"/>
  <c r="C107" i="22" s="1"/>
  <c r="T93" i="11"/>
  <c r="V92" i="11"/>
  <c r="X92" i="11" s="1"/>
  <c r="U93" i="11"/>
  <c r="W93" i="11" s="1"/>
  <c r="Z93" i="11" s="1"/>
  <c r="Y93" i="11" s="1"/>
  <c r="CV217" i="10"/>
  <c r="DC164" i="10"/>
  <c r="B175" i="17" s="1"/>
  <c r="L172" i="10"/>
  <c r="M167" i="10"/>
  <c r="CO172" i="10"/>
  <c r="CP171" i="10" s="1"/>
  <c r="CN177" i="10"/>
  <c r="AK165" i="10"/>
  <c r="BX177" i="10"/>
  <c r="BY172" i="10"/>
  <c r="BZ171" i="10" s="1"/>
  <c r="N161" i="10"/>
  <c r="CV161" i="10" s="1"/>
  <c r="DD164" i="10" s="1"/>
  <c r="C175" i="17" s="1"/>
  <c r="CU161" i="10"/>
  <c r="DD159" i="10" s="1"/>
  <c r="H76" i="22"/>
  <c r="O98" i="13"/>
  <c r="M75" i="17"/>
  <c r="N82" i="13"/>
  <c r="N99" i="18" s="1"/>
  <c r="AB70" i="13"/>
  <c r="AB82" i="13" s="1"/>
  <c r="CW217" i="10"/>
  <c r="DC158" i="10"/>
  <c r="C134" i="13" s="1"/>
  <c r="AS165" i="10"/>
  <c r="CN163" i="10"/>
  <c r="CN164" i="10" s="1"/>
  <c r="CN165" i="10" s="1"/>
  <c r="CM164" i="10"/>
  <c r="L116" i="28"/>
  <c r="J81" i="28"/>
  <c r="I116" i="28"/>
  <c r="B83" i="28"/>
  <c r="BX163" i="10"/>
  <c r="BX164" i="10" s="1"/>
  <c r="BX165" i="10" s="1"/>
  <c r="BW164" i="10"/>
  <c r="DC159" i="10"/>
  <c r="C166" i="13" s="1"/>
  <c r="CU217" i="10"/>
  <c r="M161" i="10"/>
  <c r="M163" i="10" s="1"/>
  <c r="K163" i="10"/>
  <c r="L143" i="18"/>
  <c r="N113" i="17"/>
  <c r="CH171" i="10"/>
  <c r="AC182" i="10"/>
  <c r="AB187" i="10"/>
  <c r="CG166" i="10"/>
  <c r="CG168" i="10" s="1"/>
  <c r="CE168" i="10"/>
  <c r="BQ166" i="10"/>
  <c r="BQ168" i="10" s="1"/>
  <c r="BO168" i="10"/>
  <c r="BA192" i="10"/>
  <c r="AZ197" i="10"/>
  <c r="BJ176" i="10"/>
  <c r="AS37" i="9"/>
  <c r="D37" i="9"/>
  <c r="AT37" i="9" s="1"/>
  <c r="AY173" i="10"/>
  <c r="BA171" i="10"/>
  <c r="BA173" i="10" s="1"/>
  <c r="AK166" i="10"/>
  <c r="AK168" i="10" s="1"/>
  <c r="AI168" i="10"/>
  <c r="U217" i="9"/>
  <c r="Z216" i="9"/>
  <c r="W216" i="9"/>
  <c r="X216" i="9" s="1"/>
  <c r="CG165" i="10"/>
  <c r="CF182" i="10"/>
  <c r="CG177" i="10"/>
  <c r="K99" i="25"/>
  <c r="J24" i="3"/>
  <c r="AS182" i="10"/>
  <c r="AR187" i="10"/>
  <c r="AS166" i="10"/>
  <c r="AS168" i="10" s="1"/>
  <c r="AQ168" i="10"/>
  <c r="AD176" i="10"/>
  <c r="S43" i="9"/>
  <c r="P43" i="9" s="1"/>
  <c r="T42" i="9"/>
  <c r="AY123" i="9"/>
  <c r="J123" i="9"/>
  <c r="AZ123" i="9" s="1"/>
  <c r="D209" i="9"/>
  <c r="AT209" i="9" s="1"/>
  <c r="AS209" i="9"/>
  <c r="AX37" i="9"/>
  <c r="I37" i="9"/>
  <c r="L37" i="9"/>
  <c r="G38" i="9"/>
  <c r="AL171" i="10"/>
  <c r="AI132" i="9"/>
  <c r="AN131" i="9"/>
  <c r="AK131" i="9"/>
  <c r="AL131" i="9" s="1"/>
  <c r="B96" i="11"/>
  <c r="C96" i="11"/>
  <c r="E96" i="11" s="1"/>
  <c r="H96" i="11" s="1"/>
  <c r="G96" i="11" s="1"/>
  <c r="D95" i="11"/>
  <c r="F95" i="11" s="1"/>
  <c r="BQ177" i="10"/>
  <c r="BP182" i="10"/>
  <c r="AG216" i="9"/>
  <c r="AD216" i="9" s="1"/>
  <c r="AH215" i="9"/>
  <c r="C169" i="10"/>
  <c r="D168" i="10"/>
  <c r="D169" i="10" s="1"/>
  <c r="D170" i="10" s="1"/>
  <c r="CK161" i="10"/>
  <c r="L94" i="11"/>
  <c r="N94" i="11" s="1"/>
  <c r="Q94" i="11" s="1"/>
  <c r="P94" i="11" s="1"/>
  <c r="M93" i="11"/>
  <c r="O93" i="11" s="1"/>
  <c r="K94" i="11"/>
  <c r="AJ43" i="9"/>
  <c r="AE43" i="9"/>
  <c r="AF43" i="9" s="1"/>
  <c r="E124" i="9"/>
  <c r="BB123" i="9"/>
  <c r="F123" i="9"/>
  <c r="AV123" i="9" s="1"/>
  <c r="F176" i="10"/>
  <c r="G210" i="9"/>
  <c r="AW210" i="9" s="1"/>
  <c r="L209" i="9"/>
  <c r="AX209" i="9"/>
  <c r="I209" i="9"/>
  <c r="BU161" i="10"/>
  <c r="I71" i="18"/>
  <c r="I61" i="18" s="1"/>
  <c r="I50" i="25"/>
  <c r="I82" i="18"/>
  <c r="I70" i="18"/>
  <c r="AA169" i="10"/>
  <c r="AB168" i="10"/>
  <c r="AB169" i="10" s="1"/>
  <c r="AB170" i="10" s="1"/>
  <c r="D166" i="13"/>
  <c r="AT176" i="10"/>
  <c r="I22" i="22"/>
  <c r="M146" i="13"/>
  <c r="I142" i="13"/>
  <c r="J143" i="13"/>
  <c r="G140" i="13"/>
  <c r="K144" i="13"/>
  <c r="C136" i="13"/>
  <c r="C148" i="13" s="1"/>
  <c r="C184" i="18" s="1"/>
  <c r="H141" i="13"/>
  <c r="F139" i="13"/>
  <c r="E138" i="13"/>
  <c r="D137" i="13"/>
  <c r="L145" i="13"/>
  <c r="N147" i="13"/>
  <c r="C164" i="13"/>
  <c r="BE166" i="10"/>
  <c r="AO161" i="10"/>
  <c r="BA170" i="10"/>
  <c r="BR171" i="10"/>
  <c r="AW161" i="10"/>
  <c r="AK177" i="10"/>
  <c r="AJ182" i="10"/>
  <c r="W130" i="9"/>
  <c r="X130" i="9" s="1"/>
  <c r="Z130" i="9"/>
  <c r="U131" i="9"/>
  <c r="BG169" i="10"/>
  <c r="BH168" i="10"/>
  <c r="BH169" i="10" s="1"/>
  <c r="BH170" i="10" s="1"/>
  <c r="D187" i="10"/>
  <c r="E182" i="10"/>
  <c r="BQ165" i="10"/>
  <c r="BB186" i="10"/>
  <c r="J6" i="24"/>
  <c r="BI182" i="10"/>
  <c r="BH187" i="10"/>
  <c r="DC161" i="10" l="1"/>
  <c r="B174" i="17" s="1"/>
  <c r="CX217" i="10"/>
  <c r="U172" i="10"/>
  <c r="V171" i="10" s="1"/>
  <c r="T177" i="10"/>
  <c r="S165" i="10"/>
  <c r="U164" i="10"/>
  <c r="Y161" i="10" s="1"/>
  <c r="L163" i="10"/>
  <c r="L164" i="10" s="1"/>
  <c r="L165" i="10" s="1"/>
  <c r="K164" i="10"/>
  <c r="BY164" i="10"/>
  <c r="CC161" i="10" s="1"/>
  <c r="CD161" i="10" s="1"/>
  <c r="BW165" i="10"/>
  <c r="BW166" i="10" s="1"/>
  <c r="CN182" i="10"/>
  <c r="CO177" i="10"/>
  <c r="CP176" i="10" s="1"/>
  <c r="U94" i="11"/>
  <c r="W94" i="11" s="1"/>
  <c r="Z94" i="11" s="1"/>
  <c r="Y94" i="11" s="1"/>
  <c r="T94" i="11"/>
  <c r="V93" i="11"/>
  <c r="X93" i="11" s="1"/>
  <c r="BY165" i="10"/>
  <c r="BX166" i="10"/>
  <c r="I76" i="22"/>
  <c r="H89" i="22"/>
  <c r="I89" i="22" s="1"/>
  <c r="I82" i="28"/>
  <c r="B116" i="28"/>
  <c r="I81" i="28"/>
  <c r="I83" i="28"/>
  <c r="L82" i="28"/>
  <c r="CO164" i="10"/>
  <c r="CS161" i="10" s="1"/>
  <c r="CT161" i="10" s="1"/>
  <c r="CM165" i="10"/>
  <c r="CM166" i="10" s="1"/>
  <c r="N59" i="25"/>
  <c r="N98" i="18"/>
  <c r="O99" i="18"/>
  <c r="BX182" i="10"/>
  <c r="BY177" i="10"/>
  <c r="BZ176" i="10" s="1"/>
  <c r="N166" i="10"/>
  <c r="CV166" i="10" s="1"/>
  <c r="DE164" i="10" s="1"/>
  <c r="CU166" i="10"/>
  <c r="DE159" i="10" s="1"/>
  <c r="E166" i="13" s="1"/>
  <c r="C196" i="13"/>
  <c r="J175" i="13"/>
  <c r="I174" i="13"/>
  <c r="K176" i="13"/>
  <c r="D169" i="13"/>
  <c r="L177" i="13"/>
  <c r="E170" i="13"/>
  <c r="G172" i="13"/>
  <c r="F171" i="13"/>
  <c r="M178" i="13"/>
  <c r="H173" i="13"/>
  <c r="N179" i="13"/>
  <c r="C168" i="13"/>
  <c r="C180" i="13" s="1"/>
  <c r="C194" i="18" s="1"/>
  <c r="CN166" i="10"/>
  <c r="CO165" i="10"/>
  <c r="N142" i="14"/>
  <c r="O142" i="14" s="1"/>
  <c r="N156" i="15"/>
  <c r="N160" i="15"/>
  <c r="N136" i="14"/>
  <c r="O136" i="14" s="1"/>
  <c r="N75" i="17"/>
  <c r="N159" i="15"/>
  <c r="N139" i="14"/>
  <c r="O139" i="14" s="1"/>
  <c r="M86" i="17"/>
  <c r="N144" i="14"/>
  <c r="O144" i="14" s="1"/>
  <c r="N157" i="15"/>
  <c r="M85" i="17"/>
  <c r="N138" i="14"/>
  <c r="O138" i="14" s="1"/>
  <c r="N137" i="14"/>
  <c r="O137" i="14" s="1"/>
  <c r="N158" i="15"/>
  <c r="N143" i="14"/>
  <c r="O143" i="14" s="1"/>
  <c r="M82" i="17"/>
  <c r="N141" i="14"/>
  <c r="O141" i="14" s="1"/>
  <c r="N140" i="14"/>
  <c r="O140" i="14" s="1"/>
  <c r="N135" i="14"/>
  <c r="L177" i="10"/>
  <c r="M172" i="10"/>
  <c r="I83" i="18"/>
  <c r="I84" i="18" s="1"/>
  <c r="J16" i="18" s="1"/>
  <c r="C32" i="22"/>
  <c r="S131" i="9"/>
  <c r="P131" i="9" s="1"/>
  <c r="T130" i="9"/>
  <c r="BF166" i="10"/>
  <c r="Z161" i="10"/>
  <c r="AB171" i="10"/>
  <c r="I60" i="18"/>
  <c r="K10" i="3" s="1"/>
  <c r="L10" i="3" s="1"/>
  <c r="I73" i="18"/>
  <c r="I52" i="25"/>
  <c r="AI44" i="9"/>
  <c r="AK43" i="9"/>
  <c r="AL43" i="9" s="1"/>
  <c r="AN43" i="9"/>
  <c r="E169" i="10"/>
  <c r="C170" i="10"/>
  <c r="C171" i="10" s="1"/>
  <c r="BR176" i="10"/>
  <c r="AQ169" i="10"/>
  <c r="AR168" i="10"/>
  <c r="AR169" i="10" s="1"/>
  <c r="AR170" i="10" s="1"/>
  <c r="AT181" i="10"/>
  <c r="CG182" i="10"/>
  <c r="CF187" i="10"/>
  <c r="S217" i="9"/>
  <c r="P217" i="9" s="1"/>
  <c r="T216" i="9"/>
  <c r="CN14" i="9"/>
  <c r="BK34" i="9"/>
  <c r="BB191" i="10"/>
  <c r="CE169" i="10"/>
  <c r="CF168" i="10"/>
  <c r="CF169" i="10" s="1"/>
  <c r="CF170" i="10" s="1"/>
  <c r="F209" i="9"/>
  <c r="AV209" i="9" s="1"/>
  <c r="BB209" i="9"/>
  <c r="E210" i="9"/>
  <c r="L79" i="17"/>
  <c r="L77" i="17" s="1"/>
  <c r="G85" i="22" s="1"/>
  <c r="AW38" i="9"/>
  <c r="M113" i="18"/>
  <c r="AZ173" i="10"/>
  <c r="AZ174" i="10" s="1"/>
  <c r="AZ175" i="10" s="1"/>
  <c r="AY174" i="10"/>
  <c r="BJ181" i="10"/>
  <c r="D192" i="10"/>
  <c r="E187" i="10"/>
  <c r="BH171" i="10"/>
  <c r="AJ187" i="10"/>
  <c r="AK182" i="10"/>
  <c r="D175" i="17"/>
  <c r="F170" i="13"/>
  <c r="H172" i="13"/>
  <c r="K175" i="13"/>
  <c r="M177" i="13"/>
  <c r="I173" i="13"/>
  <c r="E169" i="13"/>
  <c r="D168" i="13"/>
  <c r="D180" i="13" s="1"/>
  <c r="D194" i="18" s="1"/>
  <c r="J174" i="13"/>
  <c r="L176" i="13"/>
  <c r="G171" i="13"/>
  <c r="N178" i="13"/>
  <c r="D196" i="13"/>
  <c r="BV161" i="10"/>
  <c r="AU124" i="9"/>
  <c r="B124" i="9"/>
  <c r="M94" i="11"/>
  <c r="O94" i="11" s="1"/>
  <c r="K95" i="11"/>
  <c r="L95" i="11"/>
  <c r="N95" i="11" s="1"/>
  <c r="Q95" i="11" s="1"/>
  <c r="P95" i="11" s="1"/>
  <c r="CL161" i="10"/>
  <c r="AJ216" i="9"/>
  <c r="AE216" i="9"/>
  <c r="AF216" i="9" s="1"/>
  <c r="E38" i="9"/>
  <c r="BB37" i="9"/>
  <c r="F37" i="9"/>
  <c r="AV37" i="9" s="1"/>
  <c r="AI169" i="10"/>
  <c r="AJ168" i="10"/>
  <c r="AJ169" i="10" s="1"/>
  <c r="AJ170" i="10" s="1"/>
  <c r="BO169" i="10"/>
  <c r="BP168" i="10"/>
  <c r="BP169" i="10" s="1"/>
  <c r="BP170" i="10" s="1"/>
  <c r="AC187" i="10"/>
  <c r="AB192" i="10"/>
  <c r="L103" i="25"/>
  <c r="O143" i="18"/>
  <c r="BH192" i="10"/>
  <c r="BI187" i="10"/>
  <c r="F181" i="10"/>
  <c r="AX161" i="10"/>
  <c r="AC169" i="10"/>
  <c r="AA170" i="10"/>
  <c r="AA171" i="10" s="1"/>
  <c r="BI169" i="10"/>
  <c r="BG170" i="10"/>
  <c r="BG171" i="10" s="1"/>
  <c r="AL176" i="10"/>
  <c r="AP161" i="10"/>
  <c r="C100" i="22"/>
  <c r="B141" i="17"/>
  <c r="C113" i="25"/>
  <c r="AY209" i="9"/>
  <c r="J209" i="9"/>
  <c r="AZ209" i="9" s="1"/>
  <c r="D171" i="10"/>
  <c r="E170" i="10"/>
  <c r="BQ182" i="10"/>
  <c r="BP187" i="10"/>
  <c r="C97" i="11"/>
  <c r="E97" i="11" s="1"/>
  <c r="H97" i="11" s="1"/>
  <c r="G97" i="11" s="1"/>
  <c r="D96" i="11"/>
  <c r="F96" i="11" s="1"/>
  <c r="B97" i="11"/>
  <c r="AG132" i="9"/>
  <c r="AD132" i="9" s="1"/>
  <c r="AH131" i="9"/>
  <c r="AY37" i="9"/>
  <c r="J37" i="9"/>
  <c r="AZ37" i="9" s="1"/>
  <c r="V43" i="9"/>
  <c r="Q43" i="9"/>
  <c r="R43" i="9" s="1"/>
  <c r="AR192" i="10"/>
  <c r="AS187" i="10"/>
  <c r="CH176" i="10"/>
  <c r="BA197" i="10"/>
  <c r="AZ202" i="10"/>
  <c r="AD181" i="10"/>
  <c r="AC170" i="10" l="1"/>
  <c r="S166" i="10"/>
  <c r="U165" i="10"/>
  <c r="T182" i="10"/>
  <c r="U177" i="10"/>
  <c r="V176" i="10" s="1"/>
  <c r="N134" i="14"/>
  <c r="O135" i="14"/>
  <c r="N119" i="18"/>
  <c r="N85" i="17"/>
  <c r="O160" i="15"/>
  <c r="N185" i="15"/>
  <c r="O185" i="15" s="1"/>
  <c r="C192" i="31"/>
  <c r="F31" i="26"/>
  <c r="C129" i="31" s="1"/>
  <c r="B46" i="2"/>
  <c r="D19" i="21"/>
  <c r="BW168" i="10"/>
  <c r="BY166" i="10"/>
  <c r="BY168" i="10" s="1"/>
  <c r="N183" i="15"/>
  <c r="O183" i="15" s="1"/>
  <c r="O158" i="15"/>
  <c r="N182" i="15"/>
  <c r="O182" i="15" s="1"/>
  <c r="O157" i="15"/>
  <c r="O159" i="15"/>
  <c r="N184" i="15"/>
  <c r="O184" i="15" s="1"/>
  <c r="N155" i="15"/>
  <c r="N181" i="15"/>
  <c r="O156" i="15"/>
  <c r="C193" i="18"/>
  <c r="C122" i="25" s="1"/>
  <c r="C123" i="25"/>
  <c r="B142" i="17"/>
  <c r="C106" i="22"/>
  <c r="BY182" i="10"/>
  <c r="BZ181" i="10" s="1"/>
  <c r="BX187" i="10"/>
  <c r="CO166" i="10"/>
  <c r="CO168" i="10" s="1"/>
  <c r="CM168" i="10"/>
  <c r="I102" i="28"/>
  <c r="I108" i="28"/>
  <c r="I90" i="28"/>
  <c r="I104" i="28"/>
  <c r="I94" i="28"/>
  <c r="I99" i="28"/>
  <c r="I95" i="28"/>
  <c r="I101" i="28"/>
  <c r="I97" i="28"/>
  <c r="I89" i="28"/>
  <c r="I103" i="28"/>
  <c r="I91" i="28"/>
  <c r="I87" i="28"/>
  <c r="I100" i="28"/>
  <c r="I92" i="28"/>
  <c r="I98" i="28"/>
  <c r="I96" i="28"/>
  <c r="I106" i="28"/>
  <c r="C179" i="31"/>
  <c r="D6" i="21"/>
  <c r="CO182" i="10"/>
  <c r="CP181" i="10" s="1"/>
  <c r="CN187" i="10"/>
  <c r="N171" i="10"/>
  <c r="CV171" i="10" s="1"/>
  <c r="CU171" i="10"/>
  <c r="DF159" i="10" s="1"/>
  <c r="F166" i="13" s="1"/>
  <c r="M176" i="13"/>
  <c r="E168" i="13"/>
  <c r="E180" i="13" s="1"/>
  <c r="E194" i="18" s="1"/>
  <c r="E196" i="13"/>
  <c r="F169" i="13"/>
  <c r="G170" i="13"/>
  <c r="J173" i="13"/>
  <c r="L175" i="13"/>
  <c r="N177" i="13"/>
  <c r="K174" i="13"/>
  <c r="I172" i="13"/>
  <c r="H171" i="13"/>
  <c r="O59" i="25"/>
  <c r="E30" i="2"/>
  <c r="V94" i="11"/>
  <c r="X94" i="11" s="1"/>
  <c r="T95" i="11"/>
  <c r="U95" i="11"/>
  <c r="W95" i="11" s="1"/>
  <c r="Z95" i="11" s="1"/>
  <c r="Y95" i="11" s="1"/>
  <c r="I111" i="28"/>
  <c r="M164" i="10"/>
  <c r="Q161" i="10" s="1"/>
  <c r="K165" i="10"/>
  <c r="K166" i="10" s="1"/>
  <c r="M177" i="10"/>
  <c r="L182" i="10"/>
  <c r="N82" i="17"/>
  <c r="N116" i="18"/>
  <c r="N120" i="18"/>
  <c r="N86" i="17"/>
  <c r="B93" i="28" s="1"/>
  <c r="N58" i="25"/>
  <c r="O98" i="18"/>
  <c r="M89" i="28"/>
  <c r="M106" i="28"/>
  <c r="M92" i="28"/>
  <c r="M98" i="28"/>
  <c r="M95" i="28"/>
  <c r="M101" i="28"/>
  <c r="M108" i="28"/>
  <c r="M99" i="28"/>
  <c r="M91" i="28"/>
  <c r="M87" i="28"/>
  <c r="M111" i="28"/>
  <c r="M113" i="28" s="1"/>
  <c r="M94" i="28"/>
  <c r="M102" i="28"/>
  <c r="M90" i="28"/>
  <c r="M96" i="28"/>
  <c r="M100" i="28"/>
  <c r="M83" i="28"/>
  <c r="M103" i="28"/>
  <c r="M97" i="28"/>
  <c r="M104" i="28"/>
  <c r="J108" i="28"/>
  <c r="J111" i="28"/>
  <c r="J113" i="28" s="1"/>
  <c r="J116" i="28"/>
  <c r="J99" i="28"/>
  <c r="J91" i="28"/>
  <c r="J95" i="28"/>
  <c r="J101" i="28"/>
  <c r="J103" i="28"/>
  <c r="J100" i="28"/>
  <c r="J96" i="28"/>
  <c r="J92" i="28"/>
  <c r="J102" i="28"/>
  <c r="J98" i="28"/>
  <c r="J87" i="28"/>
  <c r="J106" i="28"/>
  <c r="M116" i="28"/>
  <c r="J90" i="28"/>
  <c r="J104" i="28"/>
  <c r="J94" i="28"/>
  <c r="J89" i="28"/>
  <c r="J97" i="28"/>
  <c r="J83" i="28"/>
  <c r="L166" i="10"/>
  <c r="M165" i="10"/>
  <c r="CZ161" i="10" s="1"/>
  <c r="C113" i="22"/>
  <c r="BP171" i="10"/>
  <c r="L96" i="11"/>
  <c r="N96" i="11" s="1"/>
  <c r="Q96" i="11" s="1"/>
  <c r="P96" i="11" s="1"/>
  <c r="K96" i="11"/>
  <c r="M95" i="11"/>
  <c r="O95" i="11" s="1"/>
  <c r="AZ176" i="10"/>
  <c r="K110" i="17"/>
  <c r="L138" i="18"/>
  <c r="AS169" i="10"/>
  <c r="AQ170" i="10"/>
  <c r="AQ171" i="10" s="1"/>
  <c r="C33" i="22"/>
  <c r="CN17" i="9"/>
  <c r="BM34" i="9"/>
  <c r="BL34" i="9"/>
  <c r="CN16" i="9"/>
  <c r="BJ186" i="10"/>
  <c r="O103" i="25"/>
  <c r="C44" i="23"/>
  <c r="B33" i="2"/>
  <c r="AB197" i="10"/>
  <c r="AC192" i="10"/>
  <c r="B38" i="9"/>
  <c r="AU38" i="9"/>
  <c r="C124" i="9"/>
  <c r="AR124" i="9"/>
  <c r="H124" i="9"/>
  <c r="AK187" i="10"/>
  <c r="AJ192" i="10"/>
  <c r="Q217" i="9"/>
  <c r="R217" i="9" s="1"/>
  <c r="V217" i="9"/>
  <c r="BA202" i="10"/>
  <c r="AZ207" i="10"/>
  <c r="BM166" i="10"/>
  <c r="AK169" i="10"/>
  <c r="AI170" i="10"/>
  <c r="AI171" i="10" s="1"/>
  <c r="D193" i="18"/>
  <c r="D123" i="25"/>
  <c r="AU210" i="9"/>
  <c r="B210" i="9"/>
  <c r="CG169" i="10"/>
  <c r="CE170" i="10"/>
  <c r="CE171" i="10" s="1"/>
  <c r="CH181" i="10"/>
  <c r="E123" i="25"/>
  <c r="E193" i="18"/>
  <c r="AR197" i="10"/>
  <c r="AS192" i="10"/>
  <c r="AJ132" i="9"/>
  <c r="AE132" i="9"/>
  <c r="AF132" i="9" s="1"/>
  <c r="BQ187" i="10"/>
  <c r="BP192" i="10"/>
  <c r="BI171" i="10"/>
  <c r="BI173" i="10" s="1"/>
  <c r="BG173" i="10"/>
  <c r="U44" i="9"/>
  <c r="W43" i="9"/>
  <c r="X43" i="9" s="1"/>
  <c r="Z43" i="9"/>
  <c r="D97" i="11"/>
  <c r="F97" i="11" s="1"/>
  <c r="C98" i="11"/>
  <c r="E98" i="11" s="1"/>
  <c r="H98" i="11" s="1"/>
  <c r="G98" i="11" s="1"/>
  <c r="B98" i="11"/>
  <c r="BR181" i="10"/>
  <c r="B148" i="17"/>
  <c r="C256" i="15"/>
  <c r="C254" i="15"/>
  <c r="B151" i="17"/>
  <c r="C244" i="14"/>
  <c r="C245" i="14"/>
  <c r="B152" i="17"/>
  <c r="C253" i="15"/>
  <c r="C237" i="14"/>
  <c r="C239" i="14"/>
  <c r="C238" i="14"/>
  <c r="C241" i="14"/>
  <c r="C257" i="15"/>
  <c r="C243" i="14"/>
  <c r="C242" i="14"/>
  <c r="C240" i="14"/>
  <c r="C255" i="15"/>
  <c r="C236" i="14"/>
  <c r="AC171" i="10"/>
  <c r="AC173" i="10" s="1"/>
  <c r="AA173" i="10"/>
  <c r="BH197" i="10"/>
  <c r="BI192" i="10"/>
  <c r="AD186" i="10"/>
  <c r="AJ171" i="10"/>
  <c r="D106" i="22"/>
  <c r="C142" i="17"/>
  <c r="BI170" i="10"/>
  <c r="BA174" i="10"/>
  <c r="AY175" i="10"/>
  <c r="AY176" i="10" s="1"/>
  <c r="M73" i="25"/>
  <c r="M111" i="18"/>
  <c r="CG170" i="10"/>
  <c r="CF171" i="10"/>
  <c r="CG187" i="10"/>
  <c r="CF192" i="10"/>
  <c r="AR171" i="10"/>
  <c r="AS170" i="10"/>
  <c r="I166" i="10"/>
  <c r="I51" i="25"/>
  <c r="I62" i="18"/>
  <c r="J56" i="18"/>
  <c r="AT186" i="10"/>
  <c r="AN216" i="9"/>
  <c r="AI217" i="9"/>
  <c r="AK216" i="9"/>
  <c r="AL216" i="9" s="1"/>
  <c r="F186" i="10"/>
  <c r="CO13" i="9"/>
  <c r="BI35" i="9"/>
  <c r="BJ35" i="9" s="1"/>
  <c r="BB196" i="10"/>
  <c r="AG166" i="10"/>
  <c r="DF164" i="10"/>
  <c r="BQ169" i="10"/>
  <c r="BO170" i="10"/>
  <c r="BO171" i="10" s="1"/>
  <c r="AL181" i="10"/>
  <c r="E192" i="10"/>
  <c r="D197" i="10"/>
  <c r="C173" i="10"/>
  <c r="E171" i="10"/>
  <c r="E173" i="10" s="1"/>
  <c r="AG44" i="9"/>
  <c r="AD44" i="9" s="1"/>
  <c r="AH43" i="9"/>
  <c r="V131" i="9"/>
  <c r="Q131" i="9"/>
  <c r="R131" i="9" s="1"/>
  <c r="J8" i="25"/>
  <c r="J19" i="18"/>
  <c r="U182" i="10" l="1"/>
  <c r="V181" i="10" s="1"/>
  <c r="T187" i="10"/>
  <c r="U166" i="10"/>
  <c r="U168" i="10" s="1"/>
  <c r="S168" i="10"/>
  <c r="AK170" i="10"/>
  <c r="O120" i="18"/>
  <c r="N80" i="25"/>
  <c r="N176" i="10"/>
  <c r="CV176" i="10" s="1"/>
  <c r="DG164" i="10" s="1"/>
  <c r="F175" i="17" s="1"/>
  <c r="CU176" i="10"/>
  <c r="DG159" i="10" s="1"/>
  <c r="E78" i="2"/>
  <c r="F26" i="26"/>
  <c r="C124" i="31" s="1"/>
  <c r="BX192" i="10"/>
  <c r="BY187" i="10"/>
  <c r="BZ186" i="10" s="1"/>
  <c r="O155" i="15"/>
  <c r="O130" i="15" s="1"/>
  <c r="O173" i="15" s="1"/>
  <c r="N130" i="15"/>
  <c r="N173" i="15" s="1"/>
  <c r="BA175" i="10"/>
  <c r="CY166" i="10"/>
  <c r="DA161" i="10"/>
  <c r="DD160" i="10" s="1"/>
  <c r="D107" i="22" s="1"/>
  <c r="O58" i="25"/>
  <c r="C4" i="23"/>
  <c r="N76" i="25"/>
  <c r="O116" i="18"/>
  <c r="F196" i="13"/>
  <c r="N176" i="13"/>
  <c r="K173" i="13"/>
  <c r="G169" i="13"/>
  <c r="H170" i="13"/>
  <c r="J172" i="13"/>
  <c r="I171" i="13"/>
  <c r="F168" i="13"/>
  <c r="F180" i="13" s="1"/>
  <c r="F194" i="18" s="1"/>
  <c r="M175" i="13"/>
  <c r="L174" i="13"/>
  <c r="BW169" i="10"/>
  <c r="BX168" i="10"/>
  <c r="BX169" i="10" s="1"/>
  <c r="BX170" i="10" s="1"/>
  <c r="O119" i="18"/>
  <c r="N79" i="25"/>
  <c r="K168" i="10"/>
  <c r="M166" i="10"/>
  <c r="M168" i="10" s="1"/>
  <c r="U96" i="11"/>
  <c r="W96" i="11" s="1"/>
  <c r="Z96" i="11" s="1"/>
  <c r="Y96" i="11" s="1"/>
  <c r="V95" i="11"/>
  <c r="X95" i="11" s="1"/>
  <c r="T96" i="11"/>
  <c r="D142" i="17"/>
  <c r="E106" i="22"/>
  <c r="C202" i="31"/>
  <c r="D13" i="31"/>
  <c r="C83" i="31"/>
  <c r="C80" i="31"/>
  <c r="C7" i="31" s="1"/>
  <c r="CN168" i="10"/>
  <c r="CN169" i="10" s="1"/>
  <c r="CN170" i="10" s="1"/>
  <c r="CM169" i="10"/>
  <c r="L93" i="28"/>
  <c r="M93" i="28"/>
  <c r="I93" i="28"/>
  <c r="J93" i="28"/>
  <c r="L187" i="10"/>
  <c r="M182" i="10"/>
  <c r="R161" i="10"/>
  <c r="CX161" i="10" s="1"/>
  <c r="CW161" i="10"/>
  <c r="DD158" i="10" s="1"/>
  <c r="CN192" i="10"/>
  <c r="CO187" i="10"/>
  <c r="CP186" i="10" s="1"/>
  <c r="N180" i="15"/>
  <c r="O181" i="15"/>
  <c r="O134" i="14"/>
  <c r="O122" i="14" s="1"/>
  <c r="O156" i="14" s="1"/>
  <c r="N179" i="14"/>
  <c r="N168" i="14"/>
  <c r="O168" i="14" s="1"/>
  <c r="N122" i="14"/>
  <c r="N156" i="14" s="1"/>
  <c r="BE171" i="10"/>
  <c r="H210" i="9"/>
  <c r="AR210" i="9"/>
  <c r="C210" i="9"/>
  <c r="K116" i="17"/>
  <c r="L98" i="25"/>
  <c r="BO173" i="10"/>
  <c r="BQ171" i="10"/>
  <c r="BQ173" i="10" s="1"/>
  <c r="E175" i="17"/>
  <c r="I53" i="25"/>
  <c r="BA176" i="10"/>
  <c r="BA178" i="10" s="1"/>
  <c r="AY178" i="10"/>
  <c r="C280" i="15"/>
  <c r="C282" i="15"/>
  <c r="C281" i="15"/>
  <c r="C99" i="11"/>
  <c r="E99" i="11" s="1"/>
  <c r="H99" i="11" s="1"/>
  <c r="G99" i="11" s="1"/>
  <c r="B99" i="11"/>
  <c r="D98" i="11"/>
  <c r="F98" i="11" s="1"/>
  <c r="BQ192" i="10"/>
  <c r="BP197" i="10"/>
  <c r="AT191" i="10"/>
  <c r="BN166" i="10"/>
  <c r="BB201" i="10"/>
  <c r="D134" i="13"/>
  <c r="I124" i="9"/>
  <c r="G125" i="9"/>
  <c r="AW125" i="9" s="1"/>
  <c r="AX124" i="9"/>
  <c r="L124" i="9"/>
  <c r="CO12" i="9"/>
  <c r="M136" i="18" s="1"/>
  <c r="BG35" i="9"/>
  <c r="BH35" i="9" s="1"/>
  <c r="BU166" i="10"/>
  <c r="CG192" i="10"/>
  <c r="CF197" i="10"/>
  <c r="C205" i="18"/>
  <c r="AL186" i="10"/>
  <c r="C174" i="10"/>
  <c r="D173" i="10"/>
  <c r="D174" i="10" s="1"/>
  <c r="D175" i="10" s="1"/>
  <c r="AH166" i="10"/>
  <c r="J11" i="25"/>
  <c r="J57" i="18"/>
  <c r="J48" i="25" s="1"/>
  <c r="I11" i="3"/>
  <c r="U132" i="9"/>
  <c r="W131" i="9"/>
  <c r="X131" i="9" s="1"/>
  <c r="Z131" i="9"/>
  <c r="AJ44" i="9"/>
  <c r="AE44" i="9"/>
  <c r="AF44" i="9" s="1"/>
  <c r="D202" i="10"/>
  <c r="E197" i="10"/>
  <c r="AG217" i="9"/>
  <c r="AD217" i="9" s="1"/>
  <c r="AH216" i="9"/>
  <c r="AB173" i="10"/>
  <c r="AB174" i="10" s="1"/>
  <c r="AB175" i="10" s="1"/>
  <c r="AA174" i="10"/>
  <c r="C252" i="15"/>
  <c r="C278" i="15"/>
  <c r="C201" i="18"/>
  <c r="BH173" i="10"/>
  <c r="BH174" i="10" s="1"/>
  <c r="BH175" i="10" s="1"/>
  <c r="BG174" i="10"/>
  <c r="BR186" i="10"/>
  <c r="AS197" i="10"/>
  <c r="AR202" i="10"/>
  <c r="CK166" i="10"/>
  <c r="AO166" i="10"/>
  <c r="W217" i="9"/>
  <c r="X217" i="9" s="1"/>
  <c r="Z217" i="9"/>
  <c r="U218" i="9"/>
  <c r="AJ197" i="10"/>
  <c r="AK192" i="10"/>
  <c r="H38" i="9"/>
  <c r="C38" i="9"/>
  <c r="AR38" i="9"/>
  <c r="AD191" i="10"/>
  <c r="C10" i="3"/>
  <c r="D10" i="3" s="1"/>
  <c r="H7" i="27"/>
  <c r="H57" i="17"/>
  <c r="C37" i="22"/>
  <c r="AW166" i="10"/>
  <c r="BQ170" i="10"/>
  <c r="F191" i="10"/>
  <c r="M71" i="25"/>
  <c r="BJ191" i="10"/>
  <c r="C204" i="18"/>
  <c r="AS124" i="9"/>
  <c r="D124" i="9"/>
  <c r="AT124" i="9" s="1"/>
  <c r="AC197" i="10"/>
  <c r="AB202" i="10"/>
  <c r="J59" i="18"/>
  <c r="J47" i="25"/>
  <c r="J166" i="10"/>
  <c r="CH186" i="10"/>
  <c r="BI197" i="10"/>
  <c r="BH202" i="10"/>
  <c r="C235" i="14"/>
  <c r="C279" i="15"/>
  <c r="T43" i="9"/>
  <c r="S44" i="9"/>
  <c r="P44" i="9" s="1"/>
  <c r="AN132" i="9"/>
  <c r="AI133" i="9"/>
  <c r="AK132" i="9"/>
  <c r="AL132" i="9" s="1"/>
  <c r="E122" i="25"/>
  <c r="CG171" i="10"/>
  <c r="CG173" i="10" s="1"/>
  <c r="CE173" i="10"/>
  <c r="D122" i="25"/>
  <c r="AK171" i="10"/>
  <c r="AK173" i="10" s="1"/>
  <c r="AI173" i="10"/>
  <c r="BA207" i="10"/>
  <c r="AZ212" i="10"/>
  <c r="BA212" i="10" s="1"/>
  <c r="DD161" i="10"/>
  <c r="CN18" i="9"/>
  <c r="AS171" i="10"/>
  <c r="AS173" i="10" s="1"/>
  <c r="AQ173" i="10"/>
  <c r="L97" i="11"/>
  <c r="N97" i="11" s="1"/>
  <c r="Q97" i="11" s="1"/>
  <c r="P97" i="11" s="1"/>
  <c r="K97" i="11"/>
  <c r="M96" i="11"/>
  <c r="O96" i="11" s="1"/>
  <c r="G166" i="13"/>
  <c r="S169" i="10" l="1"/>
  <c r="T168" i="10"/>
  <c r="T169" i="10" s="1"/>
  <c r="T170" i="10" s="1"/>
  <c r="T192" i="10"/>
  <c r="U187" i="10"/>
  <c r="V186" i="10" s="1"/>
  <c r="H86" i="22"/>
  <c r="I86" i="22" s="1"/>
  <c r="BX197" i="10"/>
  <c r="BY192" i="10"/>
  <c r="BZ191" i="10" s="1"/>
  <c r="O180" i="15"/>
  <c r="N192" i="15"/>
  <c r="O192" i="15" s="1"/>
  <c r="B48" i="2" s="1"/>
  <c r="CO169" i="10"/>
  <c r="CS166" i="10" s="1"/>
  <c r="CT166" i="10" s="1"/>
  <c r="CM170" i="10"/>
  <c r="CM171" i="10" s="1"/>
  <c r="T97" i="11"/>
  <c r="U97" i="11"/>
  <c r="W97" i="11" s="1"/>
  <c r="Z97" i="11" s="1"/>
  <c r="Y97" i="11" s="1"/>
  <c r="V96" i="11"/>
  <c r="X96" i="11" s="1"/>
  <c r="O79" i="25"/>
  <c r="C20" i="23"/>
  <c r="F106" i="22"/>
  <c r="E142" i="17"/>
  <c r="C92" i="31"/>
  <c r="C29" i="31"/>
  <c r="C32" i="31" s="1"/>
  <c r="C35" i="31" s="1"/>
  <c r="C36" i="31" s="1"/>
  <c r="N126" i="18"/>
  <c r="O179" i="14"/>
  <c r="N181" i="10"/>
  <c r="CV181" i="10" s="1"/>
  <c r="CU181" i="10"/>
  <c r="DH159" i="10" s="1"/>
  <c r="H166" i="13" s="1"/>
  <c r="CN171" i="10"/>
  <c r="CO170" i="10"/>
  <c r="L168" i="10"/>
  <c r="L169" i="10" s="1"/>
  <c r="L170" i="10" s="1"/>
  <c r="K169" i="10"/>
  <c r="BX171" i="10"/>
  <c r="F123" i="25"/>
  <c r="F193" i="18"/>
  <c r="F122" i="25" s="1"/>
  <c r="O76" i="25"/>
  <c r="C17" i="23"/>
  <c r="O80" i="25"/>
  <c r="C21" i="23"/>
  <c r="CO192" i="10"/>
  <c r="CP191" i="10" s="1"/>
  <c r="CN197" i="10"/>
  <c r="M187" i="10"/>
  <c r="L192" i="10"/>
  <c r="C6" i="29"/>
  <c r="BY169" i="10"/>
  <c r="CC166" i="10" s="1"/>
  <c r="CD166" i="10" s="1"/>
  <c r="BW170" i="10"/>
  <c r="BW171" i="10" s="1"/>
  <c r="C174" i="17"/>
  <c r="CE174" i="10"/>
  <c r="CF173" i="10"/>
  <c r="CF174" i="10" s="1"/>
  <c r="CF175" i="10" s="1"/>
  <c r="C133" i="25"/>
  <c r="C134" i="25"/>
  <c r="M145" i="13"/>
  <c r="D136" i="13"/>
  <c r="D148" i="13" s="1"/>
  <c r="D184" i="18" s="1"/>
  <c r="I141" i="13"/>
  <c r="D164" i="13"/>
  <c r="K143" i="13"/>
  <c r="E137" i="13"/>
  <c r="J142" i="13"/>
  <c r="F138" i="13"/>
  <c r="L144" i="13"/>
  <c r="N146" i="13"/>
  <c r="H140" i="13"/>
  <c r="G139" i="13"/>
  <c r="BR191" i="10"/>
  <c r="BO174" i="10"/>
  <c r="BP173" i="10"/>
  <c r="BP174" i="10" s="1"/>
  <c r="BP175" i="10" s="1"/>
  <c r="AG133" i="9"/>
  <c r="AD133" i="9" s="1"/>
  <c r="AH132" i="9"/>
  <c r="AK197" i="10"/>
  <c r="AJ202" i="10"/>
  <c r="AS202" i="10"/>
  <c r="AR207" i="10"/>
  <c r="BI174" i="10"/>
  <c r="BG175" i="10"/>
  <c r="BG176" i="10" s="1"/>
  <c r="C287" i="15"/>
  <c r="C288" i="15"/>
  <c r="D210" i="9"/>
  <c r="AT210" i="9" s="1"/>
  <c r="AS210" i="9"/>
  <c r="M174" i="13"/>
  <c r="L173" i="13"/>
  <c r="K172" i="13"/>
  <c r="N175" i="13"/>
  <c r="G196" i="13"/>
  <c r="G168" i="13"/>
  <c r="G180" i="13" s="1"/>
  <c r="G194" i="18" s="1"/>
  <c r="H169" i="13"/>
  <c r="I170" i="13"/>
  <c r="J171" i="13"/>
  <c r="BJ196" i="10"/>
  <c r="J71" i="18"/>
  <c r="J61" i="18" s="1"/>
  <c r="J82" i="18"/>
  <c r="J70" i="18"/>
  <c r="J50" i="25"/>
  <c r="AD196" i="10"/>
  <c r="AX166" i="10"/>
  <c r="D38" i="9"/>
  <c r="AT38" i="9" s="1"/>
  <c r="AS38" i="9"/>
  <c r="T217" i="9"/>
  <c r="S218" i="9"/>
  <c r="P218" i="9" s="1"/>
  <c r="AC174" i="10"/>
  <c r="AA175" i="10"/>
  <c r="AA176" i="10" s="1"/>
  <c r="F196" i="10"/>
  <c r="D176" i="10"/>
  <c r="CF202" i="10"/>
  <c r="CG197" i="10"/>
  <c r="BB124" i="9"/>
  <c r="F124" i="9"/>
  <c r="AV124" i="9" s="1"/>
  <c r="E125" i="9"/>
  <c r="D99" i="11"/>
  <c r="F99" i="11" s="1"/>
  <c r="C100" i="11"/>
  <c r="E100" i="11" s="1"/>
  <c r="H100" i="11" s="1"/>
  <c r="G100" i="11" s="1"/>
  <c r="B100" i="11"/>
  <c r="AQ174" i="10"/>
  <c r="AR173" i="10"/>
  <c r="AR174" i="10" s="1"/>
  <c r="AR175" i="10" s="1"/>
  <c r="M97" i="11"/>
  <c r="O97" i="11" s="1"/>
  <c r="L98" i="11"/>
  <c r="N98" i="11" s="1"/>
  <c r="Q98" i="11" s="1"/>
  <c r="P98" i="11" s="1"/>
  <c r="K98" i="11"/>
  <c r="BB211" i="10"/>
  <c r="Q44" i="9"/>
  <c r="R44" i="9" s="1"/>
  <c r="V44" i="9"/>
  <c r="C269" i="14"/>
  <c r="C280" i="14"/>
  <c r="C223" i="14"/>
  <c r="C257" i="14" s="1"/>
  <c r="BI202" i="10"/>
  <c r="BH207" i="10"/>
  <c r="AC202" i="10"/>
  <c r="AB207" i="10"/>
  <c r="H12" i="27"/>
  <c r="CL166" i="10"/>
  <c r="AT196" i="10"/>
  <c r="BH176" i="10"/>
  <c r="C277" i="15"/>
  <c r="C284" i="15"/>
  <c r="AN44" i="9"/>
  <c r="AK44" i="9"/>
  <c r="AL44" i="9" s="1"/>
  <c r="AI45" i="9"/>
  <c r="BV166" i="10"/>
  <c r="M96" i="25"/>
  <c r="G91" i="22"/>
  <c r="L122" i="17" s="1"/>
  <c r="AY124" i="9"/>
  <c r="J124" i="9"/>
  <c r="AZ124" i="9" s="1"/>
  <c r="BQ197" i="10"/>
  <c r="BP202" i="10"/>
  <c r="BF171" i="10"/>
  <c r="BB206" i="10"/>
  <c r="BA217" i="10"/>
  <c r="S132" i="9"/>
  <c r="P132" i="9" s="1"/>
  <c r="T131" i="9"/>
  <c r="C286" i="15"/>
  <c r="L210" i="9"/>
  <c r="I210" i="9"/>
  <c r="G211" i="9"/>
  <c r="AW211" i="9" s="1"/>
  <c r="AX210" i="9"/>
  <c r="AJ173" i="10"/>
  <c r="AJ174" i="10" s="1"/>
  <c r="AJ175" i="10" s="1"/>
  <c r="AI174" i="10"/>
  <c r="C285" i="15"/>
  <c r="C40" i="22"/>
  <c r="G39" i="9"/>
  <c r="L38" i="9"/>
  <c r="AX38" i="9"/>
  <c r="I38" i="9"/>
  <c r="AL191" i="10"/>
  <c r="AP166" i="10"/>
  <c r="DH164" i="10"/>
  <c r="C130" i="25"/>
  <c r="C227" i="15"/>
  <c r="C270" i="15" s="1"/>
  <c r="AC175" i="10"/>
  <c r="AB176" i="10"/>
  <c r="AJ217" i="9"/>
  <c r="AE217" i="9"/>
  <c r="AF217" i="9" s="1"/>
  <c r="D207" i="10"/>
  <c r="E202" i="10"/>
  <c r="E174" i="10"/>
  <c r="C175" i="10"/>
  <c r="C176" i="10" s="1"/>
  <c r="CH191" i="10"/>
  <c r="AZ178" i="10"/>
  <c r="AZ179" i="10" s="1"/>
  <c r="AZ180" i="10" s="1"/>
  <c r="AY179" i="10"/>
  <c r="U192" i="10" l="1"/>
  <c r="V191" i="10" s="1"/>
  <c r="T197" i="10"/>
  <c r="T171" i="10"/>
  <c r="U169" i="10"/>
  <c r="Y166" i="10" s="1"/>
  <c r="Z166" i="10" s="1"/>
  <c r="S170" i="10"/>
  <c r="S171" i="10" s="1"/>
  <c r="CN202" i="10"/>
  <c r="CO197" i="10"/>
  <c r="BY170" i="10"/>
  <c r="CO171" i="10"/>
  <c r="CO173" i="10" s="1"/>
  <c r="CM173" i="10"/>
  <c r="B48" i="29"/>
  <c r="C48" i="29" s="1"/>
  <c r="D48" i="29" s="1"/>
  <c r="E48" i="29" s="1"/>
  <c r="F48" i="29" s="1"/>
  <c r="C203" i="31"/>
  <c r="C204" i="31" s="1"/>
  <c r="N86" i="25"/>
  <c r="N124" i="18"/>
  <c r="O126" i="18"/>
  <c r="BY197" i="10"/>
  <c r="BX202" i="10"/>
  <c r="E175" i="10"/>
  <c r="H180" i="13"/>
  <c r="H194" i="18" s="1"/>
  <c r="L197" i="10"/>
  <c r="M192" i="10"/>
  <c r="M169" i="10"/>
  <c r="Q166" i="10" s="1"/>
  <c r="K170" i="10"/>
  <c r="K171" i="10" s="1"/>
  <c r="H168" i="13"/>
  <c r="J170" i="13"/>
  <c r="K171" i="13"/>
  <c r="M173" i="13"/>
  <c r="H196" i="13"/>
  <c r="N174" i="13"/>
  <c r="I169" i="13"/>
  <c r="L172" i="13"/>
  <c r="B64" i="2"/>
  <c r="F58" i="26"/>
  <c r="C155" i="31" s="1"/>
  <c r="D16" i="21"/>
  <c r="C189" i="31"/>
  <c r="BW173" i="10"/>
  <c r="BY171" i="10"/>
  <c r="BY173" i="10" s="1"/>
  <c r="N186" i="10"/>
  <c r="CV186" i="10" s="1"/>
  <c r="DI164" i="10" s="1"/>
  <c r="H175" i="17" s="1"/>
  <c r="CU186" i="10"/>
  <c r="DI159" i="10" s="1"/>
  <c r="I166" i="13" s="1"/>
  <c r="L171" i="10"/>
  <c r="V97" i="11"/>
  <c r="X97" i="11" s="1"/>
  <c r="U98" i="11"/>
  <c r="W98" i="11" s="1"/>
  <c r="Z98" i="11" s="1"/>
  <c r="Y98" i="11" s="1"/>
  <c r="T98" i="11"/>
  <c r="F201" i="10"/>
  <c r="AY38" i="9"/>
  <c r="J38" i="9"/>
  <c r="AZ38" i="9" s="1"/>
  <c r="D285" i="15"/>
  <c r="E285" i="15" s="1"/>
  <c r="F285" i="15" s="1"/>
  <c r="G285" i="15" s="1"/>
  <c r="H285" i="15" s="1"/>
  <c r="I285" i="15" s="1"/>
  <c r="J285" i="15" s="1"/>
  <c r="K285" i="15" s="1"/>
  <c r="L285" i="15" s="1"/>
  <c r="M285" i="15" s="1"/>
  <c r="N285" i="15" s="1"/>
  <c r="BJ201" i="10"/>
  <c r="V218" i="9"/>
  <c r="Q218" i="9"/>
  <c r="R218" i="9" s="1"/>
  <c r="J83" i="18"/>
  <c r="J84" i="18" s="1"/>
  <c r="K16" i="18" s="1"/>
  <c r="D32" i="22"/>
  <c r="D287" i="15"/>
  <c r="E287" i="15" s="1"/>
  <c r="F287" i="15" s="1"/>
  <c r="G287" i="15" s="1"/>
  <c r="H287" i="15" s="1"/>
  <c r="I287" i="15" s="1"/>
  <c r="J287" i="15" s="1"/>
  <c r="K287" i="15" s="1"/>
  <c r="L287" i="15" s="1"/>
  <c r="M287" i="15" s="1"/>
  <c r="N287" i="15" s="1"/>
  <c r="BI176" i="10"/>
  <c r="BI178" i="10" s="1"/>
  <c r="BG178" i="10"/>
  <c r="AT201" i="10"/>
  <c r="AL196" i="10"/>
  <c r="AJ133" i="9"/>
  <c r="AE133" i="9"/>
  <c r="AF133" i="9" s="1"/>
  <c r="BQ174" i="10"/>
  <c r="BO175" i="10"/>
  <c r="BO176" i="10" s="1"/>
  <c r="D100" i="22"/>
  <c r="C141" i="17"/>
  <c r="CF176" i="10"/>
  <c r="AZ181" i="10"/>
  <c r="E176" i="10"/>
  <c r="E178" i="10" s="1"/>
  <c r="C178" i="10"/>
  <c r="D212" i="10"/>
  <c r="E212" i="10" s="1"/>
  <c r="E207" i="10"/>
  <c r="C43" i="22"/>
  <c r="BD216" i="10"/>
  <c r="AH44" i="9"/>
  <c r="AG45" i="9"/>
  <c r="AD45" i="9" s="1"/>
  <c r="AD201" i="10"/>
  <c r="C110" i="22"/>
  <c r="U45" i="9"/>
  <c r="W44" i="9"/>
  <c r="X44" i="9" s="1"/>
  <c r="Z44" i="9"/>
  <c r="L99" i="11"/>
  <c r="N99" i="11" s="1"/>
  <c r="Q99" i="11" s="1"/>
  <c r="P99" i="11" s="1"/>
  <c r="M98" i="11"/>
  <c r="O98" i="11" s="1"/>
  <c r="K99" i="11"/>
  <c r="AS174" i="10"/>
  <c r="AQ175" i="10"/>
  <c r="AQ176" i="10" s="1"/>
  <c r="C101" i="11"/>
  <c r="E101" i="11" s="1"/>
  <c r="H101" i="11" s="1"/>
  <c r="G101" i="11" s="1"/>
  <c r="B101" i="11"/>
  <c r="D100" i="11"/>
  <c r="F100" i="11" s="1"/>
  <c r="AU125" i="9"/>
  <c r="B125" i="9"/>
  <c r="AC176" i="10"/>
  <c r="AC178" i="10" s="1"/>
  <c r="AA178" i="10"/>
  <c r="J52" i="25"/>
  <c r="H123" i="25"/>
  <c r="H193" i="18"/>
  <c r="CG174" i="10"/>
  <c r="CE175" i="10"/>
  <c r="CE176" i="10" s="1"/>
  <c r="D286" i="15"/>
  <c r="E286" i="15" s="1"/>
  <c r="F286" i="15" s="1"/>
  <c r="G286" i="15" s="1"/>
  <c r="H286" i="15" s="1"/>
  <c r="I286" i="15" s="1"/>
  <c r="J286" i="15" s="1"/>
  <c r="K286" i="15" s="1"/>
  <c r="L286" i="15" s="1"/>
  <c r="M286" i="15" s="1"/>
  <c r="N286" i="15" s="1"/>
  <c r="AR176" i="10"/>
  <c r="AK174" i="10"/>
  <c r="AI175" i="10"/>
  <c r="AI176" i="10" s="1"/>
  <c r="AY210" i="9"/>
  <c r="J210" i="9"/>
  <c r="AZ210" i="9" s="1"/>
  <c r="BP207" i="10"/>
  <c r="BQ202" i="10"/>
  <c r="D284" i="15"/>
  <c r="C283" i="15"/>
  <c r="C289" i="15" s="1"/>
  <c r="BI175" i="10"/>
  <c r="C211" i="18"/>
  <c r="CH196" i="10"/>
  <c r="CO14" i="9"/>
  <c r="BK35" i="9"/>
  <c r="J60" i="18"/>
  <c r="K11" i="3" s="1"/>
  <c r="L11" i="3" s="1"/>
  <c r="J73" i="18"/>
  <c r="G123" i="25"/>
  <c r="G193" i="18"/>
  <c r="D288" i="15"/>
  <c r="E288" i="15" s="1"/>
  <c r="F288" i="15" s="1"/>
  <c r="G288" i="15" s="1"/>
  <c r="H288" i="15" s="1"/>
  <c r="I288" i="15" s="1"/>
  <c r="J288" i="15" s="1"/>
  <c r="K288" i="15" s="1"/>
  <c r="L288" i="15" s="1"/>
  <c r="M288" i="15" s="1"/>
  <c r="N288" i="15" s="1"/>
  <c r="BM171" i="10"/>
  <c r="D113" i="25"/>
  <c r="BA179" i="10"/>
  <c r="AY180" i="10"/>
  <c r="AY181" i="10" s="1"/>
  <c r="AB212" i="10"/>
  <c r="AC212" i="10" s="1"/>
  <c r="AC207" i="10"/>
  <c r="BB38" i="9"/>
  <c r="E39" i="9"/>
  <c r="F38" i="9"/>
  <c r="AV38" i="9" s="1"/>
  <c r="V132" i="9"/>
  <c r="Q132" i="9"/>
  <c r="R132" i="9" s="1"/>
  <c r="I171" i="10"/>
  <c r="AK217" i="9"/>
  <c r="AL217" i="9" s="1"/>
  <c r="AN217" i="9"/>
  <c r="AI218" i="9"/>
  <c r="G175" i="17"/>
  <c r="M79" i="17"/>
  <c r="N113" i="18"/>
  <c r="AW39" i="9"/>
  <c r="AJ176" i="10"/>
  <c r="E211" i="9"/>
  <c r="BB210" i="9"/>
  <c r="F210" i="9"/>
  <c r="AV210" i="9" s="1"/>
  <c r="BR196" i="10"/>
  <c r="BI207" i="10"/>
  <c r="BH212" i="10"/>
  <c r="BI212" i="10" s="1"/>
  <c r="BB216" i="10"/>
  <c r="CG202" i="10"/>
  <c r="CF207" i="10"/>
  <c r="AG171" i="10"/>
  <c r="G106" i="22"/>
  <c r="F142" i="17"/>
  <c r="AS207" i="10"/>
  <c r="AR212" i="10"/>
  <c r="AS212" i="10" s="1"/>
  <c r="AJ207" i="10"/>
  <c r="AK202" i="10"/>
  <c r="BP176" i="10"/>
  <c r="S173" i="10" l="1"/>
  <c r="U171" i="10"/>
  <c r="U173" i="10" s="1"/>
  <c r="U170" i="10"/>
  <c r="T202" i="10"/>
  <c r="U197" i="10"/>
  <c r="BA180" i="10"/>
  <c r="I168" i="13"/>
  <c r="I180" i="13" s="1"/>
  <c r="I194" i="18" s="1"/>
  <c r="K170" i="13"/>
  <c r="N173" i="13"/>
  <c r="L171" i="13"/>
  <c r="M172" i="13"/>
  <c r="I196" i="13"/>
  <c r="J169" i="13"/>
  <c r="BW174" i="10"/>
  <c r="BX173" i="10"/>
  <c r="BX174" i="10" s="1"/>
  <c r="BX175" i="10" s="1"/>
  <c r="H106" i="22"/>
  <c r="I106" i="22" s="1"/>
  <c r="G142" i="17"/>
  <c r="M197" i="10"/>
  <c r="L202" i="10"/>
  <c r="BZ196" i="10"/>
  <c r="M171" i="10"/>
  <c r="M173" i="10" s="1"/>
  <c r="K173" i="10"/>
  <c r="C27" i="23"/>
  <c r="O86" i="25"/>
  <c r="O285" i="15"/>
  <c r="M170" i="10"/>
  <c r="CZ166" i="10" s="1"/>
  <c r="R166" i="10"/>
  <c r="CX166" i="10" s="1"/>
  <c r="CW166" i="10"/>
  <c r="DE158" i="10" s="1"/>
  <c r="O124" i="18"/>
  <c r="N123" i="18"/>
  <c r="N84" i="25"/>
  <c r="CP196" i="10"/>
  <c r="V98" i="11"/>
  <c r="X98" i="11" s="1"/>
  <c r="T99" i="11"/>
  <c r="U99" i="11"/>
  <c r="W99" i="11" s="1"/>
  <c r="Z99" i="11" s="1"/>
  <c r="Y99" i="11" s="1"/>
  <c r="N191" i="10"/>
  <c r="CV191" i="10" s="1"/>
  <c r="CU191" i="10"/>
  <c r="DJ159" i="10" s="1"/>
  <c r="J166" i="13" s="1"/>
  <c r="BY202" i="10"/>
  <c r="BZ201" i="10" s="1"/>
  <c r="BX207" i="10"/>
  <c r="CN173" i="10"/>
  <c r="CN174" i="10" s="1"/>
  <c r="CN175" i="10" s="1"/>
  <c r="CM174" i="10"/>
  <c r="CO202" i="10"/>
  <c r="CP201" i="10" s="1"/>
  <c r="CN207" i="10"/>
  <c r="K8" i="25"/>
  <c r="K19" i="18"/>
  <c r="BR201" i="10"/>
  <c r="C148" i="17"/>
  <c r="C151" i="17"/>
  <c r="D254" i="15"/>
  <c r="D245" i="14"/>
  <c r="D244" i="14"/>
  <c r="D256" i="15"/>
  <c r="D241" i="14"/>
  <c r="D253" i="15"/>
  <c r="D242" i="14"/>
  <c r="D237" i="14"/>
  <c r="D238" i="14"/>
  <c r="C152" i="17"/>
  <c r="D240" i="14"/>
  <c r="D257" i="15"/>
  <c r="D239" i="14"/>
  <c r="D243" i="14"/>
  <c r="D236" i="14"/>
  <c r="D255" i="15"/>
  <c r="AL201" i="10"/>
  <c r="AH171" i="10"/>
  <c r="AK175" i="10"/>
  <c r="DE161" i="10"/>
  <c r="M77" i="17"/>
  <c r="N79" i="17"/>
  <c r="B88" i="28" s="1"/>
  <c r="DJ164" i="10"/>
  <c r="Z132" i="9"/>
  <c r="W132" i="9"/>
  <c r="X132" i="9" s="1"/>
  <c r="U133" i="9"/>
  <c r="D283" i="15"/>
  <c r="D210" i="18" s="1"/>
  <c r="E284" i="15"/>
  <c r="AO171" i="10"/>
  <c r="CG176" i="10"/>
  <c r="CG178" i="10" s="1"/>
  <c r="CE178" i="10"/>
  <c r="AT206" i="10"/>
  <c r="BJ206" i="10"/>
  <c r="BI36" i="9"/>
  <c r="BJ36" i="9" s="1"/>
  <c r="CP13" i="9"/>
  <c r="B39" i="9"/>
  <c r="AU39" i="9"/>
  <c r="AD211" i="10"/>
  <c r="BN171" i="10"/>
  <c r="AK176" i="10"/>
  <c r="AK178" i="10" s="1"/>
  <c r="AI178" i="10"/>
  <c r="CK171" i="10"/>
  <c r="AR125" i="9"/>
  <c r="H125" i="9"/>
  <c r="C125" i="9"/>
  <c r="K100" i="11"/>
  <c r="M99" i="11"/>
  <c r="O99" i="11" s="1"/>
  <c r="L100" i="11"/>
  <c r="N100" i="11" s="1"/>
  <c r="Q100" i="11" s="1"/>
  <c r="P100" i="11" s="1"/>
  <c r="F206" i="10"/>
  <c r="BI217" i="10"/>
  <c r="BU171" i="10"/>
  <c r="D33" i="22"/>
  <c r="CO16" i="9"/>
  <c r="BL35" i="9"/>
  <c r="N73" i="25"/>
  <c r="N111" i="18"/>
  <c r="O113" i="18"/>
  <c r="AJ212" i="10"/>
  <c r="AK212" i="10" s="1"/>
  <c r="AK207" i="10"/>
  <c r="CF212" i="10"/>
  <c r="CG212" i="10" s="1"/>
  <c r="CG207" i="10"/>
  <c r="AH217" i="9"/>
  <c r="AG218" i="9"/>
  <c r="AD218" i="9" s="1"/>
  <c r="H122" i="25"/>
  <c r="C45" i="22"/>
  <c r="C179" i="10"/>
  <c r="D178" i="10"/>
  <c r="D179" i="10" s="1"/>
  <c r="D180" i="10" s="1"/>
  <c r="CG175" i="10"/>
  <c r="BO178" i="10"/>
  <c r="BQ176" i="10"/>
  <c r="BQ178" i="10" s="1"/>
  <c r="AI134" i="9"/>
  <c r="AK133" i="9"/>
  <c r="AL133" i="9" s="1"/>
  <c r="AN133" i="9"/>
  <c r="BQ175" i="10"/>
  <c r="AT211" i="10"/>
  <c r="AT216" i="10" s="1"/>
  <c r="CH201" i="10"/>
  <c r="BJ211" i="10"/>
  <c r="AS217" i="10"/>
  <c r="AU211" i="9"/>
  <c r="B211" i="9"/>
  <c r="E134" i="13"/>
  <c r="AD206" i="10"/>
  <c r="AC217" i="10"/>
  <c r="BA181" i="10"/>
  <c r="BA183" i="10" s="1"/>
  <c r="AY183" i="10"/>
  <c r="L110" i="17"/>
  <c r="M138" i="18"/>
  <c r="AS175" i="10"/>
  <c r="O286" i="15"/>
  <c r="AB178" i="10"/>
  <c r="AB179" i="10" s="1"/>
  <c r="AB180" i="10" s="1"/>
  <c r="AA179" i="10"/>
  <c r="C102" i="11"/>
  <c r="E102" i="11" s="1"/>
  <c r="H102" i="11" s="1"/>
  <c r="G102" i="11" s="1"/>
  <c r="B102" i="11"/>
  <c r="D101" i="11"/>
  <c r="F101" i="11" s="1"/>
  <c r="AW171" i="10"/>
  <c r="T44" i="9"/>
  <c r="S45" i="9"/>
  <c r="P45" i="9" s="1"/>
  <c r="E217" i="10"/>
  <c r="BG179" i="10"/>
  <c r="BH178" i="10"/>
  <c r="BH179" i="10" s="1"/>
  <c r="BH180" i="10" s="1"/>
  <c r="O287" i="15"/>
  <c r="U219" i="9"/>
  <c r="Z218" i="9"/>
  <c r="W218" i="9"/>
  <c r="X218" i="9" s="1"/>
  <c r="BM35" i="9"/>
  <c r="CO17" i="9"/>
  <c r="CO18" i="9" s="1"/>
  <c r="J171" i="10"/>
  <c r="BE176" i="10"/>
  <c r="O288" i="15"/>
  <c r="G122" i="25"/>
  <c r="J51" i="25"/>
  <c r="J62" i="18"/>
  <c r="K56" i="18"/>
  <c r="C140" i="25"/>
  <c r="C210" i="18"/>
  <c r="BQ207" i="10"/>
  <c r="BP212" i="10"/>
  <c r="BQ212" i="10" s="1"/>
  <c r="AS176" i="10"/>
  <c r="AS178" i="10" s="1"/>
  <c r="AQ178" i="10"/>
  <c r="AE45" i="9"/>
  <c r="AF45" i="9" s="1"/>
  <c r="AJ45" i="9"/>
  <c r="F211" i="10"/>
  <c r="D113" i="22"/>
  <c r="V196" i="10" l="1"/>
  <c r="AK217" i="10"/>
  <c r="U202" i="10"/>
  <c r="V201" i="10" s="1"/>
  <c r="T207" i="10"/>
  <c r="T173" i="10"/>
  <c r="T174" i="10" s="1"/>
  <c r="T175" i="10" s="1"/>
  <c r="S174" i="10"/>
  <c r="CG217" i="10"/>
  <c r="CJ216" i="10" s="1"/>
  <c r="V99" i="11"/>
  <c r="X99" i="11" s="1"/>
  <c r="T100" i="11"/>
  <c r="U100" i="11"/>
  <c r="W100" i="11" s="1"/>
  <c r="Z100" i="11" s="1"/>
  <c r="Y100" i="11" s="1"/>
  <c r="CO174" i="10"/>
  <c r="CS171" i="10" s="1"/>
  <c r="CT171" i="10" s="1"/>
  <c r="CM175" i="10"/>
  <c r="CM176" i="10" s="1"/>
  <c r="J168" i="13"/>
  <c r="J180" i="13" s="1"/>
  <c r="J194" i="18" s="1"/>
  <c r="M171" i="13"/>
  <c r="L170" i="13"/>
  <c r="K169" i="13"/>
  <c r="N172" i="13"/>
  <c r="J196" i="13"/>
  <c r="N83" i="25"/>
  <c r="O123" i="18"/>
  <c r="CY171" i="10"/>
  <c r="DA166" i="10"/>
  <c r="DE160" i="10" s="1"/>
  <c r="E107" i="22" s="1"/>
  <c r="H142" i="17"/>
  <c r="C129" i="22"/>
  <c r="BJ216" i="10"/>
  <c r="CN176" i="10"/>
  <c r="CO175" i="10"/>
  <c r="O84" i="25"/>
  <c r="C25" i="23"/>
  <c r="K174" i="10"/>
  <c r="L173" i="10"/>
  <c r="L174" i="10" s="1"/>
  <c r="L175" i="10" s="1"/>
  <c r="M202" i="10"/>
  <c r="L207" i="10"/>
  <c r="BX176" i="10"/>
  <c r="I123" i="25"/>
  <c r="I193" i="18"/>
  <c r="I122" i="25" s="1"/>
  <c r="CN212" i="10"/>
  <c r="CO212" i="10" s="1"/>
  <c r="CP211" i="10" s="1"/>
  <c r="CO207" i="10"/>
  <c r="CP206" i="10" s="1"/>
  <c r="CP216" i="10" s="1"/>
  <c r="BY207" i="10"/>
  <c r="BZ206" i="10" s="1"/>
  <c r="BZ216" i="10" s="1"/>
  <c r="BX212" i="10"/>
  <c r="BY212" i="10" s="1"/>
  <c r="BZ211" i="10" s="1"/>
  <c r="N196" i="10"/>
  <c r="CU196" i="10"/>
  <c r="DK159" i="10" s="1"/>
  <c r="K166" i="13" s="1"/>
  <c r="M170" i="13" s="1"/>
  <c r="BY174" i="10"/>
  <c r="CC171" i="10" s="1"/>
  <c r="CD171" i="10" s="1"/>
  <c r="BW175" i="10"/>
  <c r="BW176" i="10" s="1"/>
  <c r="AN216" i="10"/>
  <c r="AV216" i="10"/>
  <c r="AG134" i="9"/>
  <c r="AD134" i="9" s="1"/>
  <c r="AH133" i="9"/>
  <c r="E179" i="10"/>
  <c r="C180" i="10"/>
  <c r="C181" i="10" s="1"/>
  <c r="N171" i="13"/>
  <c r="K196" i="13"/>
  <c r="F216" i="10"/>
  <c r="AQ179" i="10"/>
  <c r="AR178" i="10"/>
  <c r="AR179" i="10" s="1"/>
  <c r="AR180" i="10" s="1"/>
  <c r="K47" i="25"/>
  <c r="D181" i="10"/>
  <c r="AE218" i="9"/>
  <c r="AF218" i="9" s="1"/>
  <c r="AJ218" i="9"/>
  <c r="AL206" i="10"/>
  <c r="D37" i="22"/>
  <c r="I57" i="17"/>
  <c r="I7" i="27"/>
  <c r="C11" i="3"/>
  <c r="D11" i="3" s="1"/>
  <c r="AD216" i="10"/>
  <c r="CF178" i="10"/>
  <c r="CF179" i="10" s="1"/>
  <c r="CF180" i="10" s="1"/>
  <c r="CE179" i="10"/>
  <c r="E283" i="15"/>
  <c r="E210" i="18" s="1"/>
  <c r="F284" i="15"/>
  <c r="T132" i="9"/>
  <c r="S133" i="9"/>
  <c r="P133" i="9" s="1"/>
  <c r="H85" i="22"/>
  <c r="N77" i="17"/>
  <c r="D280" i="15"/>
  <c r="D282" i="15"/>
  <c r="D281" i="15"/>
  <c r="D204" i="18"/>
  <c r="L116" i="17"/>
  <c r="M98" i="25"/>
  <c r="M139" i="18"/>
  <c r="BP178" i="10"/>
  <c r="BP179" i="10" s="1"/>
  <c r="BP180" i="10" s="1"/>
  <c r="BO179" i="10"/>
  <c r="AL211" i="10"/>
  <c r="AL216" i="10" s="1"/>
  <c r="D139" i="25"/>
  <c r="D201" i="18"/>
  <c r="BR206" i="10"/>
  <c r="BQ217" i="10"/>
  <c r="S219" i="9"/>
  <c r="P219" i="9" s="1"/>
  <c r="T218" i="9"/>
  <c r="BI179" i="10"/>
  <c r="BG180" i="10"/>
  <c r="BG181" i="10" s="1"/>
  <c r="Q45" i="9"/>
  <c r="R45" i="9" s="1"/>
  <c r="V45" i="9"/>
  <c r="AB181" i="10"/>
  <c r="AY184" i="10"/>
  <c r="AZ183" i="10"/>
  <c r="AZ184" i="10" s="1"/>
  <c r="AZ185" i="10" s="1"/>
  <c r="AF216" i="10"/>
  <c r="L143" i="13"/>
  <c r="F137" i="13"/>
  <c r="G138" i="13"/>
  <c r="E136" i="13"/>
  <c r="E148" i="13" s="1"/>
  <c r="E184" i="18" s="1"/>
  <c r="N145" i="13"/>
  <c r="M144" i="13"/>
  <c r="I140" i="13"/>
  <c r="K142" i="13"/>
  <c r="E164" i="13"/>
  <c r="H139" i="13"/>
  <c r="J141" i="13"/>
  <c r="CH211" i="10"/>
  <c r="O73" i="25"/>
  <c r="C14" i="23"/>
  <c r="BV171" i="10"/>
  <c r="AS125" i="9"/>
  <c r="D125" i="9"/>
  <c r="AT125" i="9" s="1"/>
  <c r="CL171" i="10"/>
  <c r="AR39" i="9"/>
  <c r="C39" i="9"/>
  <c r="H39" i="9"/>
  <c r="I175" i="17"/>
  <c r="D174" i="17"/>
  <c r="D205" i="18"/>
  <c r="D252" i="15"/>
  <c r="D278" i="15"/>
  <c r="I12" i="3"/>
  <c r="K11" i="25"/>
  <c r="K57" i="18"/>
  <c r="K48" i="25" s="1"/>
  <c r="BR211" i="10"/>
  <c r="J53" i="25"/>
  <c r="BI180" i="10"/>
  <c r="BH181" i="10"/>
  <c r="AX171" i="10"/>
  <c r="AC179" i="10"/>
  <c r="AA180" i="10"/>
  <c r="AA181" i="10" s="1"/>
  <c r="CH206" i="10"/>
  <c r="K101" i="11"/>
  <c r="M100" i="11"/>
  <c r="O100" i="11" s="1"/>
  <c r="L101" i="11"/>
  <c r="N101" i="11" s="1"/>
  <c r="Q101" i="11" s="1"/>
  <c r="P101" i="11" s="1"/>
  <c r="CP12" i="9"/>
  <c r="N136" i="18" s="1"/>
  <c r="BG36" i="9"/>
  <c r="BH36" i="9" s="1"/>
  <c r="D235" i="14"/>
  <c r="AK45" i="9"/>
  <c r="AL45" i="9" s="1"/>
  <c r="AI46" i="9"/>
  <c r="AN45" i="9"/>
  <c r="C209" i="18"/>
  <c r="C139" i="25"/>
  <c r="BF176" i="10"/>
  <c r="H216" i="10"/>
  <c r="C103" i="11"/>
  <c r="E103" i="11" s="1"/>
  <c r="H103" i="11" s="1"/>
  <c r="G103" i="11" s="1"/>
  <c r="D102" i="11"/>
  <c r="F102" i="11" s="1"/>
  <c r="B103" i="11"/>
  <c r="H211" i="9"/>
  <c r="C211" i="9"/>
  <c r="AR211" i="9"/>
  <c r="N71" i="25"/>
  <c r="O111" i="18"/>
  <c r="BL216" i="10"/>
  <c r="I125" i="9"/>
  <c r="AX125" i="9"/>
  <c r="G126" i="9"/>
  <c r="AW126" i="9" s="1"/>
  <c r="L125" i="9"/>
  <c r="AI179" i="10"/>
  <c r="AJ178" i="10"/>
  <c r="AJ179" i="10" s="1"/>
  <c r="AJ180" i="10" s="1"/>
  <c r="AP171" i="10"/>
  <c r="J88" i="28"/>
  <c r="L88" i="28"/>
  <c r="M88" i="28"/>
  <c r="I88" i="28"/>
  <c r="D279" i="15"/>
  <c r="U174" i="10" l="1"/>
  <c r="Y171" i="10" s="1"/>
  <c r="Z171" i="10" s="1"/>
  <c r="S175" i="10"/>
  <c r="S176" i="10" s="1"/>
  <c r="T176" i="10"/>
  <c r="U175" i="10"/>
  <c r="T212" i="10"/>
  <c r="U212" i="10" s="1"/>
  <c r="V211" i="10" s="1"/>
  <c r="U207" i="10"/>
  <c r="V206" i="10" s="1"/>
  <c r="V216" i="10" s="1"/>
  <c r="K168" i="13"/>
  <c r="K180" i="13" s="1"/>
  <c r="K194" i="18" s="1"/>
  <c r="U217" i="10"/>
  <c r="X216" i="10" s="1"/>
  <c r="L169" i="13"/>
  <c r="L212" i="10"/>
  <c r="M212" i="10" s="1"/>
  <c r="M207" i="10"/>
  <c r="BW178" i="10"/>
  <c r="BY176" i="10"/>
  <c r="BY178" i="10" s="1"/>
  <c r="CV196" i="10"/>
  <c r="DK164" i="10" s="1"/>
  <c r="J175" i="17" s="1"/>
  <c r="N201" i="10"/>
  <c r="CV201" i="10" s="1"/>
  <c r="DL164" i="10" s="1"/>
  <c r="K175" i="17" s="1"/>
  <c r="CU201" i="10"/>
  <c r="DL159" i="10" s="1"/>
  <c r="L166" i="13" s="1"/>
  <c r="D129" i="22"/>
  <c r="I142" i="17"/>
  <c r="BY217" i="10"/>
  <c r="CB216" i="10" s="1"/>
  <c r="BY175" i="10"/>
  <c r="L176" i="10"/>
  <c r="CO217" i="10"/>
  <c r="CR216" i="10" s="1"/>
  <c r="J123" i="25"/>
  <c r="J193" i="18"/>
  <c r="J122" i="25" s="1"/>
  <c r="M174" i="10"/>
  <c r="Q171" i="10" s="1"/>
  <c r="K175" i="10"/>
  <c r="K176" i="10" s="1"/>
  <c r="C24" i="23"/>
  <c r="O83" i="25"/>
  <c r="CM178" i="10"/>
  <c r="CO176" i="10"/>
  <c r="CO178" i="10" s="1"/>
  <c r="T101" i="11"/>
  <c r="U101" i="11"/>
  <c r="W101" i="11" s="1"/>
  <c r="Z101" i="11" s="1"/>
  <c r="Y101" i="11" s="1"/>
  <c r="V100" i="11"/>
  <c r="X100" i="11" s="1"/>
  <c r="AK179" i="10"/>
  <c r="AI180" i="10"/>
  <c r="AI181" i="10" s="1"/>
  <c r="D40" i="22"/>
  <c r="AS179" i="10"/>
  <c r="AQ180" i="10"/>
  <c r="AQ181" i="10" s="1"/>
  <c r="AJ134" i="9"/>
  <c r="AE134" i="9"/>
  <c r="AF134" i="9" s="1"/>
  <c r="D211" i="9"/>
  <c r="AT211" i="9" s="1"/>
  <c r="AS211" i="9"/>
  <c r="AJ181" i="10"/>
  <c r="O71" i="25"/>
  <c r="C12" i="23"/>
  <c r="G212" i="9"/>
  <c r="AW212" i="9" s="1"/>
  <c r="L211" i="9"/>
  <c r="AX211" i="9"/>
  <c r="I211" i="9"/>
  <c r="AG46" i="9"/>
  <c r="AD46" i="9" s="1"/>
  <c r="AH45" i="9"/>
  <c r="D277" i="15"/>
  <c r="CH216" i="10"/>
  <c r="E113" i="25"/>
  <c r="U46" i="9"/>
  <c r="W45" i="9"/>
  <c r="X45" i="9" s="1"/>
  <c r="Z45" i="9"/>
  <c r="BM176" i="10"/>
  <c r="BP181" i="10"/>
  <c r="V133" i="9"/>
  <c r="Q133" i="9"/>
  <c r="R133" i="9" s="1"/>
  <c r="AK218" i="9"/>
  <c r="AL218" i="9" s="1"/>
  <c r="AI219" i="9"/>
  <c r="AN218" i="9"/>
  <c r="AR181" i="10"/>
  <c r="E129" i="22"/>
  <c r="J142" i="17"/>
  <c r="K193" i="18"/>
  <c r="K123" i="25"/>
  <c r="AY125" i="9"/>
  <c r="J125" i="9"/>
  <c r="AZ125" i="9" s="1"/>
  <c r="C104" i="11"/>
  <c r="E104" i="11" s="1"/>
  <c r="H104" i="11" s="1"/>
  <c r="G104" i="11" s="1"/>
  <c r="B104" i="11"/>
  <c r="D103" i="11"/>
  <c r="F103" i="11" s="1"/>
  <c r="D280" i="14"/>
  <c r="D269" i="14"/>
  <c r="D223" i="14"/>
  <c r="D257" i="14" s="1"/>
  <c r="AG176" i="10"/>
  <c r="D227" i="15"/>
  <c r="D270" i="15" s="1"/>
  <c r="I39" i="9"/>
  <c r="AX39" i="9"/>
  <c r="L39" i="9"/>
  <c r="G40" i="9"/>
  <c r="J26" i="3"/>
  <c r="M99" i="25"/>
  <c r="E181" i="10"/>
  <c r="E183" i="10" s="1"/>
  <c r="C183" i="10"/>
  <c r="E126" i="9"/>
  <c r="BB125" i="9"/>
  <c r="F125" i="9"/>
  <c r="AV125" i="9" s="1"/>
  <c r="C208" i="18"/>
  <c r="C138" i="25"/>
  <c r="M101" i="11"/>
  <c r="O101" i="11" s="1"/>
  <c r="K102" i="11"/>
  <c r="L102" i="11"/>
  <c r="N102" i="11" s="1"/>
  <c r="Q102" i="11" s="1"/>
  <c r="P102" i="11" s="1"/>
  <c r="AS39" i="9"/>
  <c r="D39" i="9"/>
  <c r="AT39" i="9" s="1"/>
  <c r="AZ186" i="10"/>
  <c r="AC180" i="10"/>
  <c r="BG183" i="10"/>
  <c r="BI181" i="10"/>
  <c r="BI183" i="10" s="1"/>
  <c r="V219" i="9"/>
  <c r="Q219" i="9"/>
  <c r="R219" i="9" s="1"/>
  <c r="F283" i="15"/>
  <c r="F210" i="18" s="1"/>
  <c r="G284" i="15"/>
  <c r="CG179" i="10"/>
  <c r="CE180" i="10"/>
  <c r="CE181" i="10" s="1"/>
  <c r="K59" i="18"/>
  <c r="D130" i="25"/>
  <c r="H91" i="22"/>
  <c r="M122" i="17" s="1"/>
  <c r="N96" i="25"/>
  <c r="AA183" i="10"/>
  <c r="AC181" i="10"/>
  <c r="AC183" i="10" s="1"/>
  <c r="BR216" i="10"/>
  <c r="D134" i="25"/>
  <c r="E100" i="22"/>
  <c r="D141" i="17"/>
  <c r="BA184" i="10"/>
  <c r="AY185" i="10"/>
  <c r="AY186" i="10" s="1"/>
  <c r="BT216" i="10"/>
  <c r="BQ179" i="10"/>
  <c r="BO180" i="10"/>
  <c r="BO181" i="10" s="1"/>
  <c r="D133" i="25"/>
  <c r="I85" i="22"/>
  <c r="E139" i="25"/>
  <c r="CF181" i="10"/>
  <c r="I12" i="27"/>
  <c r="E180" i="10"/>
  <c r="I176" i="10"/>
  <c r="CG180" i="10" l="1"/>
  <c r="AS180" i="10"/>
  <c r="S178" i="10"/>
  <c r="U176" i="10"/>
  <c r="U178" i="10" s="1"/>
  <c r="T102" i="11"/>
  <c r="U102" i="11"/>
  <c r="W102" i="11" s="1"/>
  <c r="Z102" i="11" s="1"/>
  <c r="Y102" i="11" s="1"/>
  <c r="V101" i="11"/>
  <c r="X101" i="11" s="1"/>
  <c r="N206" i="10"/>
  <c r="CV206" i="10" s="1"/>
  <c r="DM164" i="10" s="1"/>
  <c r="L175" i="17" s="1"/>
  <c r="CU206" i="10"/>
  <c r="L196" i="13"/>
  <c r="M169" i="13"/>
  <c r="N170" i="13"/>
  <c r="L168" i="13"/>
  <c r="L180" i="13" s="1"/>
  <c r="L194" i="18" s="1"/>
  <c r="N211" i="10"/>
  <c r="CV211" i="10" s="1"/>
  <c r="CU211" i="10"/>
  <c r="DN159" i="10" s="1"/>
  <c r="M176" i="10"/>
  <c r="M178" i="10" s="1"/>
  <c r="K178" i="10"/>
  <c r="AK180" i="10"/>
  <c r="CN178" i="10"/>
  <c r="CN179" i="10" s="1"/>
  <c r="CN180" i="10" s="1"/>
  <c r="CM179" i="10"/>
  <c r="R171" i="10"/>
  <c r="CX171" i="10" s="1"/>
  <c r="CW171" i="10"/>
  <c r="DF158" i="10" s="1"/>
  <c r="F134" i="13" s="1"/>
  <c r="M175" i="10"/>
  <c r="CZ171" i="10" s="1"/>
  <c r="BX178" i="10"/>
  <c r="BX179" i="10" s="1"/>
  <c r="BX180" i="10" s="1"/>
  <c r="BW179" i="10"/>
  <c r="M217" i="10"/>
  <c r="P216" i="10" s="1"/>
  <c r="AA184" i="10"/>
  <c r="AB183" i="10"/>
  <c r="AB184" i="10" s="1"/>
  <c r="AB185" i="10" s="1"/>
  <c r="G283" i="15"/>
  <c r="H284" i="15"/>
  <c r="K103" i="11"/>
  <c r="L103" i="11"/>
  <c r="N103" i="11" s="1"/>
  <c r="Q103" i="11" s="1"/>
  <c r="P103" i="11" s="1"/>
  <c r="M102" i="11"/>
  <c r="O102" i="11" s="1"/>
  <c r="B145" i="17"/>
  <c r="C198" i="18"/>
  <c r="AW40" i="9"/>
  <c r="K122" i="25"/>
  <c r="AY211" i="9"/>
  <c r="J211" i="9"/>
  <c r="AZ211" i="9" s="1"/>
  <c r="BU176" i="10"/>
  <c r="E113" i="22"/>
  <c r="J176" i="10"/>
  <c r="BE181" i="10"/>
  <c r="BF181" i="10" s="1"/>
  <c r="DF161" i="10"/>
  <c r="CK176" i="10"/>
  <c r="BK36" i="9"/>
  <c r="CP14" i="9"/>
  <c r="AG219" i="9"/>
  <c r="AD219" i="9" s="1"/>
  <c r="AH218" i="9"/>
  <c r="W133" i="9"/>
  <c r="X133" i="9" s="1"/>
  <c r="Z133" i="9"/>
  <c r="U134" i="9"/>
  <c r="BQ180" i="10"/>
  <c r="T45" i="9"/>
  <c r="S46" i="9"/>
  <c r="P46" i="9" s="1"/>
  <c r="BB211" i="9"/>
  <c r="F211" i="9"/>
  <c r="AV211" i="9" s="1"/>
  <c r="E212" i="9"/>
  <c r="AY188" i="10"/>
  <c r="BA186" i="10"/>
  <c r="BA188" i="10" s="1"/>
  <c r="N166" i="13"/>
  <c r="W219" i="9"/>
  <c r="X219" i="9" s="1"/>
  <c r="Z219" i="9"/>
  <c r="U220" i="9"/>
  <c r="C137" i="25"/>
  <c r="D289" i="15"/>
  <c r="AN134" i="9"/>
  <c r="AK134" i="9"/>
  <c r="AL134" i="9" s="1"/>
  <c r="AI135" i="9"/>
  <c r="BQ181" i="10"/>
  <c r="BQ183" i="10" s="1"/>
  <c r="BO183" i="10"/>
  <c r="K50" i="25"/>
  <c r="K70" i="18"/>
  <c r="K82" i="18"/>
  <c r="K71" i="18"/>
  <c r="K61" i="18" s="1"/>
  <c r="BG184" i="10"/>
  <c r="BH183" i="10"/>
  <c r="BH184" i="10" s="1"/>
  <c r="BH185" i="10" s="1"/>
  <c r="B126" i="9"/>
  <c r="AU126" i="9"/>
  <c r="I139" i="13"/>
  <c r="K141" i="13"/>
  <c r="L142" i="13"/>
  <c r="N144" i="13"/>
  <c r="H138" i="13"/>
  <c r="G137" i="13"/>
  <c r="M143" i="13"/>
  <c r="F164" i="13"/>
  <c r="F136" i="13"/>
  <c r="F148" i="13" s="1"/>
  <c r="F184" i="18" s="1"/>
  <c r="J140" i="13"/>
  <c r="AY39" i="9"/>
  <c r="J39" i="9"/>
  <c r="AZ39" i="9" s="1"/>
  <c r="AH176" i="10"/>
  <c r="D211" i="18"/>
  <c r="DN164" i="10"/>
  <c r="AJ46" i="9"/>
  <c r="AE46" i="9"/>
  <c r="AF46" i="9" s="1"/>
  <c r="AW176" i="10"/>
  <c r="AI183" i="10"/>
  <c r="AK181" i="10"/>
  <c r="AK183" i="10" s="1"/>
  <c r="C187" i="31"/>
  <c r="D15" i="21"/>
  <c r="D148" i="17"/>
  <c r="E254" i="15"/>
  <c r="D151" i="17"/>
  <c r="E245" i="14"/>
  <c r="E256" i="15"/>
  <c r="E244" i="14"/>
  <c r="D152" i="17"/>
  <c r="E239" i="14"/>
  <c r="E253" i="15"/>
  <c r="E243" i="14"/>
  <c r="E240" i="14"/>
  <c r="E241" i="14"/>
  <c r="E238" i="14"/>
  <c r="E257" i="15"/>
  <c r="E237" i="14"/>
  <c r="E242" i="14"/>
  <c r="E236" i="14"/>
  <c r="E255" i="15"/>
  <c r="CG181" i="10"/>
  <c r="CG183" i="10" s="1"/>
  <c r="CE183" i="10"/>
  <c r="L193" i="18"/>
  <c r="L123" i="25"/>
  <c r="F139" i="25"/>
  <c r="BA185" i="10"/>
  <c r="D183" i="10"/>
  <c r="D184" i="10" s="1"/>
  <c r="D185" i="10" s="1"/>
  <c r="C184" i="10"/>
  <c r="F39" i="9"/>
  <c r="AV39" i="9" s="1"/>
  <c r="E40" i="9"/>
  <c r="BB39" i="9"/>
  <c r="D110" i="22"/>
  <c r="D104" i="11"/>
  <c r="F104" i="11" s="1"/>
  <c r="B105" i="11"/>
  <c r="C105" i="11"/>
  <c r="E105" i="11" s="1"/>
  <c r="H105" i="11" s="1"/>
  <c r="G105" i="11" s="1"/>
  <c r="BN176" i="10"/>
  <c r="AQ183" i="10"/>
  <c r="AS181" i="10"/>
  <c r="AS183" i="10" s="1"/>
  <c r="D43" i="22"/>
  <c r="AO176" i="10"/>
  <c r="T178" i="10" l="1"/>
  <c r="T179" i="10" s="1"/>
  <c r="T180" i="10" s="1"/>
  <c r="S179" i="10"/>
  <c r="CY176" i="10"/>
  <c r="DA171" i="10"/>
  <c r="DF160" i="10" s="1"/>
  <c r="F107" i="22" s="1"/>
  <c r="BY179" i="10"/>
  <c r="CC176" i="10" s="1"/>
  <c r="CD176" i="10" s="1"/>
  <c r="BW180" i="10"/>
  <c r="BW181" i="10" s="1"/>
  <c r="CN181" i="10"/>
  <c r="BX181" i="10"/>
  <c r="F129" i="22"/>
  <c r="K142" i="17"/>
  <c r="CV216" i="10"/>
  <c r="CV219" i="10" s="1"/>
  <c r="N216" i="10"/>
  <c r="CO179" i="10"/>
  <c r="CS176" i="10" s="1"/>
  <c r="CT176" i="10" s="1"/>
  <c r="CM180" i="10"/>
  <c r="CM181" i="10" s="1"/>
  <c r="K179" i="10"/>
  <c r="L178" i="10"/>
  <c r="L179" i="10" s="1"/>
  <c r="L180" i="10" s="1"/>
  <c r="DM159" i="10"/>
  <c r="CU216" i="10"/>
  <c r="CU219" i="10" s="1"/>
  <c r="U103" i="11"/>
  <c r="W103" i="11" s="1"/>
  <c r="Z103" i="11" s="1"/>
  <c r="Y103" i="11" s="1"/>
  <c r="T103" i="11"/>
  <c r="V102" i="11"/>
  <c r="X102" i="11" s="1"/>
  <c r="E279" i="15"/>
  <c r="M175" i="17"/>
  <c r="N175" i="17" s="1"/>
  <c r="DO164" i="10"/>
  <c r="K60" i="18"/>
  <c r="K73" i="18"/>
  <c r="S134" i="9"/>
  <c r="P134" i="9" s="1"/>
  <c r="T133" i="9"/>
  <c r="E184" i="10"/>
  <c r="C185" i="10"/>
  <c r="C186" i="10" s="1"/>
  <c r="AP176" i="10"/>
  <c r="AR183" i="10"/>
  <c r="AR184" i="10" s="1"/>
  <c r="AR185" i="10" s="1"/>
  <c r="AQ184" i="10"/>
  <c r="D186" i="10"/>
  <c r="L122" i="25"/>
  <c r="E205" i="18"/>
  <c r="E204" i="18"/>
  <c r="F100" i="22"/>
  <c r="E141" i="17"/>
  <c r="BI184" i="10"/>
  <c r="BG185" i="10"/>
  <c r="BG186" i="10" s="1"/>
  <c r="N168" i="13"/>
  <c r="N196" i="13"/>
  <c r="AJ219" i="9"/>
  <c r="AE219" i="9"/>
  <c r="AF219" i="9" s="1"/>
  <c r="CL176" i="10"/>
  <c r="G210" i="18"/>
  <c r="CE184" i="10"/>
  <c r="CF183" i="10"/>
  <c r="CF184" i="10" s="1"/>
  <c r="CF185" i="10" s="1"/>
  <c r="E282" i="15"/>
  <c r="AR126" i="9"/>
  <c r="C126" i="9"/>
  <c r="H126" i="9"/>
  <c r="Q46" i="9"/>
  <c r="R46" i="9" s="1"/>
  <c r="V46" i="9"/>
  <c r="M110" i="17"/>
  <c r="N138" i="18"/>
  <c r="AB186" i="10"/>
  <c r="D45" i="22"/>
  <c r="D105" i="11"/>
  <c r="F105" i="11" s="1"/>
  <c r="B106" i="11"/>
  <c r="C106" i="11"/>
  <c r="E106" i="11" s="1"/>
  <c r="H106" i="11" s="1"/>
  <c r="G106" i="11" s="1"/>
  <c r="B40" i="9"/>
  <c r="AU40" i="9"/>
  <c r="E235" i="14"/>
  <c r="E252" i="15"/>
  <c r="E278" i="15"/>
  <c r="E281" i="15"/>
  <c r="E201" i="18"/>
  <c r="D140" i="25"/>
  <c r="D209" i="18"/>
  <c r="BL36" i="9"/>
  <c r="CP16" i="9"/>
  <c r="K52" i="25"/>
  <c r="K12" i="3"/>
  <c r="L12" i="3" s="1"/>
  <c r="BP183" i="10"/>
  <c r="BP184" i="10" s="1"/>
  <c r="BP185" i="10" s="1"/>
  <c r="BO184" i="10"/>
  <c r="AU212" i="9"/>
  <c r="B212" i="9"/>
  <c r="E174" i="17"/>
  <c r="C127" i="25"/>
  <c r="C196" i="18"/>
  <c r="K104" i="11"/>
  <c r="M103" i="11"/>
  <c r="O103" i="11" s="1"/>
  <c r="L104" i="11"/>
  <c r="N104" i="11" s="1"/>
  <c r="Q104" i="11" s="1"/>
  <c r="P104" i="11" s="1"/>
  <c r="AC184" i="10"/>
  <c r="AA185" i="10"/>
  <c r="AA186" i="10" s="1"/>
  <c r="E280" i="15"/>
  <c r="AX176" i="10"/>
  <c r="CP17" i="9"/>
  <c r="CP18" i="9" s="1"/>
  <c r="BM36" i="9"/>
  <c r="AZ188" i="10"/>
  <c r="AZ189" i="10" s="1"/>
  <c r="AZ190" i="10" s="1"/>
  <c r="AY189" i="10"/>
  <c r="BI37" i="9"/>
  <c r="BJ37" i="9" s="1"/>
  <c r="CQ13" i="9"/>
  <c r="AJ183" i="10"/>
  <c r="AJ184" i="10" s="1"/>
  <c r="AJ185" i="10" s="1"/>
  <c r="AI184" i="10"/>
  <c r="AN46" i="9"/>
  <c r="AI47" i="9"/>
  <c r="AK46" i="9"/>
  <c r="AL46" i="9" s="1"/>
  <c r="F113" i="25"/>
  <c r="BH186" i="10"/>
  <c r="K83" i="18"/>
  <c r="K84" i="18" s="1"/>
  <c r="L16" i="18" s="1"/>
  <c r="E32" i="22"/>
  <c r="AH134" i="9"/>
  <c r="AG135" i="9"/>
  <c r="AD135" i="9" s="1"/>
  <c r="T219" i="9"/>
  <c r="S220" i="9"/>
  <c r="P220" i="9" s="1"/>
  <c r="BV176" i="10"/>
  <c r="B143" i="17"/>
  <c r="H283" i="15"/>
  <c r="H210" i="18" s="1"/>
  <c r="I284" i="15"/>
  <c r="U179" i="10" l="1"/>
  <c r="Y176" i="10" s="1"/>
  <c r="Z176" i="10" s="1"/>
  <c r="S180" i="10"/>
  <c r="S181" i="10" s="1"/>
  <c r="T181" i="10"/>
  <c r="U180" i="10"/>
  <c r="M179" i="10"/>
  <c r="Q176" i="10" s="1"/>
  <c r="K180" i="10"/>
  <c r="K181" i="10" s="1"/>
  <c r="CM183" i="10"/>
  <c r="CO181" i="10"/>
  <c r="CO183" i="10" s="1"/>
  <c r="BY180" i="10"/>
  <c r="M166" i="13"/>
  <c r="DO159" i="10"/>
  <c r="DO165" i="10" s="1"/>
  <c r="CO180" i="10"/>
  <c r="BW183" i="10"/>
  <c r="BY181" i="10"/>
  <c r="BY183" i="10" s="1"/>
  <c r="BI185" i="10"/>
  <c r="T104" i="11"/>
  <c r="U104" i="11"/>
  <c r="W104" i="11" s="1"/>
  <c r="Z104" i="11" s="1"/>
  <c r="Y104" i="11" s="1"/>
  <c r="V103" i="11"/>
  <c r="X103" i="11" s="1"/>
  <c r="L181" i="10"/>
  <c r="AR212" i="9"/>
  <c r="C212" i="9"/>
  <c r="H212" i="9"/>
  <c r="E277" i="15"/>
  <c r="AS126" i="9"/>
  <c r="D126" i="9"/>
  <c r="AT126" i="9" s="1"/>
  <c r="BG188" i="10"/>
  <c r="BI186" i="10"/>
  <c r="BI188" i="10" s="1"/>
  <c r="E133" i="25"/>
  <c r="I181" i="10"/>
  <c r="AK184" i="10"/>
  <c r="AI185" i="10"/>
  <c r="AI186" i="10" s="1"/>
  <c r="BA189" i="10"/>
  <c r="AY190" i="10"/>
  <c r="AY191" i="10" s="1"/>
  <c r="BP186" i="10"/>
  <c r="AR40" i="9"/>
  <c r="H40" i="9"/>
  <c r="C40" i="9"/>
  <c r="N110" i="17"/>
  <c r="N112" i="17" s="1"/>
  <c r="M112" i="17"/>
  <c r="BM181" i="10"/>
  <c r="BN181" i="10" s="1"/>
  <c r="E134" i="25"/>
  <c r="AS184" i="10"/>
  <c r="AQ185" i="10"/>
  <c r="AQ186" i="10" s="1"/>
  <c r="C188" i="10"/>
  <c r="E186" i="10"/>
  <c r="E188" i="10" s="1"/>
  <c r="V134" i="9"/>
  <c r="Q134" i="9"/>
  <c r="R134" i="9" s="1"/>
  <c r="E130" i="25"/>
  <c r="E269" i="14"/>
  <c r="E280" i="14"/>
  <c r="E223" i="14"/>
  <c r="E257" i="14" s="1"/>
  <c r="B107" i="11"/>
  <c r="C107" i="11"/>
  <c r="E107" i="11" s="1"/>
  <c r="H107" i="11" s="1"/>
  <c r="G107" i="11" s="1"/>
  <c r="D106" i="11"/>
  <c r="F106" i="11" s="1"/>
  <c r="CF186" i="10"/>
  <c r="H139" i="25"/>
  <c r="C109" i="22"/>
  <c r="AE135" i="9"/>
  <c r="AF135" i="9" s="1"/>
  <c r="AJ135" i="9"/>
  <c r="AK185" i="10"/>
  <c r="AJ186" i="10"/>
  <c r="AZ191" i="10"/>
  <c r="AA188" i="10"/>
  <c r="AC186" i="10"/>
  <c r="AC188" i="10" s="1"/>
  <c r="D138" i="25"/>
  <c r="D208" i="18"/>
  <c r="U47" i="9"/>
  <c r="W46" i="9"/>
  <c r="X46" i="9" s="1"/>
  <c r="Z46" i="9"/>
  <c r="L126" i="9"/>
  <c r="I126" i="9"/>
  <c r="AX126" i="9"/>
  <c r="G127" i="9"/>
  <c r="AW127" i="9" s="1"/>
  <c r="AI220" i="9"/>
  <c r="AK219" i="9"/>
  <c r="AL219" i="9" s="1"/>
  <c r="AN219" i="9"/>
  <c r="E185" i="10"/>
  <c r="AS185" i="10"/>
  <c r="AR186" i="10"/>
  <c r="L8" i="25"/>
  <c r="L19" i="18"/>
  <c r="M104" i="11"/>
  <c r="O104" i="11" s="1"/>
  <c r="L105" i="11"/>
  <c r="N105" i="11" s="1"/>
  <c r="Q105" i="11" s="1"/>
  <c r="P105" i="11" s="1"/>
  <c r="K105" i="11"/>
  <c r="F254" i="15"/>
  <c r="F245" i="14"/>
  <c r="E151" i="17"/>
  <c r="F256" i="15"/>
  <c r="E148" i="17"/>
  <c r="F244" i="14"/>
  <c r="F243" i="14"/>
  <c r="F241" i="14"/>
  <c r="E152" i="17"/>
  <c r="F242" i="14"/>
  <c r="F239" i="14"/>
  <c r="F238" i="14"/>
  <c r="F257" i="15"/>
  <c r="F253" i="15"/>
  <c r="F237" i="14"/>
  <c r="F240" i="14"/>
  <c r="F236" i="14"/>
  <c r="F255" i="15"/>
  <c r="K72" i="18"/>
  <c r="I283" i="15"/>
  <c r="J284" i="15"/>
  <c r="Q220" i="9"/>
  <c r="R220" i="9" s="1"/>
  <c r="V220" i="9"/>
  <c r="E33" i="22"/>
  <c r="AG47" i="9"/>
  <c r="AD47" i="9" s="1"/>
  <c r="AH46" i="9"/>
  <c r="AG181" i="10"/>
  <c r="AH181" i="10" s="1"/>
  <c r="C125" i="25"/>
  <c r="BQ184" i="10"/>
  <c r="BO185" i="10"/>
  <c r="BO186" i="10" s="1"/>
  <c r="E227" i="15"/>
  <c r="E270" i="15" s="1"/>
  <c r="BG37" i="9"/>
  <c r="BH37" i="9" s="1"/>
  <c r="CQ12" i="9"/>
  <c r="AC185" i="10"/>
  <c r="M116" i="17"/>
  <c r="N116" i="17" s="1"/>
  <c r="N98" i="25"/>
  <c r="O138" i="18"/>
  <c r="CG184" i="10"/>
  <c r="CE185" i="10"/>
  <c r="CE186" i="10" s="1"/>
  <c r="G139" i="25"/>
  <c r="H129" i="22"/>
  <c r="M142" i="17"/>
  <c r="F113" i="22"/>
  <c r="K51" i="25"/>
  <c r="K62" i="18"/>
  <c r="L56" i="18"/>
  <c r="M180" i="10" l="1"/>
  <c r="CZ176" i="10" s="1"/>
  <c r="U181" i="10"/>
  <c r="U183" i="10" s="1"/>
  <c r="S183" i="10"/>
  <c r="DA176" i="10"/>
  <c r="DG160" i="10" s="1"/>
  <c r="G107" i="22" s="1"/>
  <c r="CY181" i="10"/>
  <c r="U105" i="11"/>
  <c r="W105" i="11" s="1"/>
  <c r="Z105" i="11" s="1"/>
  <c r="Y105" i="11" s="1"/>
  <c r="T105" i="11"/>
  <c r="V104" i="11"/>
  <c r="X104" i="11" s="1"/>
  <c r="N169" i="13"/>
  <c r="N180" i="13" s="1"/>
  <c r="N194" i="18" s="1"/>
  <c r="M196" i="13"/>
  <c r="M168" i="13"/>
  <c r="M180" i="13" s="1"/>
  <c r="M194" i="18" s="1"/>
  <c r="O166" i="13"/>
  <c r="B79" i="2" s="1"/>
  <c r="H55" i="26" s="1"/>
  <c r="D152" i="31" s="1"/>
  <c r="D31" i="31" s="1"/>
  <c r="D34" i="31" s="1"/>
  <c r="CN183" i="10"/>
  <c r="CN184" i="10" s="1"/>
  <c r="CN185" i="10" s="1"/>
  <c r="CM184" i="10"/>
  <c r="BA190" i="10"/>
  <c r="E110" i="22"/>
  <c r="BX183" i="10"/>
  <c r="BX184" i="10" s="1"/>
  <c r="BX185" i="10" s="1"/>
  <c r="BW184" i="10"/>
  <c r="K183" i="10"/>
  <c r="M181" i="10"/>
  <c r="M183" i="10" s="1"/>
  <c r="BQ185" i="10"/>
  <c r="R176" i="10"/>
  <c r="CX176" i="10" s="1"/>
  <c r="CW176" i="10"/>
  <c r="DG158" i="10" s="1"/>
  <c r="BU181" i="10"/>
  <c r="BV181" i="10" s="1"/>
  <c r="U221" i="9"/>
  <c r="Z220" i="9"/>
  <c r="W220" i="9"/>
  <c r="X220" i="9" s="1"/>
  <c r="I210" i="18"/>
  <c r="F280" i="15"/>
  <c r="F252" i="15"/>
  <c r="F278" i="15"/>
  <c r="L106" i="11"/>
  <c r="N106" i="11" s="1"/>
  <c r="Q106" i="11" s="1"/>
  <c r="P106" i="11" s="1"/>
  <c r="K106" i="11"/>
  <c r="M105" i="11"/>
  <c r="O105" i="11" s="1"/>
  <c r="AH219" i="9"/>
  <c r="AG220" i="9"/>
  <c r="AD220" i="9" s="1"/>
  <c r="AY126" i="9"/>
  <c r="J126" i="9"/>
  <c r="AZ126" i="9" s="1"/>
  <c r="D137" i="25"/>
  <c r="B108" i="11"/>
  <c r="C108" i="11"/>
  <c r="E108" i="11" s="1"/>
  <c r="H108" i="11" s="1"/>
  <c r="G108" i="11" s="1"/>
  <c r="D107" i="11"/>
  <c r="F107" i="11" s="1"/>
  <c r="W134" i="9"/>
  <c r="X134" i="9" s="1"/>
  <c r="Z134" i="9"/>
  <c r="U135" i="9"/>
  <c r="AQ188" i="10"/>
  <c r="AS186" i="10"/>
  <c r="AS188" i="10" s="1"/>
  <c r="N118" i="17"/>
  <c r="N117" i="17"/>
  <c r="BA191" i="10"/>
  <c r="BA193" i="10" s="1"/>
  <c r="AY193" i="10"/>
  <c r="G213" i="9"/>
  <c r="AW213" i="9" s="1"/>
  <c r="AX212" i="9"/>
  <c r="I212" i="9"/>
  <c r="L212" i="9"/>
  <c r="F281" i="15"/>
  <c r="AA189" i="10"/>
  <c r="AB188" i="10"/>
  <c r="AB189" i="10" s="1"/>
  <c r="AB190" i="10" s="1"/>
  <c r="AW181" i="10"/>
  <c r="AX181" i="10" s="1"/>
  <c r="G41" i="9"/>
  <c r="L40" i="9"/>
  <c r="I40" i="9"/>
  <c r="AX40" i="9"/>
  <c r="CK181" i="10"/>
  <c r="CL181" i="10" s="1"/>
  <c r="K53" i="25"/>
  <c r="C39" i="23"/>
  <c r="O98" i="25"/>
  <c r="B32" i="2"/>
  <c r="BO188" i="10"/>
  <c r="BQ186" i="10"/>
  <c r="BQ188" i="10" s="1"/>
  <c r="G134" i="13"/>
  <c r="CE188" i="10"/>
  <c r="CG186" i="10"/>
  <c r="CG188" i="10" s="1"/>
  <c r="E37" i="22"/>
  <c r="J57" i="17"/>
  <c r="C12" i="3"/>
  <c r="D12" i="3" s="1"/>
  <c r="J7" i="27"/>
  <c r="L51" i="18"/>
  <c r="F235" i="14"/>
  <c r="F282" i="15"/>
  <c r="F205" i="18"/>
  <c r="F201" i="18"/>
  <c r="F279" i="15"/>
  <c r="E127" i="9"/>
  <c r="F126" i="9"/>
  <c r="AV126" i="9" s="1"/>
  <c r="BB126" i="9"/>
  <c r="CG185" i="10"/>
  <c r="AS40" i="9"/>
  <c r="D40" i="9"/>
  <c r="AT40" i="9" s="1"/>
  <c r="AO181" i="10"/>
  <c r="AP181" i="10" s="1"/>
  <c r="AS212" i="9"/>
  <c r="D212" i="9"/>
  <c r="AT212" i="9" s="1"/>
  <c r="S47" i="9"/>
  <c r="P47" i="9" s="1"/>
  <c r="T46" i="9"/>
  <c r="BE186" i="10"/>
  <c r="BF186" i="10" s="1"/>
  <c r="J181" i="10"/>
  <c r="L47" i="25"/>
  <c r="AE47" i="9"/>
  <c r="AF47" i="9" s="1"/>
  <c r="AJ47" i="9"/>
  <c r="J283" i="15"/>
  <c r="J210" i="18" s="1"/>
  <c r="K284" i="15"/>
  <c r="F204" i="18"/>
  <c r="I13" i="3"/>
  <c r="L11" i="25"/>
  <c r="DG161" i="10"/>
  <c r="AI136" i="9"/>
  <c r="AK135" i="9"/>
  <c r="AL135" i="9" s="1"/>
  <c r="AN135" i="9"/>
  <c r="E211" i="18"/>
  <c r="D188" i="10"/>
  <c r="D189" i="10" s="1"/>
  <c r="D190" i="10" s="1"/>
  <c r="C189" i="10"/>
  <c r="M113" i="17"/>
  <c r="M114" i="17"/>
  <c r="AK186" i="10"/>
  <c r="AK188" i="10" s="1"/>
  <c r="AI188" i="10"/>
  <c r="BH188" i="10"/>
  <c r="BH189" i="10" s="1"/>
  <c r="BH190" i="10" s="1"/>
  <c r="BG189" i="10"/>
  <c r="E289" i="15"/>
  <c r="S184" i="10" l="1"/>
  <c r="T183" i="10"/>
  <c r="T184" i="10" s="1"/>
  <c r="T185" i="10" s="1"/>
  <c r="U106" i="11"/>
  <c r="W106" i="11" s="1"/>
  <c r="Z106" i="11" s="1"/>
  <c r="Y106" i="11" s="1"/>
  <c r="V105" i="11"/>
  <c r="X105" i="11" s="1"/>
  <c r="T106" i="11"/>
  <c r="BY184" i="10"/>
  <c r="CC181" i="10" s="1"/>
  <c r="CD181" i="10" s="1"/>
  <c r="BW185" i="10"/>
  <c r="BW186" i="10" s="1"/>
  <c r="CO184" i="10"/>
  <c r="CS181" i="10" s="1"/>
  <c r="CT181" i="10" s="1"/>
  <c r="CM185" i="10"/>
  <c r="CM186" i="10" s="1"/>
  <c r="L142" i="17"/>
  <c r="N142" i="17" s="1"/>
  <c r="G129" i="22"/>
  <c r="I129" i="22" s="1"/>
  <c r="O196" i="13"/>
  <c r="L183" i="10"/>
  <c r="L184" i="10" s="1"/>
  <c r="L185" i="10" s="1"/>
  <c r="K184" i="10"/>
  <c r="BX186" i="10"/>
  <c r="BY185" i="10"/>
  <c r="CO185" i="10"/>
  <c r="CN186" i="10"/>
  <c r="N123" i="25"/>
  <c r="N193" i="18"/>
  <c r="N122" i="25" s="1"/>
  <c r="M123" i="25"/>
  <c r="M193" i="18"/>
  <c r="O194" i="18"/>
  <c r="O123" i="25" s="1"/>
  <c r="AI48" i="9"/>
  <c r="AK47" i="9"/>
  <c r="AL47" i="9" s="1"/>
  <c r="AN47" i="9"/>
  <c r="AQ189" i="10"/>
  <c r="AR188" i="10"/>
  <c r="AR189" i="10" s="1"/>
  <c r="AR190" i="10" s="1"/>
  <c r="BH191" i="10"/>
  <c r="E140" i="25"/>
  <c r="E209" i="18"/>
  <c r="J12" i="27"/>
  <c r="G136" i="13"/>
  <c r="G148" i="13" s="1"/>
  <c r="G184" i="18" s="1"/>
  <c r="J139" i="13"/>
  <c r="K140" i="13"/>
  <c r="H137" i="13"/>
  <c r="M142" i="13"/>
  <c r="L141" i="13"/>
  <c r="G164" i="13"/>
  <c r="I138" i="13"/>
  <c r="N143" i="13"/>
  <c r="AW41" i="9"/>
  <c r="D198" i="18"/>
  <c r="C145" i="17"/>
  <c r="AC189" i="10"/>
  <c r="AA190" i="10"/>
  <c r="AA191" i="10" s="1"/>
  <c r="AY212" i="9"/>
  <c r="J212" i="9"/>
  <c r="AZ212" i="9" s="1"/>
  <c r="T134" i="9"/>
  <c r="S135" i="9"/>
  <c r="P135" i="9" s="1"/>
  <c r="AJ220" i="9"/>
  <c r="AE220" i="9"/>
  <c r="AF220" i="9" s="1"/>
  <c r="BI189" i="10"/>
  <c r="BG190" i="10"/>
  <c r="BG191" i="10" s="1"/>
  <c r="CF188" i="10"/>
  <c r="CF189" i="10" s="1"/>
  <c r="CF190" i="10" s="1"/>
  <c r="CE189" i="10"/>
  <c r="AY40" i="9"/>
  <c r="J40" i="9"/>
  <c r="AZ40" i="9" s="1"/>
  <c r="F62" i="26"/>
  <c r="C159" i="31" s="1"/>
  <c r="C228" i="18"/>
  <c r="AJ188" i="10"/>
  <c r="AJ189" i="10" s="1"/>
  <c r="AJ190" i="10" s="1"/>
  <c r="AI189" i="10"/>
  <c r="E189" i="10"/>
  <c r="C190" i="10"/>
  <c r="C191" i="10" s="1"/>
  <c r="F133" i="25"/>
  <c r="CQ14" i="9"/>
  <c r="BK37" i="9"/>
  <c r="F134" i="25"/>
  <c r="F280" i="14"/>
  <c r="F269" i="14"/>
  <c r="F223" i="14"/>
  <c r="F257" i="14" s="1"/>
  <c r="D108" i="11"/>
  <c r="F108" i="11" s="1"/>
  <c r="B109" i="11"/>
  <c r="C109" i="11"/>
  <c r="E109" i="11" s="1"/>
  <c r="H109" i="11" s="1"/>
  <c r="G109" i="11" s="1"/>
  <c r="S221" i="9"/>
  <c r="P221" i="9" s="1"/>
  <c r="T220" i="9"/>
  <c r="D191" i="10"/>
  <c r="E190" i="10"/>
  <c r="K283" i="15"/>
  <c r="K210" i="18" s="1"/>
  <c r="L284" i="15"/>
  <c r="AU127" i="9"/>
  <c r="B127" i="9"/>
  <c r="F277" i="15"/>
  <c r="F289" i="15" s="1"/>
  <c r="AG136" i="9"/>
  <c r="AD136" i="9" s="1"/>
  <c r="AH135" i="9"/>
  <c r="F174" i="17"/>
  <c r="J139" i="25"/>
  <c r="Q47" i="9"/>
  <c r="R47" i="9" s="1"/>
  <c r="V47" i="9"/>
  <c r="F130" i="25"/>
  <c r="L42" i="25"/>
  <c r="F44" i="22"/>
  <c r="L54" i="18"/>
  <c r="O51" i="18"/>
  <c r="E40" i="22"/>
  <c r="BO189" i="10"/>
  <c r="BP188" i="10"/>
  <c r="BP189" i="10" s="1"/>
  <c r="BP190" i="10" s="1"/>
  <c r="D185" i="31"/>
  <c r="F12" i="21"/>
  <c r="E41" i="9"/>
  <c r="F40" i="9"/>
  <c r="AV40" i="9" s="1"/>
  <c r="BB40" i="9"/>
  <c r="AB191" i="10"/>
  <c r="AC190" i="10"/>
  <c r="E213" i="9"/>
  <c r="BB212" i="9"/>
  <c r="F212" i="9"/>
  <c r="AV212" i="9" s="1"/>
  <c r="AY194" i="10"/>
  <c r="AZ193" i="10"/>
  <c r="AZ194" i="10" s="1"/>
  <c r="AZ195" i="10" s="1"/>
  <c r="B183" i="17"/>
  <c r="M106" i="11"/>
  <c r="O106" i="11" s="1"/>
  <c r="L107" i="11"/>
  <c r="N107" i="11" s="1"/>
  <c r="Q107" i="11" s="1"/>
  <c r="P107" i="11" s="1"/>
  <c r="K107" i="11"/>
  <c r="F227" i="15"/>
  <c r="F270" i="15" s="1"/>
  <c r="I139" i="25"/>
  <c r="T186" i="10" l="1"/>
  <c r="U184" i="10"/>
  <c r="Y181" i="10" s="1"/>
  <c r="Z181" i="10" s="1"/>
  <c r="S185" i="10"/>
  <c r="S186" i="10" s="1"/>
  <c r="L186" i="10"/>
  <c r="CM188" i="10"/>
  <c r="CO186" i="10"/>
  <c r="CO188" i="10" s="1"/>
  <c r="T107" i="11"/>
  <c r="U107" i="11"/>
  <c r="W107" i="11" s="1"/>
  <c r="Z107" i="11" s="1"/>
  <c r="Y107" i="11" s="1"/>
  <c r="V106" i="11"/>
  <c r="X106" i="11" s="1"/>
  <c r="F110" i="22"/>
  <c r="M122" i="25"/>
  <c r="O193" i="18"/>
  <c r="M184" i="10"/>
  <c r="Q181" i="10" s="1"/>
  <c r="K185" i="10"/>
  <c r="K186" i="10" s="1"/>
  <c r="BW188" i="10"/>
  <c r="BY186" i="10"/>
  <c r="BY188" i="10" s="1"/>
  <c r="BA194" i="10"/>
  <c r="AY195" i="10"/>
  <c r="AY196" i="10" s="1"/>
  <c r="B176" i="17"/>
  <c r="C223" i="18"/>
  <c r="BM186" i="10"/>
  <c r="BN186" i="10" s="1"/>
  <c r="BA195" i="10"/>
  <c r="AZ196" i="10"/>
  <c r="B213" i="9"/>
  <c r="AU213" i="9"/>
  <c r="B41" i="9"/>
  <c r="AU41" i="9"/>
  <c r="BQ189" i="10"/>
  <c r="BO190" i="10"/>
  <c r="BO191" i="10" s="1"/>
  <c r="J13" i="3"/>
  <c r="L45" i="25"/>
  <c r="K4" i="24" s="1"/>
  <c r="K5" i="24" s="1"/>
  <c r="K6" i="24" s="1"/>
  <c r="O54" i="18"/>
  <c r="L57" i="18"/>
  <c r="B110" i="11"/>
  <c r="D109" i="11"/>
  <c r="F109" i="11" s="1"/>
  <c r="C110" i="11"/>
  <c r="E110" i="11" s="1"/>
  <c r="H110" i="11" s="1"/>
  <c r="G110" i="11" s="1"/>
  <c r="C193" i="10"/>
  <c r="E191" i="10"/>
  <c r="E193" i="10" s="1"/>
  <c r="AJ191" i="10"/>
  <c r="CQ17" i="9"/>
  <c r="BM37" i="9"/>
  <c r="V135" i="9"/>
  <c r="Q135" i="9"/>
  <c r="R135" i="9" s="1"/>
  <c r="AC191" i="10"/>
  <c r="AC193" i="10" s="1"/>
  <c r="AA193" i="10"/>
  <c r="D127" i="25"/>
  <c r="D196" i="18"/>
  <c r="G113" i="25"/>
  <c r="BI190" i="10"/>
  <c r="AS189" i="10"/>
  <c r="AQ190" i="10"/>
  <c r="AQ191" i="10" s="1"/>
  <c r="E43" i="22"/>
  <c r="Z47" i="9"/>
  <c r="W47" i="9"/>
  <c r="X47" i="9" s="1"/>
  <c r="U48" i="9"/>
  <c r="AJ136" i="9"/>
  <c r="AE136" i="9"/>
  <c r="AF136" i="9" s="1"/>
  <c r="C127" i="9"/>
  <c r="AR127" i="9"/>
  <c r="H127" i="9"/>
  <c r="K139" i="25"/>
  <c r="V221" i="9"/>
  <c r="Q221" i="9"/>
  <c r="R221" i="9" s="1"/>
  <c r="I186" i="10"/>
  <c r="C157" i="25"/>
  <c r="CG189" i="10"/>
  <c r="CE190" i="10"/>
  <c r="CE191" i="10" s="1"/>
  <c r="AG186" i="10"/>
  <c r="AH186" i="10" s="1"/>
  <c r="G100" i="22"/>
  <c r="F141" i="17"/>
  <c r="E138" i="25"/>
  <c r="E208" i="18"/>
  <c r="K58" i="17"/>
  <c r="N58" i="17" s="1"/>
  <c r="I44" i="22"/>
  <c r="L283" i="15"/>
  <c r="L210" i="18" s="1"/>
  <c r="M284" i="15"/>
  <c r="CQ16" i="9"/>
  <c r="BL37" i="9"/>
  <c r="BI38" i="9"/>
  <c r="BJ38" i="9" s="1"/>
  <c r="CR13" i="9"/>
  <c r="L108" i="11"/>
  <c r="N108" i="11" s="1"/>
  <c r="Q108" i="11" s="1"/>
  <c r="P108" i="11" s="1"/>
  <c r="M107" i="11"/>
  <c r="O107" i="11" s="1"/>
  <c r="K108" i="11"/>
  <c r="BP191" i="10"/>
  <c r="O42" i="25"/>
  <c r="B37" i="23"/>
  <c r="F211" i="18"/>
  <c r="AK189" i="10"/>
  <c r="AI190" i="10"/>
  <c r="AI191" i="10" s="1"/>
  <c r="CF191" i="10"/>
  <c r="BI191" i="10"/>
  <c r="BI193" i="10" s="1"/>
  <c r="BG193" i="10"/>
  <c r="AN220" i="9"/>
  <c r="AI221" i="9"/>
  <c r="AK220" i="9"/>
  <c r="AL220" i="9" s="1"/>
  <c r="C143" i="17"/>
  <c r="AS190" i="10"/>
  <c r="AR191" i="10"/>
  <c r="AG48" i="9"/>
  <c r="AD48" i="9" s="1"/>
  <c r="AH47" i="9"/>
  <c r="CG190" i="10" l="1"/>
  <c r="M185" i="10"/>
  <c r="S188" i="10"/>
  <c r="U186" i="10"/>
  <c r="U188" i="10" s="1"/>
  <c r="CQ18" i="9"/>
  <c r="U185" i="10"/>
  <c r="BW189" i="10"/>
  <c r="BX188" i="10"/>
  <c r="BX189" i="10" s="1"/>
  <c r="BX190" i="10" s="1"/>
  <c r="V107" i="11"/>
  <c r="X107" i="11" s="1"/>
  <c r="U108" i="11"/>
  <c r="W108" i="11" s="1"/>
  <c r="Z108" i="11" s="1"/>
  <c r="Y108" i="11" s="1"/>
  <c r="T108" i="11"/>
  <c r="K188" i="10"/>
  <c r="M186" i="10"/>
  <c r="M188" i="10" s="1"/>
  <c r="O122" i="25"/>
  <c r="D11" i="23"/>
  <c r="CM189" i="10"/>
  <c r="CN188" i="10"/>
  <c r="CN189" i="10" s="1"/>
  <c r="CN190" i="10" s="1"/>
  <c r="R181" i="10"/>
  <c r="CX181" i="10" s="1"/>
  <c r="DH161" i="10" s="1"/>
  <c r="G174" i="17" s="1"/>
  <c r="CW181" i="10"/>
  <c r="DH158" i="10" s="1"/>
  <c r="H134" i="13" s="1"/>
  <c r="AK191" i="10"/>
  <c r="AK193" i="10" s="1"/>
  <c r="AI193" i="10"/>
  <c r="W221" i="9"/>
  <c r="X221" i="9" s="1"/>
  <c r="Z221" i="9"/>
  <c r="U222" i="9"/>
  <c r="E45" i="22"/>
  <c r="AB193" i="10"/>
  <c r="AB194" i="10" s="1"/>
  <c r="AB195" i="10" s="1"/>
  <c r="AA194" i="10"/>
  <c r="AH220" i="9"/>
  <c r="AG221" i="9"/>
  <c r="AD221" i="9" s="1"/>
  <c r="AO186" i="10"/>
  <c r="AP186" i="10" s="1"/>
  <c r="F140" i="25"/>
  <c r="F209" i="18"/>
  <c r="BQ190" i="10"/>
  <c r="AJ48" i="9"/>
  <c r="AE48" i="9"/>
  <c r="AF48" i="9" s="1"/>
  <c r="D109" i="22"/>
  <c r="CK186" i="10"/>
  <c r="CL186" i="10" s="1"/>
  <c r="J186" i="10"/>
  <c r="I127" i="9"/>
  <c r="L127" i="9"/>
  <c r="AX127" i="9"/>
  <c r="G128" i="9"/>
  <c r="AW128" i="9" s="1"/>
  <c r="AN136" i="9"/>
  <c r="AI137" i="9"/>
  <c r="AK136" i="9"/>
  <c r="AL136" i="9" s="1"/>
  <c r="AQ193" i="10"/>
  <c r="AS191" i="10"/>
  <c r="AS193" i="10" s="1"/>
  <c r="BG38" i="9"/>
  <c r="BH38" i="9" s="1"/>
  <c r="CR12" i="9"/>
  <c r="C152" i="25"/>
  <c r="B182" i="17"/>
  <c r="BE191" i="10"/>
  <c r="BF191" i="10" s="1"/>
  <c r="K109" i="11"/>
  <c r="M108" i="11"/>
  <c r="O108" i="11" s="1"/>
  <c r="L109" i="11"/>
  <c r="N109" i="11" s="1"/>
  <c r="Q109" i="11" s="1"/>
  <c r="P109" i="11" s="1"/>
  <c r="C194" i="10"/>
  <c r="D193" i="10"/>
  <c r="D194" i="10" s="1"/>
  <c r="D195" i="10" s="1"/>
  <c r="L48" i="25"/>
  <c r="L59" i="18"/>
  <c r="BQ191" i="10"/>
  <c r="BQ193" i="10" s="1"/>
  <c r="BO193" i="10"/>
  <c r="C41" i="9"/>
  <c r="AR41" i="9"/>
  <c r="H41" i="9"/>
  <c r="L139" i="25"/>
  <c r="G254" i="15"/>
  <c r="F151" i="17"/>
  <c r="G245" i="14"/>
  <c r="G244" i="14"/>
  <c r="F148" i="17"/>
  <c r="G256" i="15"/>
  <c r="G241" i="14"/>
  <c r="G257" i="15"/>
  <c r="G239" i="14"/>
  <c r="F152" i="17"/>
  <c r="G253" i="15"/>
  <c r="G240" i="14"/>
  <c r="G242" i="14"/>
  <c r="G243" i="14"/>
  <c r="G237" i="14"/>
  <c r="G238" i="14"/>
  <c r="G236" i="14"/>
  <c r="G255" i="15"/>
  <c r="CG191" i="10"/>
  <c r="CG193" i="10" s="1"/>
  <c r="CE193" i="10"/>
  <c r="AS127" i="9"/>
  <c r="D127" i="9"/>
  <c r="AT127" i="9" s="1"/>
  <c r="AW186" i="10"/>
  <c r="AX186" i="10" s="1"/>
  <c r="AK190" i="10"/>
  <c r="B40" i="23"/>
  <c r="O45" i="25"/>
  <c r="AY198" i="10"/>
  <c r="BA196" i="10"/>
  <c r="BA198" i="10" s="1"/>
  <c r="BH193" i="10"/>
  <c r="BH194" i="10" s="1"/>
  <c r="BH195" i="10" s="1"/>
  <c r="BG194" i="10"/>
  <c r="M283" i="15"/>
  <c r="M210" i="18" s="1"/>
  <c r="N284" i="15"/>
  <c r="U136" i="9"/>
  <c r="Z135" i="9"/>
  <c r="W135" i="9"/>
  <c r="X135" i="9" s="1"/>
  <c r="C111" i="11"/>
  <c r="E111" i="11" s="1"/>
  <c r="H111" i="11" s="1"/>
  <c r="G111" i="11" s="1"/>
  <c r="B111" i="11"/>
  <c r="D110" i="11"/>
  <c r="F110" i="11" s="1"/>
  <c r="B190" i="31"/>
  <c r="B21" i="21"/>
  <c r="B32" i="28"/>
  <c r="E137" i="25"/>
  <c r="G113" i="22"/>
  <c r="T47" i="9"/>
  <c r="S48" i="9"/>
  <c r="P48" i="9" s="1"/>
  <c r="D125" i="25"/>
  <c r="L6" i="24"/>
  <c r="BU186" i="10"/>
  <c r="BV186" i="10" s="1"/>
  <c r="AR213" i="9"/>
  <c r="H213" i="9"/>
  <c r="C213" i="9"/>
  <c r="S189" i="10" l="1"/>
  <c r="T188" i="10"/>
  <c r="T189" i="10" s="1"/>
  <c r="T190" i="10" s="1"/>
  <c r="CZ181" i="10"/>
  <c r="K139" i="13"/>
  <c r="N142" i="13"/>
  <c r="I137" i="13"/>
  <c r="J138" i="13"/>
  <c r="H136" i="13"/>
  <c r="H148" i="13" s="1"/>
  <c r="H184" i="18" s="1"/>
  <c r="H113" i="25" s="1"/>
  <c r="H164" i="13"/>
  <c r="M141" i="13"/>
  <c r="L140" i="13"/>
  <c r="L188" i="10"/>
  <c r="L189" i="10" s="1"/>
  <c r="L190" i="10" s="1"/>
  <c r="K189" i="10"/>
  <c r="CO190" i="10"/>
  <c r="CN191" i="10"/>
  <c r="BX191" i="10"/>
  <c r="CO189" i="10"/>
  <c r="CS186" i="10" s="1"/>
  <c r="CT186" i="10" s="1"/>
  <c r="CM190" i="10"/>
  <c r="CM191" i="10" s="1"/>
  <c r="U109" i="11"/>
  <c r="W109" i="11" s="1"/>
  <c r="Z109" i="11" s="1"/>
  <c r="Y109" i="11" s="1"/>
  <c r="V108" i="11"/>
  <c r="X108" i="11" s="1"/>
  <c r="T109" i="11"/>
  <c r="BY189" i="10"/>
  <c r="CC186" i="10" s="1"/>
  <c r="CD186" i="10" s="1"/>
  <c r="BW190" i="10"/>
  <c r="BW191" i="10" s="1"/>
  <c r="G279" i="15"/>
  <c r="N283" i="15"/>
  <c r="O284" i="15"/>
  <c r="G252" i="15"/>
  <c r="G278" i="15"/>
  <c r="G42" i="9"/>
  <c r="L41" i="9"/>
  <c r="AX41" i="9"/>
  <c r="I41" i="9"/>
  <c r="D213" i="9"/>
  <c r="AT213" i="9" s="1"/>
  <c r="AS213" i="9"/>
  <c r="V48" i="9"/>
  <c r="Q48" i="9"/>
  <c r="R48" i="9" s="1"/>
  <c r="M32" i="28"/>
  <c r="I32" i="28"/>
  <c r="J32" i="28"/>
  <c r="L32" i="28"/>
  <c r="B34" i="28"/>
  <c r="C112" i="11"/>
  <c r="E112" i="11" s="1"/>
  <c r="H112" i="11" s="1"/>
  <c r="G112" i="11" s="1"/>
  <c r="B112" i="11"/>
  <c r="D111" i="11"/>
  <c r="F111" i="11" s="1"/>
  <c r="M139" i="25"/>
  <c r="CE194" i="10"/>
  <c r="CF193" i="10"/>
  <c r="CF194" i="10" s="1"/>
  <c r="CF195" i="10" s="1"/>
  <c r="G280" i="15"/>
  <c r="G205" i="18"/>
  <c r="G281" i="15"/>
  <c r="G204" i="18"/>
  <c r="L110" i="11"/>
  <c r="N110" i="11" s="1"/>
  <c r="Q110" i="11" s="1"/>
  <c r="P110" i="11" s="1"/>
  <c r="K110" i="11"/>
  <c r="M109" i="11"/>
  <c r="O109" i="11" s="1"/>
  <c r="AG137" i="9"/>
  <c r="AD137" i="9" s="1"/>
  <c r="AH136" i="9"/>
  <c r="AY127" i="9"/>
  <c r="J127" i="9"/>
  <c r="AZ127" i="9" s="1"/>
  <c r="AN48" i="9"/>
  <c r="AK48" i="9"/>
  <c r="AL48" i="9" s="1"/>
  <c r="AI49" i="9"/>
  <c r="G214" i="9"/>
  <c r="AW214" i="9" s="1"/>
  <c r="AX213" i="9"/>
  <c r="L213" i="9"/>
  <c r="I213" i="9"/>
  <c r="AZ198" i="10"/>
  <c r="AZ199" i="10" s="1"/>
  <c r="AZ200" i="10" s="1"/>
  <c r="AY199" i="10"/>
  <c r="D41" i="9"/>
  <c r="AT41" i="9" s="1"/>
  <c r="AS41" i="9"/>
  <c r="L50" i="25"/>
  <c r="L70" i="18"/>
  <c r="L71" i="18"/>
  <c r="L61" i="18" s="1"/>
  <c r="L82" i="18"/>
  <c r="D196" i="10"/>
  <c r="AC194" i="10"/>
  <c r="AA195" i="10"/>
  <c r="AA196" i="10" s="1"/>
  <c r="AI194" i="10"/>
  <c r="AJ193" i="10"/>
  <c r="AJ194" i="10" s="1"/>
  <c r="AJ195" i="10" s="1"/>
  <c r="B67" i="31"/>
  <c r="B42" i="31"/>
  <c r="B44" i="31" s="1"/>
  <c r="B65" i="31"/>
  <c r="B66" i="31"/>
  <c r="BH196" i="10"/>
  <c r="G282" i="15"/>
  <c r="BP193" i="10"/>
  <c r="BP194" i="10" s="1"/>
  <c r="BP195" i="10" s="1"/>
  <c r="BO194" i="10"/>
  <c r="E194" i="10"/>
  <c r="C195" i="10"/>
  <c r="C196" i="10" s="1"/>
  <c r="AB196" i="10"/>
  <c r="T221" i="9"/>
  <c r="S222" i="9"/>
  <c r="P222" i="9" s="1"/>
  <c r="M6" i="24"/>
  <c r="BI194" i="10"/>
  <c r="BG195" i="10"/>
  <c r="BG196" i="10" s="1"/>
  <c r="G235" i="14"/>
  <c r="G201" i="18"/>
  <c r="T135" i="9"/>
  <c r="S136" i="9"/>
  <c r="P136" i="9" s="1"/>
  <c r="AR193" i="10"/>
  <c r="AR194" i="10" s="1"/>
  <c r="AR195" i="10" s="1"/>
  <c r="AQ194" i="10"/>
  <c r="BB127" i="9"/>
  <c r="F127" i="9"/>
  <c r="AV127" i="9" s="1"/>
  <c r="E128" i="9"/>
  <c r="F208" i="18"/>
  <c r="F138" i="25"/>
  <c r="AE221" i="9"/>
  <c r="AF221" i="9" s="1"/>
  <c r="AJ221" i="9"/>
  <c r="BI195" i="10" l="1"/>
  <c r="CY186" i="10"/>
  <c r="DA181" i="10"/>
  <c r="DH160" i="10" s="1"/>
  <c r="H107" i="22" s="1"/>
  <c r="I107" i="22" s="1"/>
  <c r="T191" i="10"/>
  <c r="BY190" i="10"/>
  <c r="U189" i="10"/>
  <c r="Y186" i="10" s="1"/>
  <c r="Z186" i="10" s="1"/>
  <c r="S190" i="10"/>
  <c r="S191" i="10" s="1"/>
  <c r="T110" i="11"/>
  <c r="V109" i="11"/>
  <c r="X109" i="11" s="1"/>
  <c r="U110" i="11"/>
  <c r="W110" i="11" s="1"/>
  <c r="Z110" i="11" s="1"/>
  <c r="Y110" i="11" s="1"/>
  <c r="E195" i="10"/>
  <c r="BY191" i="10"/>
  <c r="BY193" i="10" s="1"/>
  <c r="BW193" i="10"/>
  <c r="M189" i="10"/>
  <c r="Q186" i="10" s="1"/>
  <c r="K190" i="10"/>
  <c r="K191" i="10" s="1"/>
  <c r="G141" i="17"/>
  <c r="H100" i="22"/>
  <c r="AC195" i="10"/>
  <c r="CM193" i="10"/>
  <c r="CO191" i="10"/>
  <c r="CO193" i="10" s="1"/>
  <c r="L191" i="10"/>
  <c r="B128" i="9"/>
  <c r="AU128" i="9"/>
  <c r="BI196" i="10"/>
  <c r="BI198" i="10" s="1"/>
  <c r="BG198" i="10"/>
  <c r="B7" i="24"/>
  <c r="M8" i="24" s="1"/>
  <c r="M9" i="24" s="1"/>
  <c r="AI222" i="9"/>
  <c r="AK221" i="9"/>
  <c r="AL221" i="9" s="1"/>
  <c r="AN221" i="9"/>
  <c r="F137" i="25"/>
  <c r="AS194" i="10"/>
  <c r="AQ195" i="10"/>
  <c r="AQ196" i="10" s="1"/>
  <c r="G130" i="25"/>
  <c r="V222" i="9"/>
  <c r="Q222" i="9"/>
  <c r="R222" i="9" s="1"/>
  <c r="I191" i="10"/>
  <c r="AJ196" i="10"/>
  <c r="AG191" i="10"/>
  <c r="AH191" i="10" s="1"/>
  <c r="L52" i="25"/>
  <c r="CR14" i="9"/>
  <c r="BK38" i="9"/>
  <c r="AY213" i="9"/>
  <c r="J213" i="9"/>
  <c r="AZ213" i="9" s="1"/>
  <c r="AG49" i="9"/>
  <c r="AD49" i="9" s="1"/>
  <c r="AH48" i="9"/>
  <c r="G133" i="25"/>
  <c r="G134" i="25"/>
  <c r="CG194" i="10"/>
  <c r="CE195" i="10"/>
  <c r="CE196" i="10" s="1"/>
  <c r="C113" i="11"/>
  <c r="E113" i="11" s="1"/>
  <c r="H113" i="11" s="1"/>
  <c r="G113" i="11" s="1"/>
  <c r="B113" i="11"/>
  <c r="D112" i="11"/>
  <c r="F112" i="11" s="1"/>
  <c r="AW42" i="9"/>
  <c r="E198" i="18"/>
  <c r="D145" i="17"/>
  <c r="AK194" i="10"/>
  <c r="AI195" i="10"/>
  <c r="AI196" i="10" s="1"/>
  <c r="AE137" i="9"/>
  <c r="AF137" i="9" s="1"/>
  <c r="AJ137" i="9"/>
  <c r="N210" i="18"/>
  <c r="O283" i="15"/>
  <c r="Q136" i="9"/>
  <c r="R136" i="9" s="1"/>
  <c r="V136" i="9"/>
  <c r="G280" i="14"/>
  <c r="G269" i="14"/>
  <c r="G223" i="14"/>
  <c r="G257" i="14" s="1"/>
  <c r="C198" i="10"/>
  <c r="E196" i="10"/>
  <c r="E198" i="10" s="1"/>
  <c r="BP196" i="10"/>
  <c r="AC196" i="10"/>
  <c r="AC198" i="10" s="1"/>
  <c r="AA198" i="10"/>
  <c r="BA199" i="10"/>
  <c r="AY200" i="10"/>
  <c r="AY201" i="10" s="1"/>
  <c r="B9" i="29"/>
  <c r="B3" i="27"/>
  <c r="B14" i="27" s="1"/>
  <c r="G277" i="15"/>
  <c r="G289" i="15" s="1"/>
  <c r="AR196" i="10"/>
  <c r="AS195" i="10"/>
  <c r="BM191" i="10"/>
  <c r="BN191" i="10" s="1"/>
  <c r="BQ194" i="10"/>
  <c r="BO195" i="10"/>
  <c r="BO196" i="10" s="1"/>
  <c r="L60" i="18"/>
  <c r="L73" i="18"/>
  <c r="BB213" i="9"/>
  <c r="F213" i="9"/>
  <c r="AV213" i="9" s="1"/>
  <c r="E214" i="9"/>
  <c r="Z48" i="9"/>
  <c r="W48" i="9"/>
  <c r="X48" i="9" s="1"/>
  <c r="U49" i="9"/>
  <c r="AY41" i="9"/>
  <c r="J41" i="9"/>
  <c r="AZ41" i="9" s="1"/>
  <c r="L83" i="18"/>
  <c r="L84" i="18" s="1"/>
  <c r="M16" i="18" s="1"/>
  <c r="F32" i="22"/>
  <c r="F33" i="22" s="1"/>
  <c r="AZ201" i="10"/>
  <c r="L111" i="11"/>
  <c r="N111" i="11" s="1"/>
  <c r="Q111" i="11" s="1"/>
  <c r="P111" i="11" s="1"/>
  <c r="K111" i="11"/>
  <c r="M110" i="11"/>
  <c r="O110" i="11" s="1"/>
  <c r="CF196" i="10"/>
  <c r="CG195" i="10"/>
  <c r="BB41" i="9"/>
  <c r="E42" i="9"/>
  <c r="F41" i="9"/>
  <c r="AV41" i="9" s="1"/>
  <c r="G227" i="15"/>
  <c r="G270" i="15" s="1"/>
  <c r="S193" i="10" l="1"/>
  <c r="U191" i="10"/>
  <c r="U193" i="10" s="1"/>
  <c r="U190" i="10"/>
  <c r="H113" i="22"/>
  <c r="I113" i="22" s="1"/>
  <c r="I100" i="22"/>
  <c r="BA200" i="10"/>
  <c r="H244" i="14"/>
  <c r="G151" i="17"/>
  <c r="H204" i="18" s="1"/>
  <c r="H133" i="25" s="1"/>
  <c r="H240" i="14"/>
  <c r="H237" i="14"/>
  <c r="H255" i="15"/>
  <c r="H280" i="15" s="1"/>
  <c r="H254" i="15"/>
  <c r="H279" i="15" s="1"/>
  <c r="H236" i="14"/>
  <c r="H256" i="15"/>
  <c r="H281" i="15" s="1"/>
  <c r="H239" i="14"/>
  <c r="H243" i="14"/>
  <c r="H253" i="15"/>
  <c r="H242" i="14"/>
  <c r="H238" i="14"/>
  <c r="G148" i="17"/>
  <c r="H201" i="18" s="1"/>
  <c r="H130" i="25" s="1"/>
  <c r="G152" i="17"/>
  <c r="H205" i="18" s="1"/>
  <c r="H134" i="25" s="1"/>
  <c r="H245" i="14"/>
  <c r="H241" i="14"/>
  <c r="H257" i="15"/>
  <c r="H282" i="15" s="1"/>
  <c r="BW194" i="10"/>
  <c r="BX193" i="10"/>
  <c r="BX194" i="10" s="1"/>
  <c r="BX195" i="10" s="1"/>
  <c r="CN193" i="10"/>
  <c r="CN194" i="10" s="1"/>
  <c r="CN195" i="10" s="1"/>
  <c r="CM194" i="10"/>
  <c r="K193" i="10"/>
  <c r="M191" i="10"/>
  <c r="M193" i="10" s="1"/>
  <c r="T111" i="11"/>
  <c r="U111" i="11"/>
  <c r="W111" i="11" s="1"/>
  <c r="Z111" i="11" s="1"/>
  <c r="Y111" i="11" s="1"/>
  <c r="V110" i="11"/>
  <c r="X110" i="11" s="1"/>
  <c r="M190" i="10"/>
  <c r="CZ186" i="10" s="1"/>
  <c r="R186" i="10"/>
  <c r="CX186" i="10" s="1"/>
  <c r="DI161" i="10" s="1"/>
  <c r="H174" i="17" s="1"/>
  <c r="CW186" i="10"/>
  <c r="DI158" i="10" s="1"/>
  <c r="I134" i="13" s="1"/>
  <c r="N139" i="25"/>
  <c r="O210" i="18"/>
  <c r="AO191" i="10"/>
  <c r="AP191" i="10" s="1"/>
  <c r="F37" i="22"/>
  <c r="F40" i="22" s="1"/>
  <c r="F43" i="22" s="1"/>
  <c r="F45" i="22" s="1"/>
  <c r="K57" i="17"/>
  <c r="C13" i="3"/>
  <c r="D13" i="3" s="1"/>
  <c r="K7" i="27"/>
  <c r="S49" i="9"/>
  <c r="P49" i="9" s="1"/>
  <c r="T48" i="9"/>
  <c r="B42" i="9"/>
  <c r="AU42" i="9"/>
  <c r="CR16" i="9"/>
  <c r="BL38" i="9"/>
  <c r="AU214" i="9"/>
  <c r="B214" i="9"/>
  <c r="L51" i="25"/>
  <c r="L62" i="18"/>
  <c r="M56" i="18"/>
  <c r="BU191" i="10"/>
  <c r="BV191" i="10" s="1"/>
  <c r="C14" i="27"/>
  <c r="D14" i="27" s="1"/>
  <c r="E14" i="27" s="1"/>
  <c r="F14" i="27" s="1"/>
  <c r="G14" i="27" s="1"/>
  <c r="H14" i="27" s="1"/>
  <c r="I14" i="27" s="1"/>
  <c r="J14" i="27" s="1"/>
  <c r="K14" i="27" s="1"/>
  <c r="L14" i="27" s="1"/>
  <c r="M14" i="27" s="1"/>
  <c r="BE196" i="10"/>
  <c r="BF196" i="10" s="1"/>
  <c r="AB198" i="10"/>
  <c r="AB199" i="10" s="1"/>
  <c r="AB200" i="10" s="1"/>
  <c r="AA199" i="10"/>
  <c r="CG196" i="10"/>
  <c r="CG198" i="10" s="1"/>
  <c r="CE198" i="10"/>
  <c r="K13" i="3"/>
  <c r="L13" i="3" s="1"/>
  <c r="AK195" i="10"/>
  <c r="U223" i="9"/>
  <c r="Z222" i="9"/>
  <c r="W222" i="9"/>
  <c r="X222" i="9" s="1"/>
  <c r="AQ198" i="10"/>
  <c r="AS196" i="10"/>
  <c r="AS198" i="10" s="1"/>
  <c r="B36" i="20"/>
  <c r="B8" i="24"/>
  <c r="B9" i="24" s="1"/>
  <c r="C8" i="24"/>
  <c r="C9" i="24" s="1"/>
  <c r="D8" i="24"/>
  <c r="D9" i="24" s="1"/>
  <c r="E8" i="24"/>
  <c r="E9" i="24" s="1"/>
  <c r="F8" i="24"/>
  <c r="F9" i="24" s="1"/>
  <c r="G8" i="24"/>
  <c r="G9" i="24" s="1"/>
  <c r="H8" i="24"/>
  <c r="H9" i="24" s="1"/>
  <c r="I8" i="24"/>
  <c r="I9" i="24" s="1"/>
  <c r="J8" i="24"/>
  <c r="J9" i="24" s="1"/>
  <c r="K8" i="24"/>
  <c r="K9" i="24" s="1"/>
  <c r="L8" i="24"/>
  <c r="L9" i="24" s="1"/>
  <c r="L112" i="11"/>
  <c r="N112" i="11" s="1"/>
  <c r="Q112" i="11" s="1"/>
  <c r="P112" i="11" s="1"/>
  <c r="K112" i="11"/>
  <c r="M111" i="11"/>
  <c r="O111" i="11" s="1"/>
  <c r="M8" i="25"/>
  <c r="M19" i="18"/>
  <c r="BO198" i="10"/>
  <c r="BQ196" i="10"/>
  <c r="BQ198" i="10" s="1"/>
  <c r="B205" i="31"/>
  <c r="B206" i="31" s="1"/>
  <c r="AY203" i="10"/>
  <c r="BA201" i="10"/>
  <c r="BA203" i="10" s="1"/>
  <c r="BQ195" i="10"/>
  <c r="C199" i="10"/>
  <c r="D198" i="10"/>
  <c r="D199" i="10" s="1"/>
  <c r="D200" i="10" s="1"/>
  <c r="W136" i="9"/>
  <c r="X136" i="9" s="1"/>
  <c r="Z136" i="9"/>
  <c r="U137" i="9"/>
  <c r="E127" i="25"/>
  <c r="E196" i="18"/>
  <c r="C114" i="11"/>
  <c r="E114" i="11" s="1"/>
  <c r="H114" i="11" s="1"/>
  <c r="G114" i="11" s="1"/>
  <c r="B114" i="11"/>
  <c r="D113" i="11"/>
  <c r="F113" i="11" s="1"/>
  <c r="CK191" i="10"/>
  <c r="CL191" i="10" s="1"/>
  <c r="AJ49" i="9"/>
  <c r="AE49" i="9"/>
  <c r="AF49" i="9" s="1"/>
  <c r="C176" i="17"/>
  <c r="D223" i="18"/>
  <c r="J191" i="10"/>
  <c r="AW191" i="10"/>
  <c r="AX191" i="10" s="1"/>
  <c r="G211" i="18"/>
  <c r="AN137" i="9"/>
  <c r="AK137" i="9"/>
  <c r="AL137" i="9" s="1"/>
  <c r="AI138" i="9"/>
  <c r="D143" i="17"/>
  <c r="AH221" i="9"/>
  <c r="AG222" i="9"/>
  <c r="AD222" i="9" s="1"/>
  <c r="CR17" i="9"/>
  <c r="BM38" i="9"/>
  <c r="G110" i="22"/>
  <c r="AK196" i="10"/>
  <c r="AK198" i="10" s="1"/>
  <c r="AI198" i="10"/>
  <c r="CS13" i="9"/>
  <c r="BI39" i="9"/>
  <c r="BJ39" i="9" s="1"/>
  <c r="BG199" i="10"/>
  <c r="BH198" i="10"/>
  <c r="BH199" i="10" s="1"/>
  <c r="BH200" i="10" s="1"/>
  <c r="H128" i="9"/>
  <c r="C128" i="9"/>
  <c r="AR128" i="9"/>
  <c r="S194" i="10" l="1"/>
  <c r="T193" i="10"/>
  <c r="T194" i="10" s="1"/>
  <c r="T195" i="10" s="1"/>
  <c r="K138" i="13"/>
  <c r="I164" i="13"/>
  <c r="M140" i="13"/>
  <c r="J137" i="13"/>
  <c r="I136" i="13"/>
  <c r="I148" i="13" s="1"/>
  <c r="I184" i="18" s="1"/>
  <c r="I113" i="25" s="1"/>
  <c r="L139" i="13"/>
  <c r="N141" i="13"/>
  <c r="K194" i="10"/>
  <c r="L193" i="10"/>
  <c r="L194" i="10" s="1"/>
  <c r="L195" i="10" s="1"/>
  <c r="BY194" i="10"/>
  <c r="CC191" i="10" s="1"/>
  <c r="CD191" i="10" s="1"/>
  <c r="BW195" i="10"/>
  <c r="BW196" i="10" s="1"/>
  <c r="H278" i="15"/>
  <c r="H277" i="15" s="1"/>
  <c r="H289" i="15" s="1"/>
  <c r="H252" i="15"/>
  <c r="H227" i="15" s="1"/>
  <c r="H270" i="15" s="1"/>
  <c r="H235" i="14"/>
  <c r="U112" i="11"/>
  <c r="W112" i="11" s="1"/>
  <c r="Z112" i="11" s="1"/>
  <c r="Y112" i="11" s="1"/>
  <c r="T112" i="11"/>
  <c r="V111" i="11"/>
  <c r="X111" i="11" s="1"/>
  <c r="CO194" i="10"/>
  <c r="CS191" i="10" s="1"/>
  <c r="CT191" i="10" s="1"/>
  <c r="CM195" i="10"/>
  <c r="CM196" i="10" s="1"/>
  <c r="B10" i="24"/>
  <c r="B11" i="24" s="1"/>
  <c r="B37" i="20" s="1"/>
  <c r="BX196" i="10"/>
  <c r="BY195" i="10"/>
  <c r="CR18" i="9"/>
  <c r="DA186" i="10"/>
  <c r="DI160" i="10" s="1"/>
  <c r="C130" i="22" s="1"/>
  <c r="CY191" i="10"/>
  <c r="CN196" i="10"/>
  <c r="CO195" i="10"/>
  <c r="H42" i="9"/>
  <c r="AR42" i="9"/>
  <c r="C42" i="9"/>
  <c r="D128" i="9"/>
  <c r="AT128" i="9" s="1"/>
  <c r="AS128" i="9"/>
  <c r="L128" i="9"/>
  <c r="I128" i="9"/>
  <c r="G129" i="9"/>
  <c r="AW129" i="9" s="1"/>
  <c r="AX128" i="9"/>
  <c r="E125" i="25"/>
  <c r="BH201" i="10"/>
  <c r="AI199" i="10"/>
  <c r="AJ198" i="10"/>
  <c r="AJ199" i="10" s="1"/>
  <c r="AJ200" i="10" s="1"/>
  <c r="AG138" i="9"/>
  <c r="AD138" i="9" s="1"/>
  <c r="AH137" i="9"/>
  <c r="AN49" i="9"/>
  <c r="AK49" i="9"/>
  <c r="AL49" i="9" s="1"/>
  <c r="AI50" i="9"/>
  <c r="C115" i="11"/>
  <c r="E115" i="11" s="1"/>
  <c r="H115" i="11" s="1"/>
  <c r="G115" i="11" s="1"/>
  <c r="B115" i="11"/>
  <c r="D114" i="11"/>
  <c r="F114" i="11" s="1"/>
  <c r="E199" i="10"/>
  <c r="C200" i="10"/>
  <c r="C201" i="10" s="1"/>
  <c r="I14" i="3"/>
  <c r="M57" i="18"/>
  <c r="M48" i="25" s="1"/>
  <c r="M11" i="25"/>
  <c r="T222" i="9"/>
  <c r="S223" i="9"/>
  <c r="P223" i="9" s="1"/>
  <c r="CF198" i="10"/>
  <c r="CF199" i="10" s="1"/>
  <c r="CF200" i="10" s="1"/>
  <c r="CE199" i="10"/>
  <c r="AR214" i="9"/>
  <c r="H214" i="9"/>
  <c r="C214" i="9"/>
  <c r="CS12" i="9"/>
  <c r="E221" i="18" s="1"/>
  <c r="BG39" i="9"/>
  <c r="BH39" i="9" s="1"/>
  <c r="K12" i="27"/>
  <c r="BI199" i="10"/>
  <c r="BG200" i="10"/>
  <c r="BG201" i="10" s="1"/>
  <c r="D152" i="25"/>
  <c r="C182" i="17"/>
  <c r="AJ222" i="9"/>
  <c r="AE222" i="9"/>
  <c r="AF222" i="9" s="1"/>
  <c r="G140" i="25"/>
  <c r="G209" i="18"/>
  <c r="AZ203" i="10"/>
  <c r="AZ204" i="10" s="1"/>
  <c r="AZ205" i="10" s="1"/>
  <c r="AY204" i="10"/>
  <c r="AR198" i="10"/>
  <c r="AR199" i="10" s="1"/>
  <c r="AR200" i="10" s="1"/>
  <c r="AQ199" i="10"/>
  <c r="AC199" i="10"/>
  <c r="AA200" i="10"/>
  <c r="AA201" i="10" s="1"/>
  <c r="L53" i="25"/>
  <c r="D26" i="23"/>
  <c r="O139" i="25"/>
  <c r="E109" i="22"/>
  <c r="T136" i="9"/>
  <c r="S137" i="9"/>
  <c r="P137" i="9" s="1"/>
  <c r="M47" i="25"/>
  <c r="D201" i="10"/>
  <c r="BO199" i="10"/>
  <c r="BP198" i="10"/>
  <c r="BP199" i="10" s="1"/>
  <c r="BP200" i="10" s="1"/>
  <c r="L113" i="11"/>
  <c r="N113" i="11" s="1"/>
  <c r="Q113" i="11" s="1"/>
  <c r="P113" i="11" s="1"/>
  <c r="M112" i="11"/>
  <c r="O112" i="11" s="1"/>
  <c r="K113" i="11"/>
  <c r="AB201" i="10"/>
  <c r="Q49" i="9"/>
  <c r="R49" i="9" s="1"/>
  <c r="V49" i="9"/>
  <c r="T196" i="10" l="1"/>
  <c r="U194" i="10"/>
  <c r="Y191" i="10" s="1"/>
  <c r="Z191" i="10" s="1"/>
  <c r="S195" i="10"/>
  <c r="S196" i="10" s="1"/>
  <c r="V112" i="11"/>
  <c r="X112" i="11" s="1"/>
  <c r="U113" i="11"/>
  <c r="W113" i="11" s="1"/>
  <c r="Z113" i="11" s="1"/>
  <c r="Y113" i="11" s="1"/>
  <c r="T113" i="11"/>
  <c r="CO196" i="10"/>
  <c r="CO198" i="10" s="1"/>
  <c r="CM198" i="10"/>
  <c r="BW198" i="10"/>
  <c r="BY196" i="10"/>
  <c r="BY198" i="10" s="1"/>
  <c r="E200" i="10"/>
  <c r="H269" i="14"/>
  <c r="H280" i="14"/>
  <c r="H211" i="18" s="1"/>
  <c r="H223" i="14"/>
  <c r="H257" i="14" s="1"/>
  <c r="H110" i="22" s="1"/>
  <c r="I110" i="22" s="1"/>
  <c r="H141" i="17"/>
  <c r="C123" i="22"/>
  <c r="C136" i="22" s="1"/>
  <c r="M194" i="10"/>
  <c r="Q191" i="10" s="1"/>
  <c r="K195" i="10"/>
  <c r="K196" i="10" s="1"/>
  <c r="AC200" i="10"/>
  <c r="L196" i="10"/>
  <c r="M195" i="10"/>
  <c r="BP201" i="10"/>
  <c r="E129" i="9"/>
  <c r="F128" i="9"/>
  <c r="AV128" i="9" s="1"/>
  <c r="BB128" i="9"/>
  <c r="Z49" i="9"/>
  <c r="U50" i="9"/>
  <c r="W49" i="9"/>
  <c r="X49" i="9" s="1"/>
  <c r="K114" i="11"/>
  <c r="L114" i="11"/>
  <c r="N114" i="11" s="1"/>
  <c r="Q114" i="11" s="1"/>
  <c r="P114" i="11" s="1"/>
  <c r="M113" i="11"/>
  <c r="O113" i="11" s="1"/>
  <c r="BQ199" i="10"/>
  <c r="BO200" i="10"/>
  <c r="BO201" i="10" s="1"/>
  <c r="M59" i="18"/>
  <c r="V137" i="9"/>
  <c r="Q137" i="9"/>
  <c r="R137" i="9" s="1"/>
  <c r="AG196" i="10"/>
  <c r="AH196" i="10" s="1"/>
  <c r="Q223" i="9"/>
  <c r="R223" i="9" s="1"/>
  <c r="V223" i="9"/>
  <c r="AE138" i="9"/>
  <c r="AF138" i="9" s="1"/>
  <c r="AJ138" i="9"/>
  <c r="L42" i="9"/>
  <c r="G43" i="9"/>
  <c r="AX42" i="9"/>
  <c r="I42" i="9"/>
  <c r="AZ206" i="10"/>
  <c r="G138" i="25"/>
  <c r="G208" i="18"/>
  <c r="BI201" i="10"/>
  <c r="BI203" i="10" s="1"/>
  <c r="BG203" i="10"/>
  <c r="CF201" i="10"/>
  <c r="AS199" i="10"/>
  <c r="AQ200" i="10"/>
  <c r="AQ201" i="10" s="1"/>
  <c r="BM196" i="10"/>
  <c r="BN196" i="10" s="1"/>
  <c r="E115" i="22"/>
  <c r="D188" i="17" s="1"/>
  <c r="E150" i="25"/>
  <c r="C203" i="10"/>
  <c r="E201" i="10"/>
  <c r="E203" i="10" s="1"/>
  <c r="C116" i="11"/>
  <c r="E116" i="11" s="1"/>
  <c r="H116" i="11" s="1"/>
  <c r="G116" i="11" s="1"/>
  <c r="D115" i="11"/>
  <c r="F115" i="11" s="1"/>
  <c r="B116" i="11"/>
  <c r="AG50" i="9"/>
  <c r="AD50" i="9" s="1"/>
  <c r="AH49" i="9"/>
  <c r="AJ201" i="10"/>
  <c r="I214" i="9"/>
  <c r="G215" i="9"/>
  <c r="AW215" i="9" s="1"/>
  <c r="AX214" i="9"/>
  <c r="L214" i="9"/>
  <c r="I196" i="10"/>
  <c r="AC201" i="10"/>
  <c r="AC203" i="10" s="1"/>
  <c r="AA203" i="10"/>
  <c r="AR201" i="10"/>
  <c r="BA204" i="10"/>
  <c r="AY205" i="10"/>
  <c r="AY206" i="10" s="1"/>
  <c r="AN222" i="9"/>
  <c r="AI223" i="9"/>
  <c r="AK222" i="9"/>
  <c r="AL222" i="9" s="1"/>
  <c r="D214" i="9"/>
  <c r="AT214" i="9" s="1"/>
  <c r="AS214" i="9"/>
  <c r="CG199" i="10"/>
  <c r="CE200" i="10"/>
  <c r="CE201" i="10" s="1"/>
  <c r="AK199" i="10"/>
  <c r="AI200" i="10"/>
  <c r="AI201" i="10" s="1"/>
  <c r="BI200" i="10"/>
  <c r="AY128" i="9"/>
  <c r="J128" i="9"/>
  <c r="AZ128" i="9" s="1"/>
  <c r="AS42" i="9"/>
  <c r="D42" i="9"/>
  <c r="AT42" i="9" s="1"/>
  <c r="S198" i="10" l="1"/>
  <c r="U196" i="10"/>
  <c r="U198" i="10" s="1"/>
  <c r="U195" i="10"/>
  <c r="CZ191" i="10" s="1"/>
  <c r="H209" i="18"/>
  <c r="H140" i="25"/>
  <c r="BW199" i="10"/>
  <c r="BX198" i="10"/>
  <c r="BX199" i="10" s="1"/>
  <c r="BX200" i="10" s="1"/>
  <c r="T114" i="11"/>
  <c r="U114" i="11"/>
  <c r="W114" i="11" s="1"/>
  <c r="Z114" i="11" s="1"/>
  <c r="Y114" i="11" s="1"/>
  <c r="V113" i="11"/>
  <c r="X113" i="11" s="1"/>
  <c r="H148" i="17"/>
  <c r="I201" i="18" s="1"/>
  <c r="I130" i="25" s="1"/>
  <c r="I256" i="15"/>
  <c r="I281" i="15" s="1"/>
  <c r="I257" i="15"/>
  <c r="I282" i="15" s="1"/>
  <c r="I243" i="14"/>
  <c r="I236" i="14"/>
  <c r="I254" i="15"/>
  <c r="I279" i="15" s="1"/>
  <c r="I239" i="14"/>
  <c r="I237" i="14"/>
  <c r="I255" i="15"/>
  <c r="I280" i="15" s="1"/>
  <c r="I241" i="14"/>
  <c r="H151" i="17"/>
  <c r="I204" i="18" s="1"/>
  <c r="I133" i="25" s="1"/>
  <c r="I245" i="14"/>
  <c r="I240" i="14"/>
  <c r="I244" i="14"/>
  <c r="I238" i="14"/>
  <c r="I242" i="14"/>
  <c r="I253" i="15"/>
  <c r="H152" i="17"/>
  <c r="I205" i="18" s="1"/>
  <c r="I134" i="25" s="1"/>
  <c r="R191" i="10"/>
  <c r="CX191" i="10" s="1"/>
  <c r="DJ161" i="10" s="1"/>
  <c r="I174" i="17" s="1"/>
  <c r="CW191" i="10"/>
  <c r="DJ158" i="10" s="1"/>
  <c r="J134" i="13" s="1"/>
  <c r="AS200" i="10"/>
  <c r="M196" i="10"/>
  <c r="M198" i="10" s="1"/>
  <c r="K198" i="10"/>
  <c r="CN198" i="10"/>
  <c r="CN199" i="10" s="1"/>
  <c r="CN200" i="10" s="1"/>
  <c r="CM199" i="10"/>
  <c r="AH222" i="9"/>
  <c r="AG223" i="9"/>
  <c r="AD223" i="9" s="1"/>
  <c r="AJ50" i="9"/>
  <c r="AE50" i="9"/>
  <c r="AF50" i="9" s="1"/>
  <c r="CG200" i="10"/>
  <c r="AN138" i="9"/>
  <c r="AK138" i="9"/>
  <c r="AL138" i="9" s="1"/>
  <c r="AI139" i="9"/>
  <c r="BQ201" i="10"/>
  <c r="BQ203" i="10" s="1"/>
  <c r="BO203" i="10"/>
  <c r="T49" i="9"/>
  <c r="S50" i="9"/>
  <c r="P50" i="9" s="1"/>
  <c r="BK39" i="9"/>
  <c r="CS14" i="9"/>
  <c r="AO196" i="10"/>
  <c r="AP196" i="10" s="1"/>
  <c r="AW196" i="10"/>
  <c r="AX196" i="10" s="1"/>
  <c r="BA205" i="10"/>
  <c r="AW43" i="9"/>
  <c r="F198" i="18"/>
  <c r="E145" i="17"/>
  <c r="Z223" i="9"/>
  <c r="U224" i="9"/>
  <c r="W223" i="9"/>
  <c r="X223" i="9" s="1"/>
  <c r="M50" i="25"/>
  <c r="M82" i="18"/>
  <c r="M71" i="18"/>
  <c r="M61" i="18" s="1"/>
  <c r="M70" i="18"/>
  <c r="B129" i="9"/>
  <c r="AU129" i="9"/>
  <c r="AY214" i="9"/>
  <c r="J214" i="9"/>
  <c r="AZ214" i="9" s="1"/>
  <c r="F42" i="9"/>
  <c r="AV42" i="9" s="1"/>
  <c r="BB42" i="9"/>
  <c r="E43" i="9"/>
  <c r="AK201" i="10"/>
  <c r="AK203" i="10" s="1"/>
  <c r="AI203" i="10"/>
  <c r="BB214" i="9"/>
  <c r="F214" i="9"/>
  <c r="AV214" i="9" s="1"/>
  <c r="E215" i="9"/>
  <c r="AK200" i="10"/>
  <c r="C117" i="11"/>
  <c r="E117" i="11" s="1"/>
  <c r="H117" i="11" s="1"/>
  <c r="G117" i="11" s="1"/>
  <c r="B117" i="11"/>
  <c r="D116" i="11"/>
  <c r="F116" i="11" s="1"/>
  <c r="AS201" i="10"/>
  <c r="AS203" i="10" s="1"/>
  <c r="AQ203" i="10"/>
  <c r="G137" i="25"/>
  <c r="AY42" i="9"/>
  <c r="J42" i="9"/>
  <c r="AZ42" i="9" s="1"/>
  <c r="M114" i="11"/>
  <c r="O114" i="11" s="1"/>
  <c r="K115" i="11"/>
  <c r="L115" i="11"/>
  <c r="N115" i="11" s="1"/>
  <c r="Q115" i="11" s="1"/>
  <c r="P115" i="11" s="1"/>
  <c r="CG201" i="10"/>
  <c r="CG203" i="10" s="1"/>
  <c r="CE203" i="10"/>
  <c r="BA206" i="10"/>
  <c r="BA208" i="10" s="1"/>
  <c r="AY208" i="10"/>
  <c r="J196" i="10"/>
  <c r="CK196" i="10"/>
  <c r="CL196" i="10" s="1"/>
  <c r="BE201" i="10"/>
  <c r="BF201" i="10" s="1"/>
  <c r="AB203" i="10"/>
  <c r="AB204" i="10" s="1"/>
  <c r="AB205" i="10" s="1"/>
  <c r="AA204" i="10"/>
  <c r="C204" i="10"/>
  <c r="D203" i="10"/>
  <c r="D204" i="10" s="1"/>
  <c r="D205" i="10" s="1"/>
  <c r="BG204" i="10"/>
  <c r="BH203" i="10"/>
  <c r="BH204" i="10" s="1"/>
  <c r="BH205" i="10" s="1"/>
  <c r="Z137" i="9"/>
  <c r="W137" i="9"/>
  <c r="X137" i="9" s="1"/>
  <c r="U138" i="9"/>
  <c r="BU196" i="10"/>
  <c r="BV196" i="10" s="1"/>
  <c r="BQ200" i="10"/>
  <c r="DA191" i="10" l="1"/>
  <c r="DJ160" i="10" s="1"/>
  <c r="D130" i="22" s="1"/>
  <c r="CY196" i="10"/>
  <c r="S199" i="10"/>
  <c r="T198" i="10"/>
  <c r="T199" i="10" s="1"/>
  <c r="T200" i="10" s="1"/>
  <c r="BX201" i="10"/>
  <c r="CO199" i="10"/>
  <c r="CS196" i="10" s="1"/>
  <c r="CT196" i="10" s="1"/>
  <c r="CM200" i="10"/>
  <c r="CM201" i="10" s="1"/>
  <c r="BY199" i="10"/>
  <c r="CC196" i="10" s="1"/>
  <c r="CD196" i="10" s="1"/>
  <c r="BW200" i="10"/>
  <c r="BW201" i="10" s="1"/>
  <c r="L198" i="10"/>
  <c r="L199" i="10" s="1"/>
  <c r="L200" i="10" s="1"/>
  <c r="K199" i="10"/>
  <c r="CN201" i="10"/>
  <c r="I252" i="15"/>
  <c r="I227" i="15" s="1"/>
  <c r="I270" i="15" s="1"/>
  <c r="I278" i="15"/>
  <c r="I277" i="15" s="1"/>
  <c r="I289" i="15" s="1"/>
  <c r="I235" i="14"/>
  <c r="J164" i="13"/>
  <c r="M139" i="13"/>
  <c r="L138" i="13"/>
  <c r="K137" i="13"/>
  <c r="N140" i="13"/>
  <c r="J136" i="13"/>
  <c r="J148" i="13" s="1"/>
  <c r="J184" i="18" s="1"/>
  <c r="J113" i="25" s="1"/>
  <c r="T115" i="11"/>
  <c r="U115" i="11"/>
  <c r="W115" i="11" s="1"/>
  <c r="Z115" i="11" s="1"/>
  <c r="Y115" i="11" s="1"/>
  <c r="V114" i="11"/>
  <c r="X114" i="11" s="1"/>
  <c r="H138" i="25"/>
  <c r="H208" i="18"/>
  <c r="H137" i="25" s="1"/>
  <c r="G32" i="22"/>
  <c r="G33" i="22" s="1"/>
  <c r="M83" i="18"/>
  <c r="M84" i="18" s="1"/>
  <c r="N16" i="18" s="1"/>
  <c r="F127" i="25"/>
  <c r="F196" i="18"/>
  <c r="AB206" i="10"/>
  <c r="S138" i="9"/>
  <c r="P138" i="9" s="1"/>
  <c r="T137" i="9"/>
  <c r="CE204" i="10"/>
  <c r="CF203" i="10"/>
  <c r="CF204" i="10" s="1"/>
  <c r="CF205" i="10" s="1"/>
  <c r="BM39" i="9"/>
  <c r="CS17" i="9"/>
  <c r="AR203" i="10"/>
  <c r="AR204" i="10" s="1"/>
  <c r="AR205" i="10" s="1"/>
  <c r="AQ204" i="10"/>
  <c r="AI204" i="10"/>
  <c r="AJ203" i="10"/>
  <c r="AJ204" i="10" s="1"/>
  <c r="AJ205" i="10" s="1"/>
  <c r="E143" i="17"/>
  <c r="BH206" i="10"/>
  <c r="CS16" i="9"/>
  <c r="BL39" i="9"/>
  <c r="AR129" i="9"/>
  <c r="H129" i="9"/>
  <c r="C129" i="9"/>
  <c r="S224" i="9"/>
  <c r="P224" i="9" s="1"/>
  <c r="T223" i="9"/>
  <c r="D176" i="17"/>
  <c r="E223" i="18"/>
  <c r="BO204" i="10"/>
  <c r="BP203" i="10"/>
  <c r="BP204" i="10" s="1"/>
  <c r="BP205" i="10" s="1"/>
  <c r="AI51" i="9"/>
  <c r="AK50" i="9"/>
  <c r="AL50" i="9" s="1"/>
  <c r="AN50" i="9"/>
  <c r="BI204" i="10"/>
  <c r="BG205" i="10"/>
  <c r="BG206" i="10" s="1"/>
  <c r="E204" i="10"/>
  <c r="C205" i="10"/>
  <c r="C206" i="10" s="1"/>
  <c r="AC204" i="10"/>
  <c r="AA205" i="10"/>
  <c r="AA206" i="10" s="1"/>
  <c r="AY209" i="10"/>
  <c r="AZ208" i="10"/>
  <c r="AZ209" i="10" s="1"/>
  <c r="AZ210" i="10" s="1"/>
  <c r="B215" i="9"/>
  <c r="AU215" i="9"/>
  <c r="M60" i="18"/>
  <c r="M73" i="18"/>
  <c r="BI40" i="9"/>
  <c r="BJ40" i="9" s="1"/>
  <c r="CT13" i="9"/>
  <c r="AH138" i="9"/>
  <c r="AG139" i="9"/>
  <c r="AD139" i="9" s="1"/>
  <c r="AE223" i="9"/>
  <c r="AF223" i="9" s="1"/>
  <c r="AJ223" i="9"/>
  <c r="E205" i="10"/>
  <c r="D206" i="10"/>
  <c r="L116" i="11"/>
  <c r="N116" i="11" s="1"/>
  <c r="Q116" i="11" s="1"/>
  <c r="P116" i="11" s="1"/>
  <c r="M115" i="11"/>
  <c r="O115" i="11" s="1"/>
  <c r="K116" i="11"/>
  <c r="C118" i="11"/>
  <c r="E118" i="11" s="1"/>
  <c r="H118" i="11" s="1"/>
  <c r="G118" i="11" s="1"/>
  <c r="D117" i="11"/>
  <c r="F117" i="11" s="1"/>
  <c r="B118" i="11"/>
  <c r="AU43" i="9"/>
  <c r="B43" i="9"/>
  <c r="K14" i="3"/>
  <c r="L14" i="3" s="1"/>
  <c r="M52" i="25"/>
  <c r="Q50" i="9"/>
  <c r="R50" i="9" s="1"/>
  <c r="V50" i="9"/>
  <c r="T201" i="10" l="1"/>
  <c r="U199" i="10"/>
  <c r="Y196" i="10" s="1"/>
  <c r="Z196" i="10" s="1"/>
  <c r="S200" i="10"/>
  <c r="S201" i="10" s="1"/>
  <c r="M199" i="10"/>
  <c r="Q196" i="10" s="1"/>
  <c r="K200" i="10"/>
  <c r="K201" i="10" s="1"/>
  <c r="CO201" i="10"/>
  <c r="CO203" i="10" s="1"/>
  <c r="CM203" i="10"/>
  <c r="L201" i="10"/>
  <c r="U116" i="11"/>
  <c r="W116" i="11" s="1"/>
  <c r="Z116" i="11" s="1"/>
  <c r="Y116" i="11" s="1"/>
  <c r="T116" i="11"/>
  <c r="V115" i="11"/>
  <c r="X115" i="11" s="1"/>
  <c r="I141" i="17"/>
  <c r="D123" i="22"/>
  <c r="D136" i="22" s="1"/>
  <c r="BY201" i="10"/>
  <c r="BY203" i="10" s="1"/>
  <c r="BW203" i="10"/>
  <c r="BY200" i="10"/>
  <c r="I280" i="14"/>
  <c r="I211" i="18" s="1"/>
  <c r="I269" i="14"/>
  <c r="I223" i="14"/>
  <c r="I257" i="14" s="1"/>
  <c r="C133" i="22" s="1"/>
  <c r="CO200" i="10"/>
  <c r="N8" i="25"/>
  <c r="N19" i="18"/>
  <c r="O16" i="18"/>
  <c r="BM201" i="10"/>
  <c r="BN201" i="10" s="1"/>
  <c r="AR206" i="10"/>
  <c r="Q138" i="9"/>
  <c r="R138" i="9" s="1"/>
  <c r="V138" i="9"/>
  <c r="F125" i="25"/>
  <c r="W50" i="9"/>
  <c r="X50" i="9" s="1"/>
  <c r="U51" i="9"/>
  <c r="Z50" i="9"/>
  <c r="CT12" i="9"/>
  <c r="BG40" i="9"/>
  <c r="BH40" i="9" s="1"/>
  <c r="AK223" i="9"/>
  <c r="AL223" i="9" s="1"/>
  <c r="AN223" i="9"/>
  <c r="AI224" i="9"/>
  <c r="H215" i="9"/>
  <c r="C215" i="9"/>
  <c r="AR215" i="9"/>
  <c r="BA209" i="10"/>
  <c r="AY210" i="10"/>
  <c r="AY211" i="10" s="1"/>
  <c r="C208" i="10"/>
  <c r="E206" i="10"/>
  <c r="E208" i="10" s="1"/>
  <c r="E152" i="25"/>
  <c r="D182" i="17"/>
  <c r="E224" i="18"/>
  <c r="D129" i="9"/>
  <c r="AT129" i="9" s="1"/>
  <c r="AS129" i="9"/>
  <c r="AS204" i="10"/>
  <c r="AQ205" i="10"/>
  <c r="AQ206" i="10" s="1"/>
  <c r="CF206" i="10"/>
  <c r="B119" i="11"/>
  <c r="C119" i="11"/>
  <c r="E119" i="11" s="1"/>
  <c r="H119" i="11" s="1"/>
  <c r="G119" i="11" s="1"/>
  <c r="D118" i="11"/>
  <c r="F118" i="11" s="1"/>
  <c r="AC206" i="10"/>
  <c r="AC208" i="10" s="1"/>
  <c r="AA208" i="10"/>
  <c r="D178" i="17"/>
  <c r="G130" i="9"/>
  <c r="AW130" i="9" s="1"/>
  <c r="L129" i="9"/>
  <c r="AX129" i="9"/>
  <c r="I129" i="9"/>
  <c r="F109" i="22"/>
  <c r="CG204" i="10"/>
  <c r="CE205" i="10"/>
  <c r="CE206" i="10" s="1"/>
  <c r="G37" i="22"/>
  <c r="G40" i="22" s="1"/>
  <c r="G43" i="22" s="1"/>
  <c r="G45" i="22" s="1"/>
  <c r="L7" i="27"/>
  <c r="C14" i="3"/>
  <c r="D14" i="3" s="1"/>
  <c r="L57" i="17"/>
  <c r="AJ139" i="9"/>
  <c r="AE139" i="9"/>
  <c r="AF139" i="9" s="1"/>
  <c r="M51" i="25"/>
  <c r="M62" i="18"/>
  <c r="N56" i="18"/>
  <c r="I201" i="10"/>
  <c r="BP206" i="10"/>
  <c r="BQ205" i="10"/>
  <c r="AJ206" i="10"/>
  <c r="CS18" i="9"/>
  <c r="AC205" i="10"/>
  <c r="C43" i="9"/>
  <c r="H43" i="9"/>
  <c r="AR43" i="9"/>
  <c r="K117" i="11"/>
  <c r="M116" i="11"/>
  <c r="O116" i="11" s="1"/>
  <c r="L117" i="11"/>
  <c r="N117" i="11" s="1"/>
  <c r="Q117" i="11" s="1"/>
  <c r="P117" i="11" s="1"/>
  <c r="AZ211" i="10"/>
  <c r="AG201" i="10"/>
  <c r="AH201" i="10" s="1"/>
  <c r="BG208" i="10"/>
  <c r="BI206" i="10"/>
  <c r="BI208" i="10" s="1"/>
  <c r="AG51" i="9"/>
  <c r="AD51" i="9" s="1"/>
  <c r="AH50" i="9"/>
  <c r="BQ204" i="10"/>
  <c r="BO205" i="10"/>
  <c r="BO206" i="10" s="1"/>
  <c r="V224" i="9"/>
  <c r="Q224" i="9"/>
  <c r="R224" i="9" s="1"/>
  <c r="BI205" i="10"/>
  <c r="AK204" i="10"/>
  <c r="AI205" i="10"/>
  <c r="AI206" i="10" s="1"/>
  <c r="S203" i="10" l="1"/>
  <c r="U201" i="10"/>
  <c r="U203" i="10" s="1"/>
  <c r="AS205" i="10"/>
  <c r="M200" i="10"/>
  <c r="U200" i="10"/>
  <c r="BA210" i="10"/>
  <c r="I148" i="17"/>
  <c r="J201" i="18" s="1"/>
  <c r="J240" i="14"/>
  <c r="I152" i="17"/>
  <c r="J205" i="18" s="1"/>
  <c r="J134" i="25" s="1"/>
  <c r="J242" i="14"/>
  <c r="I151" i="17"/>
  <c r="J204" i="18" s="1"/>
  <c r="J133" i="25" s="1"/>
  <c r="J241" i="14"/>
  <c r="J255" i="15"/>
  <c r="J280" i="15" s="1"/>
  <c r="J245" i="14"/>
  <c r="J257" i="15"/>
  <c r="J282" i="15" s="1"/>
  <c r="J256" i="15"/>
  <c r="J281" i="15" s="1"/>
  <c r="J238" i="14"/>
  <c r="J254" i="15"/>
  <c r="J279" i="15" s="1"/>
  <c r="J244" i="14"/>
  <c r="J253" i="15"/>
  <c r="J239" i="14"/>
  <c r="J236" i="14"/>
  <c r="J237" i="14"/>
  <c r="J243" i="14"/>
  <c r="CZ196" i="10"/>
  <c r="CM204" i="10"/>
  <c r="CN203" i="10"/>
  <c r="CN204" i="10" s="1"/>
  <c r="CN205" i="10" s="1"/>
  <c r="BW204" i="10"/>
  <c r="BX203" i="10"/>
  <c r="BX204" i="10" s="1"/>
  <c r="BX205" i="10" s="1"/>
  <c r="M201" i="10"/>
  <c r="M203" i="10" s="1"/>
  <c r="K203" i="10"/>
  <c r="I209" i="18"/>
  <c r="I140" i="25"/>
  <c r="U117" i="11"/>
  <c r="W117" i="11" s="1"/>
  <c r="Z117" i="11" s="1"/>
  <c r="Y117" i="11" s="1"/>
  <c r="V116" i="11"/>
  <c r="X116" i="11" s="1"/>
  <c r="T117" i="11"/>
  <c r="R196" i="10"/>
  <c r="CX196" i="10" s="1"/>
  <c r="DK161" i="10" s="1"/>
  <c r="J174" i="17" s="1"/>
  <c r="CW196" i="10"/>
  <c r="DK158" i="10" s="1"/>
  <c r="K134" i="13" s="1"/>
  <c r="AK206" i="10"/>
  <c r="AK208" i="10" s="1"/>
  <c r="AI208" i="10"/>
  <c r="BG209" i="10"/>
  <c r="BH208" i="10"/>
  <c r="BH209" i="10" s="1"/>
  <c r="BH210" i="10" s="1"/>
  <c r="CE208" i="10"/>
  <c r="CG206" i="10"/>
  <c r="CG208" i="10" s="1"/>
  <c r="B120" i="11"/>
  <c r="C120" i="11"/>
  <c r="E120" i="11" s="1"/>
  <c r="H120" i="11" s="1"/>
  <c r="G120" i="11" s="1"/>
  <c r="D119" i="11"/>
  <c r="F119" i="11" s="1"/>
  <c r="AO201" i="10"/>
  <c r="AP201" i="10" s="1"/>
  <c r="BQ206" i="10"/>
  <c r="BQ208" i="10" s="1"/>
  <c r="BO208" i="10"/>
  <c r="AJ51" i="9"/>
  <c r="AE51" i="9"/>
  <c r="AF51" i="9" s="1"/>
  <c r="D43" i="9"/>
  <c r="AT43" i="9" s="1"/>
  <c r="AS43" i="9"/>
  <c r="N47" i="25"/>
  <c r="L12" i="27"/>
  <c r="CK201" i="10"/>
  <c r="CL201" i="10" s="1"/>
  <c r="CG205" i="10"/>
  <c r="C209" i="10"/>
  <c r="D208" i="10"/>
  <c r="D209" i="10" s="1"/>
  <c r="D210" i="10" s="1"/>
  <c r="AG224" i="9"/>
  <c r="AD224" i="9" s="1"/>
  <c r="AH223" i="9"/>
  <c r="J130" i="25"/>
  <c r="BU201" i="10"/>
  <c r="BV201" i="10" s="1"/>
  <c r="U225" i="9"/>
  <c r="W224" i="9"/>
  <c r="X224" i="9" s="1"/>
  <c r="Z224" i="9"/>
  <c r="I43" i="9"/>
  <c r="G44" i="9"/>
  <c r="AX43" i="9"/>
  <c r="L43" i="9"/>
  <c r="M117" i="11"/>
  <c r="O117" i="11" s="1"/>
  <c r="L118" i="11"/>
  <c r="N118" i="11" s="1"/>
  <c r="Q118" i="11" s="1"/>
  <c r="P118" i="11" s="1"/>
  <c r="K118" i="11"/>
  <c r="AK205" i="10"/>
  <c r="J201" i="10"/>
  <c r="M53" i="25"/>
  <c r="AI140" i="9"/>
  <c r="AK139" i="9"/>
  <c r="AL139" i="9" s="1"/>
  <c r="AN139" i="9"/>
  <c r="BB129" i="9"/>
  <c r="F129" i="9"/>
  <c r="AV129" i="9" s="1"/>
  <c r="E130" i="9"/>
  <c r="AB208" i="10"/>
  <c r="AB209" i="10" s="1"/>
  <c r="AB210" i="10" s="1"/>
  <c r="AA209" i="10"/>
  <c r="AS206" i="10"/>
  <c r="AS208" i="10" s="1"/>
  <c r="AQ208" i="10"/>
  <c r="AY213" i="10"/>
  <c r="BA211" i="10"/>
  <c r="BA213" i="10" s="1"/>
  <c r="D215" i="9"/>
  <c r="AT215" i="9" s="1"/>
  <c r="AS215" i="9"/>
  <c r="S51" i="9"/>
  <c r="P51" i="9" s="1"/>
  <c r="T50" i="9"/>
  <c r="B6" i="23"/>
  <c r="O8" i="25"/>
  <c r="O19" i="18"/>
  <c r="J30" i="3"/>
  <c r="E153" i="25"/>
  <c r="L215" i="9"/>
  <c r="AX215" i="9"/>
  <c r="G216" i="9"/>
  <c r="AW216" i="9" s="1"/>
  <c r="I215" i="9"/>
  <c r="N11" i="25"/>
  <c r="N57" i="18"/>
  <c r="N48" i="25" s="1"/>
  <c r="I15" i="3"/>
  <c r="AY129" i="9"/>
  <c r="J129" i="9"/>
  <c r="AZ129" i="9" s="1"/>
  <c r="D180" i="17"/>
  <c r="D179" i="17"/>
  <c r="AW201" i="10"/>
  <c r="AX201" i="10" s="1"/>
  <c r="BE206" i="10"/>
  <c r="BF206" i="10" s="1"/>
  <c r="W138" i="9"/>
  <c r="X138" i="9" s="1"/>
  <c r="Z138" i="9"/>
  <c r="U139" i="9"/>
  <c r="T203" i="10" l="1"/>
  <c r="T204" i="10" s="1"/>
  <c r="T205" i="10" s="1"/>
  <c r="S204" i="10"/>
  <c r="BY204" i="10"/>
  <c r="CC201" i="10" s="1"/>
  <c r="CD201" i="10" s="1"/>
  <c r="BW205" i="10"/>
  <c r="BW206" i="10" s="1"/>
  <c r="J252" i="15"/>
  <c r="J227" i="15" s="1"/>
  <c r="J270" i="15" s="1"/>
  <c r="J278" i="15"/>
  <c r="J277" i="15" s="1"/>
  <c r="J289" i="15" s="1"/>
  <c r="T118" i="11"/>
  <c r="V117" i="11"/>
  <c r="X117" i="11" s="1"/>
  <c r="U118" i="11"/>
  <c r="W118" i="11" s="1"/>
  <c r="Z118" i="11" s="1"/>
  <c r="Y118" i="11" s="1"/>
  <c r="I138" i="25"/>
  <c r="I208" i="18"/>
  <c r="I137" i="25" s="1"/>
  <c r="BX206" i="10"/>
  <c r="BY205" i="10"/>
  <c r="CY201" i="10"/>
  <c r="DA196" i="10"/>
  <c r="DK160" i="10" s="1"/>
  <c r="E130" i="22" s="1"/>
  <c r="L137" i="13"/>
  <c r="K164" i="13"/>
  <c r="M138" i="13"/>
  <c r="K136" i="13"/>
  <c r="K148" i="13" s="1"/>
  <c r="K184" i="18" s="1"/>
  <c r="K113" i="25" s="1"/>
  <c r="N139" i="13"/>
  <c r="L203" i="10"/>
  <c r="L204" i="10" s="1"/>
  <c r="L205" i="10" s="1"/>
  <c r="K204" i="10"/>
  <c r="CO205" i="10"/>
  <c r="CN206" i="10"/>
  <c r="CO204" i="10"/>
  <c r="CS201" i="10" s="1"/>
  <c r="CT201" i="10" s="1"/>
  <c r="CM205" i="10"/>
  <c r="CM206" i="10" s="1"/>
  <c r="J235" i="14"/>
  <c r="AB211" i="10"/>
  <c r="BP208" i="10"/>
  <c r="BP209" i="10" s="1"/>
  <c r="BP210" i="10" s="1"/>
  <c r="BO209" i="10"/>
  <c r="BH211" i="10"/>
  <c r="T138" i="9"/>
  <c r="S139" i="9"/>
  <c r="P139" i="9" s="1"/>
  <c r="O57" i="18"/>
  <c r="B8" i="23"/>
  <c r="O11" i="25"/>
  <c r="Q51" i="9"/>
  <c r="R51" i="9" s="1"/>
  <c r="V51" i="9"/>
  <c r="K119" i="11"/>
  <c r="M118" i="11"/>
  <c r="O118" i="11" s="1"/>
  <c r="L119" i="11"/>
  <c r="N119" i="11" s="1"/>
  <c r="Q119" i="11" s="1"/>
  <c r="P119" i="11" s="1"/>
  <c r="AY43" i="9"/>
  <c r="J43" i="9"/>
  <c r="AZ43" i="9" s="1"/>
  <c r="E209" i="10"/>
  <c r="C210" i="10"/>
  <c r="C211" i="10" s="1"/>
  <c r="F215" i="9"/>
  <c r="AV215" i="9" s="1"/>
  <c r="BB215" i="9"/>
  <c r="E216" i="9"/>
  <c r="AE224" i="9"/>
  <c r="AF224" i="9" s="1"/>
  <c r="AJ224" i="9"/>
  <c r="F228" i="18"/>
  <c r="AZ213" i="10"/>
  <c r="AZ214" i="10" s="1"/>
  <c r="AZ215" i="10" s="1"/>
  <c r="AY214" i="10"/>
  <c r="AC209" i="10"/>
  <c r="AA210" i="10"/>
  <c r="AA211" i="10" s="1"/>
  <c r="F43" i="9"/>
  <c r="AV43" i="9" s="1"/>
  <c r="BB43" i="9"/>
  <c r="E44" i="9"/>
  <c r="T224" i="9"/>
  <c r="S225" i="9"/>
  <c r="P225" i="9" s="1"/>
  <c r="AN51" i="9"/>
  <c r="AI52" i="9"/>
  <c r="AK51" i="9"/>
  <c r="AL51" i="9" s="1"/>
  <c r="B121" i="11"/>
  <c r="D120" i="11"/>
  <c r="F120" i="11" s="1"/>
  <c r="C121" i="11"/>
  <c r="E121" i="11" s="1"/>
  <c r="H121" i="11" s="1"/>
  <c r="G121" i="11" s="1"/>
  <c r="AJ208" i="10"/>
  <c r="AJ209" i="10" s="1"/>
  <c r="AJ210" i="10" s="1"/>
  <c r="AI209" i="10"/>
  <c r="AR208" i="10"/>
  <c r="AR209" i="10" s="1"/>
  <c r="AR210" i="10" s="1"/>
  <c r="AQ209" i="10"/>
  <c r="AG140" i="9"/>
  <c r="AD140" i="9" s="1"/>
  <c r="AH139" i="9"/>
  <c r="BK40" i="9"/>
  <c r="CT14" i="9"/>
  <c r="CE209" i="10"/>
  <c r="CF208" i="10"/>
  <c r="CF209" i="10" s="1"/>
  <c r="CF210" i="10" s="1"/>
  <c r="AY215" i="9"/>
  <c r="J215" i="9"/>
  <c r="AZ215" i="9" s="1"/>
  <c r="AU130" i="9"/>
  <c r="B130" i="9"/>
  <c r="AW44" i="9"/>
  <c r="F145" i="17"/>
  <c r="G198" i="18"/>
  <c r="D211" i="10"/>
  <c r="N59" i="18"/>
  <c r="BI209" i="10"/>
  <c r="BG210" i="10"/>
  <c r="BG211" i="10" s="1"/>
  <c r="U204" i="10" l="1"/>
  <c r="Y201" i="10" s="1"/>
  <c r="Z201" i="10" s="1"/>
  <c r="S205" i="10"/>
  <c r="S206" i="10" s="1"/>
  <c r="U205" i="10"/>
  <c r="T206" i="10"/>
  <c r="L206" i="10"/>
  <c r="J141" i="17"/>
  <c r="E123" i="22"/>
  <c r="E136" i="22" s="1"/>
  <c r="J223" i="14"/>
  <c r="J257" i="14" s="1"/>
  <c r="D133" i="22" s="1"/>
  <c r="J280" i="14"/>
  <c r="J211" i="18" s="1"/>
  <c r="J269" i="14"/>
  <c r="BY206" i="10"/>
  <c r="BY208" i="10" s="1"/>
  <c r="BW208" i="10"/>
  <c r="CM208" i="10"/>
  <c r="CO206" i="10"/>
  <c r="CO208" i="10" s="1"/>
  <c r="M204" i="10"/>
  <c r="Q201" i="10" s="1"/>
  <c r="K205" i="10"/>
  <c r="K206" i="10" s="1"/>
  <c r="V118" i="11"/>
  <c r="X118" i="11" s="1"/>
  <c r="T119" i="11"/>
  <c r="U119" i="11"/>
  <c r="W119" i="11" s="1"/>
  <c r="Z119" i="11" s="1"/>
  <c r="Y119" i="11" s="1"/>
  <c r="E176" i="17"/>
  <c r="F223" i="18"/>
  <c r="AG52" i="9"/>
  <c r="AD52" i="9" s="1"/>
  <c r="AH51" i="9"/>
  <c r="E211" i="10"/>
  <c r="E213" i="10" s="1"/>
  <c r="C213" i="10"/>
  <c r="N71" i="18"/>
  <c r="N82" i="18"/>
  <c r="N50" i="25"/>
  <c r="N70" i="18"/>
  <c r="F143" i="17"/>
  <c r="CF211" i="10"/>
  <c r="AJ140" i="9"/>
  <c r="AE140" i="9"/>
  <c r="AF140" i="9" s="1"/>
  <c r="AJ211" i="10"/>
  <c r="AC211" i="10"/>
  <c r="AC213" i="10" s="1"/>
  <c r="AA213" i="10"/>
  <c r="I206" i="10"/>
  <c r="CT16" i="9"/>
  <c r="BL40" i="9"/>
  <c r="M119" i="11"/>
  <c r="O119" i="11" s="1"/>
  <c r="K120" i="11"/>
  <c r="L120" i="11"/>
  <c r="N120" i="11" s="1"/>
  <c r="Q120" i="11" s="1"/>
  <c r="P120" i="11" s="1"/>
  <c r="AC210" i="10"/>
  <c r="AG206" i="10"/>
  <c r="AH206" i="10" s="1"/>
  <c r="BG213" i="10"/>
  <c r="BI211" i="10"/>
  <c r="BI213" i="10" s="1"/>
  <c r="E210" i="10"/>
  <c r="BI41" i="9"/>
  <c r="BJ41" i="9" s="1"/>
  <c r="CU13" i="9"/>
  <c r="CG209" i="10"/>
  <c r="CE210" i="10"/>
  <c r="CE211" i="10" s="1"/>
  <c r="AS209" i="10"/>
  <c r="AQ210" i="10"/>
  <c r="AQ211" i="10" s="1"/>
  <c r="V225" i="9"/>
  <c r="Q225" i="9"/>
  <c r="R225" i="9" s="1"/>
  <c r="F157" i="25"/>
  <c r="Z51" i="9"/>
  <c r="W51" i="9"/>
  <c r="X51" i="9" s="1"/>
  <c r="U52" i="9"/>
  <c r="B43" i="23"/>
  <c r="O48" i="25"/>
  <c r="BI210" i="10"/>
  <c r="AR130" i="9"/>
  <c r="C130" i="9"/>
  <c r="H130" i="9"/>
  <c r="AR211" i="10"/>
  <c r="V139" i="9"/>
  <c r="Q139" i="9"/>
  <c r="R139" i="9" s="1"/>
  <c r="BQ209" i="10"/>
  <c r="BO210" i="10"/>
  <c r="BO211" i="10" s="1"/>
  <c r="BM206" i="10"/>
  <c r="BN206" i="10" s="1"/>
  <c r="G127" i="25"/>
  <c r="G196" i="18"/>
  <c r="AK209" i="10"/>
  <c r="AI210" i="10"/>
  <c r="AI211" i="10" s="1"/>
  <c r="C122" i="11"/>
  <c r="E122" i="11" s="1"/>
  <c r="H122" i="11" s="1"/>
  <c r="G122" i="11" s="1"/>
  <c r="B122" i="11"/>
  <c r="D121" i="11"/>
  <c r="F121" i="11" s="1"/>
  <c r="AU44" i="9"/>
  <c r="B44" i="9"/>
  <c r="BA214" i="10"/>
  <c r="AY218" i="10"/>
  <c r="AY215" i="10"/>
  <c r="BA215" i="10" s="1"/>
  <c r="AN224" i="9"/>
  <c r="AI225" i="9"/>
  <c r="AK224" i="9"/>
  <c r="AL224" i="9" s="1"/>
  <c r="B216" i="9"/>
  <c r="AU216" i="9"/>
  <c r="CT17" i="9"/>
  <c r="CT18" i="9" s="1"/>
  <c r="BM40" i="9"/>
  <c r="BP211" i="10"/>
  <c r="BQ210" i="10"/>
  <c r="S208" i="10" l="1"/>
  <c r="U206" i="10"/>
  <c r="U208" i="10" s="1"/>
  <c r="K208" i="10"/>
  <c r="M206" i="10"/>
  <c r="M208" i="10" s="1"/>
  <c r="CM209" i="10"/>
  <c r="CN208" i="10"/>
  <c r="CN209" i="10" s="1"/>
  <c r="CN210" i="10" s="1"/>
  <c r="J140" i="25"/>
  <c r="J209" i="18"/>
  <c r="V119" i="11"/>
  <c r="X119" i="11" s="1"/>
  <c r="U120" i="11"/>
  <c r="W120" i="11" s="1"/>
  <c r="Z120" i="11" s="1"/>
  <c r="Y120" i="11" s="1"/>
  <c r="T120" i="11"/>
  <c r="BW209" i="10"/>
  <c r="BX208" i="10"/>
  <c r="BX209" i="10" s="1"/>
  <c r="BX210" i="10" s="1"/>
  <c r="K244" i="14"/>
  <c r="K245" i="14"/>
  <c r="K257" i="15"/>
  <c r="K282" i="15" s="1"/>
  <c r="K243" i="14"/>
  <c r="K236" i="14"/>
  <c r="J152" i="17"/>
  <c r="K205" i="18" s="1"/>
  <c r="K134" i="25" s="1"/>
  <c r="K256" i="15"/>
  <c r="K281" i="15" s="1"/>
  <c r="K242" i="14"/>
  <c r="J148" i="17"/>
  <c r="K201" i="18" s="1"/>
  <c r="K238" i="14"/>
  <c r="K239" i="14"/>
  <c r="K253" i="15"/>
  <c r="J151" i="17"/>
  <c r="K204" i="18" s="1"/>
  <c r="K133" i="25" s="1"/>
  <c r="K237" i="14"/>
  <c r="K240" i="14"/>
  <c r="K254" i="15"/>
  <c r="K279" i="15" s="1"/>
  <c r="K241" i="14"/>
  <c r="K255" i="15"/>
  <c r="K280" i="15" s="1"/>
  <c r="R201" i="10"/>
  <c r="CX201" i="10" s="1"/>
  <c r="DL161" i="10" s="1"/>
  <c r="K174" i="17" s="1"/>
  <c r="CW201" i="10"/>
  <c r="DL158" i="10" s="1"/>
  <c r="L134" i="13" s="1"/>
  <c r="M205" i="10"/>
  <c r="CZ201" i="10" s="1"/>
  <c r="AS210" i="10"/>
  <c r="BQ211" i="10"/>
  <c r="BQ213" i="10" s="1"/>
  <c r="BO213" i="10"/>
  <c r="I130" i="9"/>
  <c r="G131" i="9"/>
  <c r="AW131" i="9" s="1"/>
  <c r="AX130" i="9"/>
  <c r="L130" i="9"/>
  <c r="K121" i="11"/>
  <c r="L121" i="11"/>
  <c r="N121" i="11" s="1"/>
  <c r="Q121" i="11" s="1"/>
  <c r="P121" i="11" s="1"/>
  <c r="M120" i="11"/>
  <c r="O120" i="11" s="1"/>
  <c r="N60" i="18"/>
  <c r="O70" i="18"/>
  <c r="N73" i="18"/>
  <c r="N72" i="18" s="1"/>
  <c r="AZ218" i="10"/>
  <c r="AY219" i="10"/>
  <c r="AZ219" i="10" s="1"/>
  <c r="BE211" i="10"/>
  <c r="BA218" i="10"/>
  <c r="BA219" i="10" s="1"/>
  <c r="C123" i="11"/>
  <c r="E123" i="11" s="1"/>
  <c r="H123" i="11" s="1"/>
  <c r="G123" i="11" s="1"/>
  <c r="D122" i="11"/>
  <c r="F122" i="11" s="1"/>
  <c r="B123" i="11"/>
  <c r="AO206" i="10"/>
  <c r="AP206" i="10" s="1"/>
  <c r="AW206" i="10"/>
  <c r="AX206" i="10" s="1"/>
  <c r="K130" i="25"/>
  <c r="AB213" i="10"/>
  <c r="AB214" i="10" s="1"/>
  <c r="AB215" i="10" s="1"/>
  <c r="AA214" i="10"/>
  <c r="G109" i="22"/>
  <c r="W139" i="9"/>
  <c r="X139" i="9" s="1"/>
  <c r="Z139" i="9"/>
  <c r="U140" i="9"/>
  <c r="N61" i="18"/>
  <c r="O71" i="18"/>
  <c r="D213" i="10"/>
  <c r="D214" i="10" s="1"/>
  <c r="D215" i="10" s="1"/>
  <c r="C214" i="10"/>
  <c r="AJ52" i="9"/>
  <c r="AE52" i="9"/>
  <c r="AF52" i="9" s="1"/>
  <c r="AR216" i="9"/>
  <c r="H216" i="9"/>
  <c r="C216" i="9"/>
  <c r="BG41" i="9"/>
  <c r="BH41" i="9" s="1"/>
  <c r="CU12" i="9"/>
  <c r="G221" i="18" s="1"/>
  <c r="AK211" i="10"/>
  <c r="AK213" i="10" s="1"/>
  <c r="AI213" i="10"/>
  <c r="G125" i="25"/>
  <c r="D130" i="9"/>
  <c r="AT130" i="9" s="1"/>
  <c r="AS130" i="9"/>
  <c r="AS211" i="10"/>
  <c r="AS213" i="10" s="1"/>
  <c r="AQ213" i="10"/>
  <c r="BH213" i="10"/>
  <c r="BH214" i="10" s="1"/>
  <c r="BH215" i="10" s="1"/>
  <c r="BG214" i="10"/>
  <c r="J206" i="10"/>
  <c r="AN140" i="9"/>
  <c r="AI141" i="9"/>
  <c r="AK140" i="9"/>
  <c r="AL140" i="9" s="1"/>
  <c r="CG210" i="10"/>
  <c r="F152" i="25"/>
  <c r="E182" i="17"/>
  <c r="AG225" i="9"/>
  <c r="AD225" i="9" s="1"/>
  <c r="AH224" i="9"/>
  <c r="AR44" i="9"/>
  <c r="H44" i="9"/>
  <c r="C44" i="9"/>
  <c r="S52" i="9"/>
  <c r="P52" i="9" s="1"/>
  <c r="T51" i="9"/>
  <c r="Z225" i="9"/>
  <c r="W225" i="9"/>
  <c r="X225" i="9" s="1"/>
  <c r="U226" i="9"/>
  <c r="CE213" i="10"/>
  <c r="CG211" i="10"/>
  <c r="CG213" i="10" s="1"/>
  <c r="BU206" i="10"/>
  <c r="BV206" i="10" s="1"/>
  <c r="CK206" i="10"/>
  <c r="CL206" i="10" s="1"/>
  <c r="AK210" i="10"/>
  <c r="H32" i="22"/>
  <c r="N83" i="18"/>
  <c r="O83" i="18" s="1"/>
  <c r="E6" i="2" s="1"/>
  <c r="O82" i="18"/>
  <c r="S209" i="10" l="1"/>
  <c r="T208" i="10"/>
  <c r="T209" i="10" s="1"/>
  <c r="T210" i="10" s="1"/>
  <c r="M137" i="13"/>
  <c r="L136" i="13"/>
  <c r="L148" i="13" s="1"/>
  <c r="L184" i="18" s="1"/>
  <c r="L113" i="25" s="1"/>
  <c r="L164" i="13"/>
  <c r="N138" i="13"/>
  <c r="K278" i="15"/>
  <c r="K277" i="15" s="1"/>
  <c r="K289" i="15" s="1"/>
  <c r="K252" i="15"/>
  <c r="K227" i="15" s="1"/>
  <c r="K270" i="15" s="1"/>
  <c r="CO209" i="10"/>
  <c r="CM210" i="10"/>
  <c r="CM211" i="10" s="1"/>
  <c r="BY209" i="10"/>
  <c r="CC206" i="10" s="1"/>
  <c r="CD206" i="10" s="1"/>
  <c r="BW210" i="10"/>
  <c r="BW211" i="10" s="1"/>
  <c r="J138" i="25"/>
  <c r="J208" i="18"/>
  <c r="J137" i="25" s="1"/>
  <c r="V120" i="11"/>
  <c r="X120" i="11" s="1"/>
  <c r="U121" i="11"/>
  <c r="W121" i="11" s="1"/>
  <c r="Z121" i="11" s="1"/>
  <c r="Y121" i="11" s="1"/>
  <c r="T121" i="11"/>
  <c r="BX211" i="10"/>
  <c r="DA201" i="10"/>
  <c r="DL160" i="10" s="1"/>
  <c r="F130" i="22" s="1"/>
  <c r="CY206" i="10"/>
  <c r="K235" i="14"/>
  <c r="CN211" i="10"/>
  <c r="CO210" i="10"/>
  <c r="K209" i="10"/>
  <c r="L208" i="10"/>
  <c r="L209" i="10" s="1"/>
  <c r="L210" i="10" s="1"/>
  <c r="AY130" i="9"/>
  <c r="J130" i="9"/>
  <c r="AZ130" i="9" s="1"/>
  <c r="N84" i="18"/>
  <c r="S226" i="9"/>
  <c r="P226" i="9" s="1"/>
  <c r="T225" i="9"/>
  <c r="D216" i="9"/>
  <c r="AT216" i="9" s="1"/>
  <c r="AS216" i="9"/>
  <c r="AK52" i="9"/>
  <c r="AL52" i="9" s="1"/>
  <c r="AI53" i="9"/>
  <c r="AN52" i="9"/>
  <c r="K15" i="3"/>
  <c r="L15" i="3" s="1"/>
  <c r="N52" i="25"/>
  <c r="O61" i="18"/>
  <c r="C124" i="11"/>
  <c r="E124" i="11" s="1"/>
  <c r="H124" i="11" s="1"/>
  <c r="G124" i="11" s="1"/>
  <c r="D123" i="11"/>
  <c r="F123" i="11" s="1"/>
  <c r="B124" i="11"/>
  <c r="BF211" i="10"/>
  <c r="BF216" i="10" s="1"/>
  <c r="BE216" i="10"/>
  <c r="BC216" i="10" s="1"/>
  <c r="N51" i="25"/>
  <c r="O60" i="18"/>
  <c r="N62" i="18"/>
  <c r="O59" i="18"/>
  <c r="BB130" i="9"/>
  <c r="F130" i="9"/>
  <c r="AV130" i="9" s="1"/>
  <c r="E131" i="9"/>
  <c r="BP213" i="10"/>
  <c r="BP214" i="10" s="1"/>
  <c r="BP215" i="10" s="1"/>
  <c r="BO214" i="10"/>
  <c r="AS44" i="9"/>
  <c r="D44" i="9"/>
  <c r="AT44" i="9" s="1"/>
  <c r="T139" i="9"/>
  <c r="S140" i="9"/>
  <c r="P140" i="9" s="1"/>
  <c r="O73" i="18"/>
  <c r="M121" i="11"/>
  <c r="O121" i="11" s="1"/>
  <c r="L122" i="11"/>
  <c r="N122" i="11" s="1"/>
  <c r="Q122" i="11" s="1"/>
  <c r="P122" i="11" s="1"/>
  <c r="K122" i="11"/>
  <c r="L44" i="9"/>
  <c r="G45" i="9"/>
  <c r="AX44" i="9"/>
  <c r="I44" i="9"/>
  <c r="H33" i="22"/>
  <c r="I32" i="22"/>
  <c r="CF213" i="10"/>
  <c r="CF214" i="10" s="1"/>
  <c r="CF215" i="10" s="1"/>
  <c r="CE214" i="10"/>
  <c r="BI214" i="10"/>
  <c r="BG218" i="10"/>
  <c r="BG215" i="10"/>
  <c r="AR213" i="10"/>
  <c r="AR214" i="10" s="1"/>
  <c r="AR215" i="10" s="1"/>
  <c r="AQ214" i="10"/>
  <c r="G217" i="9"/>
  <c r="AW217" i="9" s="1"/>
  <c r="L216" i="9"/>
  <c r="I216" i="9"/>
  <c r="AX216" i="9"/>
  <c r="E214" i="10"/>
  <c r="C218" i="10"/>
  <c r="C215" i="10"/>
  <c r="D30" i="26"/>
  <c r="AJ225" i="9"/>
  <c r="AE225" i="9"/>
  <c r="AF225" i="9" s="1"/>
  <c r="AJ213" i="10"/>
  <c r="AJ214" i="10" s="1"/>
  <c r="AJ215" i="10" s="1"/>
  <c r="AI214" i="10"/>
  <c r="V52" i="9"/>
  <c r="Q52" i="9"/>
  <c r="R52" i="9" s="1"/>
  <c r="AG141" i="9"/>
  <c r="AD141" i="9" s="1"/>
  <c r="AH140" i="9"/>
  <c r="BI215" i="10"/>
  <c r="G115" i="22"/>
  <c r="F188" i="17" s="1"/>
  <c r="G150" i="25"/>
  <c r="E215" i="10"/>
  <c r="AC214" i="10"/>
  <c r="AA218" i="10"/>
  <c r="AA215" i="10"/>
  <c r="AC215" i="10" s="1"/>
  <c r="C136" i="18"/>
  <c r="O72" i="18"/>
  <c r="D136" i="18" s="1"/>
  <c r="BY210" i="10" l="1"/>
  <c r="T211" i="10"/>
  <c r="U209" i="10"/>
  <c r="Y206" i="10" s="1"/>
  <c r="Z206" i="10" s="1"/>
  <c r="S210" i="10"/>
  <c r="S211" i="10" s="1"/>
  <c r="BY211" i="10"/>
  <c r="BY213" i="10" s="1"/>
  <c r="BW213" i="10"/>
  <c r="F123" i="22"/>
  <c r="F136" i="22" s="1"/>
  <c r="K141" i="17"/>
  <c r="L211" i="10"/>
  <c r="K280" i="14"/>
  <c r="K211" i="18" s="1"/>
  <c r="K223" i="14"/>
  <c r="K257" i="14" s="1"/>
  <c r="E133" i="22" s="1"/>
  <c r="K269" i="14"/>
  <c r="CM213" i="10"/>
  <c r="CO211" i="10"/>
  <c r="CO213" i="10" s="1"/>
  <c r="CS206" i="10"/>
  <c r="M209" i="10"/>
  <c r="K210" i="10"/>
  <c r="K211" i="10" s="1"/>
  <c r="V121" i="11"/>
  <c r="X121" i="11" s="1"/>
  <c r="T122" i="11"/>
  <c r="U122" i="11"/>
  <c r="W122" i="11" s="1"/>
  <c r="Z122" i="11" s="1"/>
  <c r="Y122" i="11" s="1"/>
  <c r="BK41" i="9"/>
  <c r="CU14" i="9"/>
  <c r="C102" i="18"/>
  <c r="O84" i="18"/>
  <c r="E8" i="2" s="1"/>
  <c r="C68" i="22"/>
  <c r="C96" i="25"/>
  <c r="C139" i="18"/>
  <c r="AB218" i="10"/>
  <c r="AA219" i="10"/>
  <c r="AB219" i="10" s="1"/>
  <c r="AY216" i="9"/>
  <c r="J216" i="9"/>
  <c r="AZ216" i="9" s="1"/>
  <c r="CG214" i="10"/>
  <c r="CE218" i="10"/>
  <c r="CE215" i="10"/>
  <c r="CG215" i="10" s="1"/>
  <c r="M57" i="17"/>
  <c r="N57" i="17" s="1"/>
  <c r="N59" i="17" s="1"/>
  <c r="M7" i="27"/>
  <c r="H37" i="22"/>
  <c r="C15" i="3"/>
  <c r="D15" i="3" s="1"/>
  <c r="F44" i="9"/>
  <c r="AV44" i="9" s="1"/>
  <c r="BB44" i="9"/>
  <c r="E45" i="9"/>
  <c r="BQ214" i="10"/>
  <c r="BO218" i="10"/>
  <c r="BO215" i="10"/>
  <c r="BQ215" i="10" s="1"/>
  <c r="V226" i="9"/>
  <c r="Q226" i="9"/>
  <c r="R226" i="9" s="1"/>
  <c r="AG211" i="10"/>
  <c r="AC218" i="10"/>
  <c r="AC219" i="10" s="1"/>
  <c r="E217" i="9"/>
  <c r="BB216" i="9"/>
  <c r="F216" i="9"/>
  <c r="AV216" i="9" s="1"/>
  <c r="AY44" i="9"/>
  <c r="J44" i="9"/>
  <c r="AZ44" i="9" s="1"/>
  <c r="C141" i="18"/>
  <c r="D36" i="26"/>
  <c r="B45" i="23"/>
  <c r="B12" i="29" s="1"/>
  <c r="C20" i="29" s="1"/>
  <c r="O50" i="25"/>
  <c r="AK214" i="10"/>
  <c r="AI218" i="10"/>
  <c r="AI215" i="10"/>
  <c r="I211" i="10"/>
  <c r="E218" i="10"/>
  <c r="E219" i="10" s="1"/>
  <c r="BH218" i="10"/>
  <c r="BG219" i="10"/>
  <c r="BH219" i="10" s="1"/>
  <c r="V140" i="9"/>
  <c r="Q140" i="9"/>
  <c r="R140" i="9" s="1"/>
  <c r="B131" i="9"/>
  <c r="AU131" i="9"/>
  <c r="O62" i="18"/>
  <c r="N53" i="25"/>
  <c r="B14" i="24" s="1"/>
  <c r="AG53" i="9"/>
  <c r="AD53" i="9" s="1"/>
  <c r="AH52" i="9"/>
  <c r="W52" i="9"/>
  <c r="X52" i="9" s="1"/>
  <c r="U53" i="9"/>
  <c r="Z52" i="9"/>
  <c r="AI226" i="9"/>
  <c r="AN225" i="9"/>
  <c r="AK225" i="9"/>
  <c r="AL225" i="9" s="1"/>
  <c r="D218" i="10"/>
  <c r="C219" i="10"/>
  <c r="D219" i="10" s="1"/>
  <c r="M122" i="11"/>
  <c r="O122" i="11" s="1"/>
  <c r="K123" i="11"/>
  <c r="L123" i="11"/>
  <c r="N123" i="11" s="1"/>
  <c r="Q123" i="11" s="1"/>
  <c r="P123" i="11" s="1"/>
  <c r="D96" i="25"/>
  <c r="D68" i="22"/>
  <c r="C122" i="17" s="1"/>
  <c r="D139" i="18"/>
  <c r="AE141" i="9"/>
  <c r="AF141" i="9" s="1"/>
  <c r="AJ141" i="9"/>
  <c r="AK215" i="10"/>
  <c r="B128" i="31"/>
  <c r="B122" i="31" s="1"/>
  <c r="D24" i="26"/>
  <c r="AS214" i="10"/>
  <c r="AQ218" i="10"/>
  <c r="AQ215" i="10"/>
  <c r="AS215" i="10" s="1"/>
  <c r="BM211" i="10"/>
  <c r="BI218" i="10"/>
  <c r="BI219" i="10" s="1"/>
  <c r="B182" i="31"/>
  <c r="B9" i="21"/>
  <c r="I33" i="22"/>
  <c r="AW45" i="9"/>
  <c r="G145" i="17"/>
  <c r="G143" i="17" s="1"/>
  <c r="H109" i="22" s="1"/>
  <c r="H198" i="18"/>
  <c r="O51" i="25"/>
  <c r="B46" i="23"/>
  <c r="E16" i="2"/>
  <c r="E15" i="2" s="1"/>
  <c r="B125" i="11"/>
  <c r="C125" i="11"/>
  <c r="E125" i="11" s="1"/>
  <c r="H125" i="11" s="1"/>
  <c r="G125" i="11" s="1"/>
  <c r="D124" i="11"/>
  <c r="F124" i="11" s="1"/>
  <c r="B47" i="23"/>
  <c r="B7" i="2"/>
  <c r="B3" i="2" s="1"/>
  <c r="O52" i="25"/>
  <c r="S213" i="10" l="1"/>
  <c r="U211" i="10"/>
  <c r="U213" i="10" s="1"/>
  <c r="M210" i="10"/>
  <c r="CZ206" i="10" s="1"/>
  <c r="DA206" i="10" s="1"/>
  <c r="DM160" i="10" s="1"/>
  <c r="G130" i="22" s="1"/>
  <c r="U210" i="10"/>
  <c r="U123" i="11"/>
  <c r="W123" i="11" s="1"/>
  <c r="Z123" i="11" s="1"/>
  <c r="Y123" i="11" s="1"/>
  <c r="V122" i="11"/>
  <c r="X122" i="11" s="1"/>
  <c r="T123" i="11"/>
  <c r="Q206" i="10"/>
  <c r="CN213" i="10"/>
  <c r="CN214" i="10" s="1"/>
  <c r="CN215" i="10" s="1"/>
  <c r="CM214" i="10"/>
  <c r="M211" i="10"/>
  <c r="M213" i="10" s="1"/>
  <c r="K213" i="10"/>
  <c r="CT206" i="10"/>
  <c r="BW214" i="10"/>
  <c r="BX213" i="10"/>
  <c r="BX214" i="10" s="1"/>
  <c r="BX215" i="10" s="1"/>
  <c r="K209" i="18"/>
  <c r="K140" i="25"/>
  <c r="CY211" i="10"/>
  <c r="K151" i="17"/>
  <c r="L204" i="18" s="1"/>
  <c r="L133" i="25" s="1"/>
  <c r="K148" i="17"/>
  <c r="L201" i="18" s="1"/>
  <c r="L240" i="14"/>
  <c r="L239" i="14"/>
  <c r="L255" i="15"/>
  <c r="L280" i="15" s="1"/>
  <c r="L256" i="15"/>
  <c r="L281" i="15" s="1"/>
  <c r="L257" i="15"/>
  <c r="L282" i="15" s="1"/>
  <c r="L241" i="14"/>
  <c r="L237" i="14"/>
  <c r="L243" i="14"/>
  <c r="L254" i="15"/>
  <c r="L279" i="15" s="1"/>
  <c r="K152" i="17"/>
  <c r="L205" i="18" s="1"/>
  <c r="L134" i="25" s="1"/>
  <c r="L238" i="14"/>
  <c r="L253" i="15"/>
  <c r="L242" i="14"/>
  <c r="L245" i="14"/>
  <c r="L244" i="14"/>
  <c r="L236" i="14"/>
  <c r="L124" i="11"/>
  <c r="N124" i="11" s="1"/>
  <c r="Q124" i="11" s="1"/>
  <c r="P124" i="11" s="1"/>
  <c r="K124" i="11"/>
  <c r="M123" i="11"/>
  <c r="O123" i="11" s="1"/>
  <c r="B126" i="11"/>
  <c r="D125" i="11"/>
  <c r="F125" i="11" s="1"/>
  <c r="C126" i="11"/>
  <c r="E126" i="11" s="1"/>
  <c r="H126" i="11" s="1"/>
  <c r="G126" i="11" s="1"/>
  <c r="H127" i="25"/>
  <c r="H196" i="18"/>
  <c r="C99" i="25"/>
  <c r="J16" i="3"/>
  <c r="I109" i="22"/>
  <c r="B207" i="31"/>
  <c r="B208" i="31" s="1"/>
  <c r="B183" i="31"/>
  <c r="AR218" i="10"/>
  <c r="AQ219" i="10"/>
  <c r="AR219" i="10" s="1"/>
  <c r="D99" i="25"/>
  <c r="J17" i="3"/>
  <c r="AG226" i="9"/>
  <c r="AD226" i="9" s="1"/>
  <c r="AH225" i="9"/>
  <c r="C131" i="9"/>
  <c r="H131" i="9"/>
  <c r="AR131" i="9"/>
  <c r="W140" i="9"/>
  <c r="X140" i="9" s="1"/>
  <c r="Z140" i="9"/>
  <c r="U141" i="9"/>
  <c r="J211" i="10"/>
  <c r="J216" i="10" s="1"/>
  <c r="I216" i="10"/>
  <c r="G216" i="10" s="1"/>
  <c r="AJ218" i="10"/>
  <c r="AI219" i="10"/>
  <c r="AJ219" i="10" s="1"/>
  <c r="C22" i="29"/>
  <c r="CU17" i="9"/>
  <c r="BM41" i="9"/>
  <c r="AU217" i="9"/>
  <c r="B217" i="9"/>
  <c r="U227" i="9"/>
  <c r="Z226" i="9"/>
  <c r="W226" i="9"/>
  <c r="X226" i="9" s="1"/>
  <c r="B45" i="9"/>
  <c r="AU45" i="9"/>
  <c r="H40" i="22"/>
  <c r="I37" i="22"/>
  <c r="CF218" i="10"/>
  <c r="CE219" i="10"/>
  <c r="CF219" i="10" s="1"/>
  <c r="BI42" i="9"/>
  <c r="BJ42" i="9" s="1"/>
  <c r="CV13" i="9"/>
  <c r="AW211" i="10"/>
  <c r="AS218" i="10"/>
  <c r="AS219" i="10" s="1"/>
  <c r="B39" i="20"/>
  <c r="B15" i="24"/>
  <c r="AO211" i="10"/>
  <c r="AK218" i="10"/>
  <c r="AK219" i="10" s="1"/>
  <c r="B134" i="31"/>
  <c r="D34" i="26"/>
  <c r="BL41" i="9"/>
  <c r="CU16" i="9"/>
  <c r="M12" i="27"/>
  <c r="CK211" i="10"/>
  <c r="CG218" i="10"/>
  <c r="CG219" i="10" s="1"/>
  <c r="D33" i="26"/>
  <c r="E51" i="2"/>
  <c r="E3" i="2"/>
  <c r="J42" i="22"/>
  <c r="J32" i="22"/>
  <c r="J31" i="22"/>
  <c r="J36" i="22"/>
  <c r="J71" i="22"/>
  <c r="J29" i="22"/>
  <c r="B5" i="29"/>
  <c r="J40" i="22"/>
  <c r="J30" i="22"/>
  <c r="N7" i="27"/>
  <c r="J47" i="22"/>
  <c r="J39" i="22"/>
  <c r="J33" i="22"/>
  <c r="J46" i="22"/>
  <c r="J35" i="22"/>
  <c r="J43" i="22"/>
  <c r="J41" i="22"/>
  <c r="B10" i="21"/>
  <c r="J37" i="22"/>
  <c r="J38" i="22"/>
  <c r="J45" i="22"/>
  <c r="J44" i="22"/>
  <c r="BN211" i="10"/>
  <c r="BN216" i="10" s="1"/>
  <c r="BM216" i="10"/>
  <c r="BK216" i="10" s="1"/>
  <c r="AI142" i="9"/>
  <c r="AN141" i="9"/>
  <c r="AK141" i="9"/>
  <c r="AL141" i="9" s="1"/>
  <c r="T52" i="9"/>
  <c r="S53" i="9"/>
  <c r="P53" i="9" s="1"/>
  <c r="AE53" i="9"/>
  <c r="AF53" i="9" s="1"/>
  <c r="AJ53" i="9"/>
  <c r="O53" i="25"/>
  <c r="B48" i="23"/>
  <c r="D66" i="26"/>
  <c r="B163" i="31" s="1"/>
  <c r="L130" i="25"/>
  <c r="O141" i="18"/>
  <c r="C101" i="25"/>
  <c r="E46" i="2"/>
  <c r="AH211" i="10"/>
  <c r="AH216" i="10" s="1"/>
  <c r="AG216" i="10"/>
  <c r="AE216" i="10" s="1"/>
  <c r="BP218" i="10"/>
  <c r="BO219" i="10"/>
  <c r="BP219" i="10" s="1"/>
  <c r="C23" i="22"/>
  <c r="N62" i="17"/>
  <c r="B23" i="2" s="1"/>
  <c r="E123" i="17"/>
  <c r="H123" i="17"/>
  <c r="K123" i="17"/>
  <c r="M123" i="17"/>
  <c r="B122" i="17"/>
  <c r="C62" i="25"/>
  <c r="C105" i="18"/>
  <c r="BU211" i="10"/>
  <c r="BQ218" i="10"/>
  <c r="BQ219" i="10" s="1"/>
  <c r="F176" i="17"/>
  <c r="G223" i="18"/>
  <c r="S214" i="10" l="1"/>
  <c r="T213" i="10"/>
  <c r="T214" i="10" s="1"/>
  <c r="T215" i="10" s="1"/>
  <c r="CO214" i="10"/>
  <c r="CM218" i="10"/>
  <c r="CM215" i="10"/>
  <c r="CO215" i="10" s="1"/>
  <c r="U124" i="11"/>
  <c r="W124" i="11" s="1"/>
  <c r="Z124" i="11" s="1"/>
  <c r="Y124" i="11" s="1"/>
  <c r="V123" i="11"/>
  <c r="X123" i="11" s="1"/>
  <c r="T124" i="11"/>
  <c r="K138" i="25"/>
  <c r="K208" i="18"/>
  <c r="K137" i="25" s="1"/>
  <c r="R206" i="10"/>
  <c r="CX206" i="10" s="1"/>
  <c r="DM161" i="10" s="1"/>
  <c r="L174" i="17" s="1"/>
  <c r="CW206" i="10"/>
  <c r="DM158" i="10" s="1"/>
  <c r="M134" i="13" s="1"/>
  <c r="BW218" i="10"/>
  <c r="BY214" i="10"/>
  <c r="BW215" i="10"/>
  <c r="BY215" i="10" s="1"/>
  <c r="K214" i="10"/>
  <c r="L213" i="10"/>
  <c r="L214" i="10" s="1"/>
  <c r="L215" i="10" s="1"/>
  <c r="L235" i="14"/>
  <c r="L278" i="15"/>
  <c r="L277" i="15" s="1"/>
  <c r="L289" i="15" s="1"/>
  <c r="L252" i="15"/>
  <c r="L227" i="15" s="1"/>
  <c r="L270" i="15" s="1"/>
  <c r="B41" i="2"/>
  <c r="D60" i="26"/>
  <c r="B15" i="2"/>
  <c r="Q53" i="9"/>
  <c r="R53" i="9" s="1"/>
  <c r="V53" i="9"/>
  <c r="H43" i="22"/>
  <c r="I40" i="22"/>
  <c r="S227" i="9"/>
  <c r="P227" i="9" s="1"/>
  <c r="T226" i="9"/>
  <c r="I16" i="3"/>
  <c r="C65" i="25"/>
  <c r="C142" i="18"/>
  <c r="E124" i="17"/>
  <c r="E125" i="17"/>
  <c r="H125" i="17" s="1"/>
  <c r="I7" i="30"/>
  <c r="D7" i="30"/>
  <c r="K7" i="30"/>
  <c r="I8" i="30"/>
  <c r="K8" i="30"/>
  <c r="E7" i="30"/>
  <c r="B7" i="29"/>
  <c r="B10" i="29" s="1"/>
  <c r="H8" i="30"/>
  <c r="B8" i="30"/>
  <c r="D8" i="30"/>
  <c r="B16" i="29"/>
  <c r="C7" i="30"/>
  <c r="J7" i="30"/>
  <c r="B8" i="29"/>
  <c r="G7" i="30"/>
  <c r="G8" i="30"/>
  <c r="F7" i="30"/>
  <c r="H7" i="30"/>
  <c r="C8" i="30"/>
  <c r="F8" i="30"/>
  <c r="E8" i="30"/>
  <c r="B17" i="29"/>
  <c r="J8" i="30"/>
  <c r="B7" i="30"/>
  <c r="B9" i="30"/>
  <c r="I9" i="30"/>
  <c r="K9" i="30"/>
  <c r="C9" i="30"/>
  <c r="H9" i="30"/>
  <c r="J9" i="30"/>
  <c r="G9" i="30"/>
  <c r="E9" i="30"/>
  <c r="D9" i="30"/>
  <c r="F9" i="30"/>
  <c r="F10" i="30"/>
  <c r="E10" i="30"/>
  <c r="K10" i="30"/>
  <c r="I10" i="30"/>
  <c r="C10" i="30"/>
  <c r="G10" i="30"/>
  <c r="J10" i="30"/>
  <c r="D10" i="30"/>
  <c r="B10" i="30"/>
  <c r="H10" i="30"/>
  <c r="I11" i="30"/>
  <c r="H11" i="30"/>
  <c r="K11" i="30"/>
  <c r="G11" i="30"/>
  <c r="F11" i="30"/>
  <c r="D11" i="30"/>
  <c r="J11" i="30"/>
  <c r="E11" i="30"/>
  <c r="B11" i="30"/>
  <c r="C11" i="30"/>
  <c r="J12" i="30"/>
  <c r="B12" i="30"/>
  <c r="K12" i="30"/>
  <c r="I12" i="30"/>
  <c r="C12" i="30"/>
  <c r="G12" i="30"/>
  <c r="H12" i="30"/>
  <c r="E12" i="30"/>
  <c r="F12" i="30"/>
  <c r="D12" i="30"/>
  <c r="E13" i="30"/>
  <c r="K13" i="30"/>
  <c r="I13" i="30"/>
  <c r="J13" i="30"/>
  <c r="G13" i="30"/>
  <c r="F13" i="30"/>
  <c r="B13" i="30"/>
  <c r="H13" i="30"/>
  <c r="C13" i="30"/>
  <c r="D13" i="30"/>
  <c r="G14" i="30"/>
  <c r="J14" i="30"/>
  <c r="E14" i="30"/>
  <c r="I14" i="30"/>
  <c r="K14" i="30"/>
  <c r="H14" i="30"/>
  <c r="D14" i="30"/>
  <c r="B14" i="30"/>
  <c r="C14" i="30"/>
  <c r="F14" i="30"/>
  <c r="H15" i="30"/>
  <c r="F15" i="30"/>
  <c r="K15" i="30"/>
  <c r="J15" i="30"/>
  <c r="G15" i="30"/>
  <c r="C15" i="30"/>
  <c r="B15" i="30"/>
  <c r="D15" i="30"/>
  <c r="E15" i="30"/>
  <c r="I15" i="30"/>
  <c r="CL211" i="10"/>
  <c r="CK216" i="10"/>
  <c r="CI216" i="10" s="1"/>
  <c r="AP211" i="10"/>
  <c r="AP216" i="10" s="1"/>
  <c r="AO216" i="10"/>
  <c r="AM216" i="10" s="1"/>
  <c r="BG42" i="9"/>
  <c r="BH42" i="9" s="1"/>
  <c r="CV12" i="9"/>
  <c r="H221" i="18" s="1"/>
  <c r="CU18" i="9"/>
  <c r="G132" i="9"/>
  <c r="AW132" i="9" s="1"/>
  <c r="AX131" i="9"/>
  <c r="L131" i="9"/>
  <c r="I131" i="9"/>
  <c r="K125" i="11"/>
  <c r="M124" i="11"/>
  <c r="O124" i="11" s="1"/>
  <c r="L125" i="11"/>
  <c r="N125" i="11" s="1"/>
  <c r="Q125" i="11" s="1"/>
  <c r="P125" i="11" s="1"/>
  <c r="M125" i="17"/>
  <c r="M124" i="17"/>
  <c r="N134" i="18" s="1"/>
  <c r="AK53" i="9"/>
  <c r="AL53" i="9" s="1"/>
  <c r="AI54" i="9"/>
  <c r="AN53" i="9"/>
  <c r="C16" i="21"/>
  <c r="C9" i="21"/>
  <c r="C24" i="21"/>
  <c r="C10" i="21"/>
  <c r="C15" i="21"/>
  <c r="C8" i="21"/>
  <c r="C19" i="21"/>
  <c r="C23" i="21"/>
  <c r="C7" i="21"/>
  <c r="C12" i="21"/>
  <c r="C21" i="21"/>
  <c r="C6" i="21"/>
  <c r="B14" i="21"/>
  <c r="B17" i="21" s="1"/>
  <c r="B20" i="21" s="1"/>
  <c r="B22" i="21" s="1"/>
  <c r="C17" i="21"/>
  <c r="C18" i="21"/>
  <c r="C14" i="21"/>
  <c r="C20" i="21"/>
  <c r="C22" i="21"/>
  <c r="C13" i="21"/>
  <c r="D32" i="26"/>
  <c r="D39" i="26" s="1"/>
  <c r="B131" i="31"/>
  <c r="B130" i="31" s="1"/>
  <c r="AX211" i="10"/>
  <c r="AX216" i="10" s="1"/>
  <c r="AW216" i="10"/>
  <c r="AU216" i="10" s="1"/>
  <c r="H45" i="9"/>
  <c r="C45" i="9"/>
  <c r="AR45" i="9"/>
  <c r="H217" i="9"/>
  <c r="C217" i="9"/>
  <c r="AR217" i="9"/>
  <c r="T140" i="9"/>
  <c r="S141" i="9"/>
  <c r="P141" i="9" s="1"/>
  <c r="D131" i="9"/>
  <c r="AT131" i="9" s="1"/>
  <c r="AS131" i="9"/>
  <c r="B209" i="31"/>
  <c r="B210" i="31" s="1"/>
  <c r="BV211" i="10"/>
  <c r="BV216" i="10" s="1"/>
  <c r="BU216" i="10"/>
  <c r="BS216" i="10" s="1"/>
  <c r="D23" i="22"/>
  <c r="C24" i="22"/>
  <c r="O101" i="25"/>
  <c r="C42" i="23"/>
  <c r="AG142" i="9"/>
  <c r="AD142" i="9" s="1"/>
  <c r="AH141" i="9"/>
  <c r="B91" i="31"/>
  <c r="B132" i="31"/>
  <c r="B168" i="31" s="1"/>
  <c r="C23" i="29"/>
  <c r="AE226" i="9"/>
  <c r="AF226" i="9" s="1"/>
  <c r="AJ226" i="9"/>
  <c r="H125" i="25"/>
  <c r="C127" i="11"/>
  <c r="E127" i="11" s="1"/>
  <c r="H127" i="11" s="1"/>
  <c r="G127" i="11" s="1"/>
  <c r="D126" i="11"/>
  <c r="F126" i="11" s="1"/>
  <c r="B127" i="11"/>
  <c r="F182" i="17"/>
  <c r="G152" i="25"/>
  <c r="G224" i="18"/>
  <c r="U214" i="10" l="1"/>
  <c r="S218" i="10"/>
  <c r="S215" i="10"/>
  <c r="U215" i="10" s="1"/>
  <c r="K124" i="17"/>
  <c r="L134" i="18" s="1"/>
  <c r="K125" i="17"/>
  <c r="M214" i="10"/>
  <c r="K218" i="10"/>
  <c r="K215" i="10"/>
  <c r="BX218" i="10"/>
  <c r="BW219" i="10"/>
  <c r="BX219" i="10" s="1"/>
  <c r="H124" i="17"/>
  <c r="I134" i="18" s="1"/>
  <c r="I94" i="25" s="1"/>
  <c r="L223" i="14"/>
  <c r="L257" i="14" s="1"/>
  <c r="F133" i="22" s="1"/>
  <c r="L269" i="14"/>
  <c r="L280" i="14"/>
  <c r="L211" i="18" s="1"/>
  <c r="N137" i="13"/>
  <c r="M164" i="13"/>
  <c r="M136" i="13"/>
  <c r="M148" i="13" s="1"/>
  <c r="M184" i="18" s="1"/>
  <c r="M113" i="25" s="1"/>
  <c r="T125" i="11"/>
  <c r="U125" i="11"/>
  <c r="W125" i="11" s="1"/>
  <c r="Z125" i="11" s="1"/>
  <c r="Y125" i="11" s="1"/>
  <c r="V124" i="11"/>
  <c r="X124" i="11" s="1"/>
  <c r="CN218" i="10"/>
  <c r="CM219" i="10"/>
  <c r="CN219" i="10" s="1"/>
  <c r="M215" i="10"/>
  <c r="BY218" i="10"/>
  <c r="BY219" i="10" s="1"/>
  <c r="CC211" i="10"/>
  <c r="CS211" i="10"/>
  <c r="CO218" i="10"/>
  <c r="CO219" i="10" s="1"/>
  <c r="L94" i="25"/>
  <c r="L131" i="18"/>
  <c r="I131" i="18"/>
  <c r="L217" i="9"/>
  <c r="AX217" i="9"/>
  <c r="G218" i="9"/>
  <c r="AW218" i="9" s="1"/>
  <c r="I217" i="9"/>
  <c r="H65" i="30"/>
  <c r="G63" i="30"/>
  <c r="H62" i="30"/>
  <c r="F61" i="30"/>
  <c r="D59" i="30"/>
  <c r="B59" i="30"/>
  <c r="J57" i="30"/>
  <c r="K58" i="30"/>
  <c r="C128" i="11"/>
  <c r="E128" i="11" s="1"/>
  <c r="H128" i="11" s="1"/>
  <c r="G128" i="11" s="1"/>
  <c r="B128" i="11"/>
  <c r="D127" i="11"/>
  <c r="F127" i="11" s="1"/>
  <c r="AI227" i="9"/>
  <c r="AK226" i="9"/>
  <c r="AL226" i="9" s="1"/>
  <c r="AN226" i="9"/>
  <c r="B23" i="31"/>
  <c r="B20" i="31"/>
  <c r="E23" i="22"/>
  <c r="D24" i="22"/>
  <c r="G5" i="3" s="1"/>
  <c r="AS217" i="9"/>
  <c r="D217" i="9"/>
  <c r="AT217" i="9" s="1"/>
  <c r="I45" i="9"/>
  <c r="AX45" i="9"/>
  <c r="G46" i="9"/>
  <c r="L45" i="9"/>
  <c r="E11" i="26"/>
  <c r="E27" i="26"/>
  <c r="E31" i="26"/>
  <c r="E28" i="26"/>
  <c r="E35" i="26"/>
  <c r="E6" i="26"/>
  <c r="E13" i="26"/>
  <c r="E22" i="26"/>
  <c r="E21" i="26"/>
  <c r="E33" i="26"/>
  <c r="E37" i="26"/>
  <c r="E25" i="26"/>
  <c r="E17" i="26"/>
  <c r="E14" i="26"/>
  <c r="E4" i="26"/>
  <c r="E12" i="26"/>
  <c r="E7" i="26"/>
  <c r="E30" i="26"/>
  <c r="E32" i="26"/>
  <c r="E23" i="26"/>
  <c r="E36" i="26"/>
  <c r="E15" i="26"/>
  <c r="E29" i="26"/>
  <c r="E10" i="26"/>
  <c r="E19" i="26"/>
  <c r="E8" i="26"/>
  <c r="E24" i="26"/>
  <c r="E3" i="26"/>
  <c r="E20" i="26"/>
  <c r="E9" i="26"/>
  <c r="E18" i="26"/>
  <c r="E38" i="26"/>
  <c r="E5" i="26"/>
  <c r="E16" i="26"/>
  <c r="E34" i="26"/>
  <c r="E26" i="26"/>
  <c r="AG54" i="9"/>
  <c r="AD54" i="9" s="1"/>
  <c r="AH53" i="9"/>
  <c r="I65" i="30"/>
  <c r="C65" i="30"/>
  <c r="F65" i="30"/>
  <c r="B64" i="30"/>
  <c r="I64" i="30"/>
  <c r="D63" i="30"/>
  <c r="F63" i="30"/>
  <c r="K63" i="30"/>
  <c r="E62" i="30"/>
  <c r="I62" i="30"/>
  <c r="C61" i="30"/>
  <c r="D61" i="30"/>
  <c r="H61" i="30"/>
  <c r="D60" i="30"/>
  <c r="I60" i="30"/>
  <c r="F59" i="30"/>
  <c r="J59" i="30"/>
  <c r="I59" i="30"/>
  <c r="H57" i="30"/>
  <c r="D6" i="30"/>
  <c r="C6" i="30"/>
  <c r="B6" i="30"/>
  <c r="B61" i="29"/>
  <c r="E6" i="30"/>
  <c r="F6" i="30"/>
  <c r="G6" i="30"/>
  <c r="H6" i="30"/>
  <c r="I6" i="30"/>
  <c r="J6" i="30"/>
  <c r="K6" i="30"/>
  <c r="D58" i="30"/>
  <c r="E57" i="30"/>
  <c r="D57" i="30"/>
  <c r="C102" i="25"/>
  <c r="C144" i="18"/>
  <c r="V227" i="9"/>
  <c r="Q227" i="9"/>
  <c r="R227" i="9" s="1"/>
  <c r="U54" i="9"/>
  <c r="W53" i="9"/>
  <c r="X53" i="9" s="1"/>
  <c r="Z53" i="9"/>
  <c r="B157" i="31"/>
  <c r="B156" i="31" s="1"/>
  <c r="B151" i="31" s="1"/>
  <c r="B169" i="31" s="1"/>
  <c r="B64" i="31" s="1"/>
  <c r="D59" i="26"/>
  <c r="D54" i="26" s="1"/>
  <c r="Q141" i="9"/>
  <c r="R141" i="9" s="1"/>
  <c r="V141" i="9"/>
  <c r="G65" i="30"/>
  <c r="E64" i="30"/>
  <c r="K62" i="30"/>
  <c r="J60" i="30"/>
  <c r="H59" i="30"/>
  <c r="F57" i="30"/>
  <c r="B58" i="30"/>
  <c r="I57" i="30"/>
  <c r="G4" i="3"/>
  <c r="H4" i="3" s="1"/>
  <c r="BB131" i="9"/>
  <c r="F131" i="9"/>
  <c r="AV131" i="9" s="1"/>
  <c r="E132" i="9"/>
  <c r="H150" i="25"/>
  <c r="H115" i="22"/>
  <c r="G188" i="17" s="1"/>
  <c r="D65" i="30"/>
  <c r="J65" i="30"/>
  <c r="F64" i="30"/>
  <c r="H64" i="30"/>
  <c r="J64" i="30"/>
  <c r="H63" i="30"/>
  <c r="J63" i="30"/>
  <c r="D62" i="30"/>
  <c r="G62" i="30"/>
  <c r="B62" i="30"/>
  <c r="E61" i="30"/>
  <c r="G61" i="30"/>
  <c r="H60" i="30"/>
  <c r="G60" i="30"/>
  <c r="E60" i="30"/>
  <c r="E59" i="30"/>
  <c r="C59" i="30"/>
  <c r="B57" i="30"/>
  <c r="F58" i="30"/>
  <c r="G58" i="30"/>
  <c r="C57" i="30"/>
  <c r="H58" i="30"/>
  <c r="I58" i="30"/>
  <c r="N125" i="17"/>
  <c r="H45" i="22"/>
  <c r="I43" i="22"/>
  <c r="AY131" i="9"/>
  <c r="J131" i="9"/>
  <c r="AZ131" i="9" s="1"/>
  <c r="E65" i="30"/>
  <c r="D64" i="30"/>
  <c r="C63" i="30"/>
  <c r="E63" i="30"/>
  <c r="B61" i="30"/>
  <c r="I61" i="30"/>
  <c r="K60" i="30"/>
  <c r="E58" i="30"/>
  <c r="G153" i="25"/>
  <c r="J32" i="3"/>
  <c r="AE142" i="9"/>
  <c r="AF142" i="9" s="1"/>
  <c r="AJ142" i="9"/>
  <c r="D45" i="9"/>
  <c r="AT45" i="9" s="1"/>
  <c r="AS45" i="9"/>
  <c r="B137" i="31"/>
  <c r="N94" i="25"/>
  <c r="N131" i="18"/>
  <c r="L126" i="11"/>
  <c r="N126" i="11" s="1"/>
  <c r="Q126" i="11" s="1"/>
  <c r="P126" i="11" s="1"/>
  <c r="M125" i="11"/>
  <c r="O125" i="11" s="1"/>
  <c r="K126" i="11"/>
  <c r="CL216" i="10"/>
  <c r="B65" i="30"/>
  <c r="K65" i="30"/>
  <c r="C64" i="30"/>
  <c r="K64" i="30"/>
  <c r="G64" i="30"/>
  <c r="B63" i="30"/>
  <c r="I63" i="30"/>
  <c r="F62" i="30"/>
  <c r="C62" i="30"/>
  <c r="J62" i="30"/>
  <c r="J61" i="30"/>
  <c r="K61" i="30"/>
  <c r="B60" i="30"/>
  <c r="C60" i="30"/>
  <c r="F60" i="30"/>
  <c r="G59" i="30"/>
  <c r="K59" i="30"/>
  <c r="J58" i="30"/>
  <c r="C58" i="30"/>
  <c r="G57" i="30"/>
  <c r="K57" i="30"/>
  <c r="F134" i="18"/>
  <c r="CZ211" i="10" l="1"/>
  <c r="T218" i="10"/>
  <c r="S219" i="10"/>
  <c r="T219" i="10" s="1"/>
  <c r="Y211" i="10"/>
  <c r="U218" i="10"/>
  <c r="U219" i="10" s="1"/>
  <c r="CZ216" i="10"/>
  <c r="DA211" i="10"/>
  <c r="DN160" i="10" s="1"/>
  <c r="H130" i="22" s="1"/>
  <c r="I130" i="22" s="1"/>
  <c r="L218" i="10"/>
  <c r="K219" i="10"/>
  <c r="L219" i="10" s="1"/>
  <c r="CT211" i="10"/>
  <c r="CS216" i="10"/>
  <c r="CQ216" i="10" s="1"/>
  <c r="U126" i="11"/>
  <c r="W126" i="11" s="1"/>
  <c r="Z126" i="11" s="1"/>
  <c r="Y126" i="11" s="1"/>
  <c r="V125" i="11"/>
  <c r="X125" i="11" s="1"/>
  <c r="T126" i="11"/>
  <c r="L140" i="25"/>
  <c r="L209" i="18"/>
  <c r="Q211" i="10"/>
  <c r="M218" i="10"/>
  <c r="M219" i="10" s="1"/>
  <c r="N124" i="17"/>
  <c r="CC216" i="10"/>
  <c r="CA216" i="10" s="1"/>
  <c r="CD211" i="10"/>
  <c r="CD216" i="10" s="1"/>
  <c r="L141" i="17"/>
  <c r="G123" i="22"/>
  <c r="G136" i="22" s="1"/>
  <c r="CV14" i="9"/>
  <c r="BK42" i="9"/>
  <c r="D71" i="30"/>
  <c r="D56" i="30"/>
  <c r="D26" i="30"/>
  <c r="B73" i="31"/>
  <c r="B45" i="31"/>
  <c r="B48" i="31" s="1"/>
  <c r="B81" i="31"/>
  <c r="B8" i="31" s="1"/>
  <c r="B170" i="31"/>
  <c r="AK142" i="9"/>
  <c r="AL142" i="9" s="1"/>
  <c r="AI143" i="9"/>
  <c r="AN142" i="9"/>
  <c r="I45" i="22"/>
  <c r="C155" i="18"/>
  <c r="C156" i="18"/>
  <c r="C104" i="25"/>
  <c r="C167" i="18"/>
  <c r="J56" i="30"/>
  <c r="J26" i="30"/>
  <c r="J71" i="30"/>
  <c r="F71" i="30"/>
  <c r="F26" i="30"/>
  <c r="F56" i="30"/>
  <c r="C71" i="30"/>
  <c r="C56" i="30"/>
  <c r="C26" i="30"/>
  <c r="E46" i="9"/>
  <c r="F45" i="9"/>
  <c r="AV45" i="9" s="1"/>
  <c r="BB45" i="9"/>
  <c r="AG227" i="9"/>
  <c r="AD227" i="9" s="1"/>
  <c r="AH226" i="9"/>
  <c r="B129" i="11"/>
  <c r="C129" i="11"/>
  <c r="E129" i="11" s="1"/>
  <c r="H129" i="11" s="1"/>
  <c r="G129" i="11" s="1"/>
  <c r="D128" i="11"/>
  <c r="F128" i="11" s="1"/>
  <c r="AY217" i="9"/>
  <c r="J217" i="9"/>
  <c r="AZ217" i="9" s="1"/>
  <c r="I91" i="25"/>
  <c r="I26" i="30"/>
  <c r="I71" i="30"/>
  <c r="I56" i="30"/>
  <c r="H145" i="17"/>
  <c r="H143" i="17" s="1"/>
  <c r="C132" i="22" s="1"/>
  <c r="AW46" i="9"/>
  <c r="I198" i="18"/>
  <c r="N91" i="25"/>
  <c r="N139" i="18"/>
  <c r="B132" i="9"/>
  <c r="AU132" i="9"/>
  <c r="B22" i="31"/>
  <c r="B19" i="31"/>
  <c r="B5" i="31" s="1"/>
  <c r="B57" i="31"/>
  <c r="B21" i="31"/>
  <c r="B6" i="31" s="1"/>
  <c r="H71" i="30"/>
  <c r="H56" i="30"/>
  <c r="H26" i="30"/>
  <c r="D61" i="29"/>
  <c r="E61" i="29"/>
  <c r="F61" i="29"/>
  <c r="C61" i="29"/>
  <c r="H5" i="3"/>
  <c r="L91" i="25"/>
  <c r="E71" i="30"/>
  <c r="E26" i="30"/>
  <c r="E56" i="30"/>
  <c r="F94" i="25"/>
  <c r="O134" i="18"/>
  <c r="F131" i="18"/>
  <c r="L127" i="11"/>
  <c r="N127" i="11" s="1"/>
  <c r="Q127" i="11" s="1"/>
  <c r="P127" i="11" s="1"/>
  <c r="K127" i="11"/>
  <c r="M126" i="11"/>
  <c r="O126" i="11" s="1"/>
  <c r="Z141" i="9"/>
  <c r="W141" i="9"/>
  <c r="X141" i="9" s="1"/>
  <c r="U142" i="9"/>
  <c r="S54" i="9"/>
  <c r="P54" i="9" s="1"/>
  <c r="T53" i="9"/>
  <c r="Z227" i="9"/>
  <c r="U228" i="9"/>
  <c r="W227" i="9"/>
  <c r="X227" i="9" s="1"/>
  <c r="K71" i="30"/>
  <c r="K26" i="30"/>
  <c r="K56" i="30"/>
  <c r="G26" i="30"/>
  <c r="G71" i="30"/>
  <c r="G56" i="30"/>
  <c r="B71" i="30"/>
  <c r="B26" i="30"/>
  <c r="B56" i="30"/>
  <c r="AE54" i="9"/>
  <c r="AF54" i="9" s="1"/>
  <c r="AJ54" i="9"/>
  <c r="AY45" i="9"/>
  <c r="J45" i="9"/>
  <c r="AZ45" i="9" s="1"/>
  <c r="F23" i="22"/>
  <c r="E24" i="22"/>
  <c r="B24" i="31"/>
  <c r="B4" i="31" s="1"/>
  <c r="E218" i="9"/>
  <c r="BB217" i="9"/>
  <c r="F217" i="9"/>
  <c r="AV217" i="9" s="1"/>
  <c r="Z211" i="10" l="1"/>
  <c r="Z216" i="10" s="1"/>
  <c r="Y216" i="10"/>
  <c r="W216" i="10" s="1"/>
  <c r="L138" i="25"/>
  <c r="L208" i="18"/>
  <c r="L137" i="25" s="1"/>
  <c r="F13" i="21"/>
  <c r="B69" i="2" s="1"/>
  <c r="D186" i="31"/>
  <c r="R211" i="10"/>
  <c r="R216" i="10" s="1"/>
  <c r="CW211" i="10"/>
  <c r="Q216" i="10"/>
  <c r="O216" i="10" s="1"/>
  <c r="M244" i="14"/>
  <c r="M245" i="14"/>
  <c r="M240" i="14"/>
  <c r="M257" i="15"/>
  <c r="M282" i="15" s="1"/>
  <c r="M236" i="14"/>
  <c r="M242" i="14"/>
  <c r="L152" i="17"/>
  <c r="M205" i="18" s="1"/>
  <c r="M134" i="25" s="1"/>
  <c r="L148" i="17"/>
  <c r="M201" i="18" s="1"/>
  <c r="M130" i="25" s="1"/>
  <c r="M243" i="14"/>
  <c r="M238" i="14"/>
  <c r="M237" i="14"/>
  <c r="M254" i="15"/>
  <c r="M279" i="15" s="1"/>
  <c r="M253" i="15"/>
  <c r="M241" i="14"/>
  <c r="M239" i="14"/>
  <c r="M256" i="15"/>
  <c r="M281" i="15" s="1"/>
  <c r="L151" i="17"/>
  <c r="M204" i="18" s="1"/>
  <c r="M133" i="25" s="1"/>
  <c r="M255" i="15"/>
  <c r="M280" i="15" s="1"/>
  <c r="U127" i="11"/>
  <c r="W127" i="11" s="1"/>
  <c r="Z127" i="11" s="1"/>
  <c r="Y127" i="11" s="1"/>
  <c r="T127" i="11"/>
  <c r="V126" i="11"/>
  <c r="X126" i="11" s="1"/>
  <c r="CT216" i="10"/>
  <c r="CX211" i="10"/>
  <c r="H23" i="26"/>
  <c r="CZ219" i="10"/>
  <c r="DA216" i="10"/>
  <c r="DO160" i="10" s="1"/>
  <c r="V54" i="9"/>
  <c r="Q54" i="9"/>
  <c r="R54" i="9" s="1"/>
  <c r="L128" i="11"/>
  <c r="N128" i="11" s="1"/>
  <c r="Q128" i="11" s="1"/>
  <c r="P128" i="11" s="1"/>
  <c r="K128" i="11"/>
  <c r="M127" i="11"/>
  <c r="O127" i="11" s="1"/>
  <c r="I127" i="25"/>
  <c r="I196" i="18"/>
  <c r="B130" i="11"/>
  <c r="D129" i="11"/>
  <c r="F129" i="11" s="1"/>
  <c r="C130" i="11"/>
  <c r="E130" i="11" s="1"/>
  <c r="H130" i="11" s="1"/>
  <c r="G130" i="11" s="1"/>
  <c r="D41" i="30"/>
  <c r="D33" i="30"/>
  <c r="D30" i="30"/>
  <c r="D27" i="30"/>
  <c r="D35" i="30"/>
  <c r="D34" i="30"/>
  <c r="D29" i="30"/>
  <c r="D31" i="30"/>
  <c r="D28" i="30"/>
  <c r="D32" i="30"/>
  <c r="G176" i="17"/>
  <c r="G178" i="17" s="1"/>
  <c r="H223" i="18"/>
  <c r="G6" i="3"/>
  <c r="H6" i="3" s="1"/>
  <c r="AN54" i="9"/>
  <c r="AI55" i="9"/>
  <c r="AK54" i="9"/>
  <c r="AL54" i="9" s="1"/>
  <c r="C35" i="23"/>
  <c r="O94" i="25"/>
  <c r="CW13" i="9"/>
  <c r="BI43" i="9"/>
  <c r="BJ43" i="9" s="1"/>
  <c r="I41" i="30"/>
  <c r="I32" i="30"/>
  <c r="I27" i="30"/>
  <c r="I28" i="30"/>
  <c r="I30" i="30"/>
  <c r="I29" i="30"/>
  <c r="I31" i="30"/>
  <c r="I34" i="30"/>
  <c r="I35" i="30"/>
  <c r="I33" i="30"/>
  <c r="B46" i="9"/>
  <c r="AU46" i="9"/>
  <c r="J41" i="30"/>
  <c r="J30" i="30"/>
  <c r="J34" i="30"/>
  <c r="J31" i="30"/>
  <c r="J27" i="30"/>
  <c r="J35" i="30"/>
  <c r="J33" i="30"/>
  <c r="J32" i="30"/>
  <c r="J28" i="30"/>
  <c r="J29" i="30"/>
  <c r="C146" i="18"/>
  <c r="H132" i="9"/>
  <c r="C132" i="9"/>
  <c r="AR132" i="9"/>
  <c r="K41" i="30"/>
  <c r="K31" i="30"/>
  <c r="K28" i="30"/>
  <c r="K32" i="30"/>
  <c r="K34" i="30"/>
  <c r="K33" i="30"/>
  <c r="K30" i="30"/>
  <c r="K35" i="30"/>
  <c r="K29" i="30"/>
  <c r="K27" i="30"/>
  <c r="S228" i="9"/>
  <c r="P228" i="9" s="1"/>
  <c r="T227" i="9"/>
  <c r="E41" i="30"/>
  <c r="E27" i="30"/>
  <c r="E35" i="30"/>
  <c r="E33" i="30"/>
  <c r="E32" i="30"/>
  <c r="E34" i="30"/>
  <c r="E29" i="30"/>
  <c r="E28" i="30"/>
  <c r="E31" i="30"/>
  <c r="E30" i="30"/>
  <c r="N99" i="25"/>
  <c r="J27" i="3"/>
  <c r="AJ227" i="9"/>
  <c r="AE227" i="9"/>
  <c r="AF227" i="9" s="1"/>
  <c r="C41" i="30"/>
  <c r="C29" i="30"/>
  <c r="C34" i="30"/>
  <c r="C32" i="30"/>
  <c r="C30" i="30"/>
  <c r="C33" i="30"/>
  <c r="C31" i="30"/>
  <c r="C35" i="30"/>
  <c r="C27" i="30"/>
  <c r="C28" i="30"/>
  <c r="F41" i="30"/>
  <c r="F33" i="30"/>
  <c r="F27" i="30"/>
  <c r="F34" i="30"/>
  <c r="F32" i="30"/>
  <c r="F29" i="30"/>
  <c r="F30" i="30"/>
  <c r="F35" i="30"/>
  <c r="F31" i="30"/>
  <c r="F28" i="30"/>
  <c r="AH142" i="9"/>
  <c r="AG143" i="9"/>
  <c r="AD143" i="9" s="1"/>
  <c r="CV16" i="9"/>
  <c r="BL42" i="9"/>
  <c r="B41" i="30"/>
  <c r="B32" i="30"/>
  <c r="B30" i="30"/>
  <c r="B33" i="30"/>
  <c r="B29" i="30"/>
  <c r="B28" i="30"/>
  <c r="B34" i="30"/>
  <c r="B27" i="30"/>
  <c r="B35" i="30"/>
  <c r="B31" i="30"/>
  <c r="G41" i="30"/>
  <c r="G34" i="30"/>
  <c r="G29" i="30"/>
  <c r="G28" i="30"/>
  <c r="G33" i="30"/>
  <c r="G35" i="30"/>
  <c r="G32" i="30"/>
  <c r="G31" i="30"/>
  <c r="G30" i="30"/>
  <c r="G27" i="30"/>
  <c r="F91" i="25"/>
  <c r="O131" i="18"/>
  <c r="G23" i="22"/>
  <c r="F24" i="22"/>
  <c r="G7" i="3" s="1"/>
  <c r="B218" i="9"/>
  <c r="AU218" i="9"/>
  <c r="BM42" i="9"/>
  <c r="CV17" i="9"/>
  <c r="T141" i="9"/>
  <c r="S142" i="9"/>
  <c r="P142" i="9" s="1"/>
  <c r="H41" i="30"/>
  <c r="H35" i="30"/>
  <c r="H30" i="30"/>
  <c r="H28" i="30"/>
  <c r="H31" i="30"/>
  <c r="H27" i="30"/>
  <c r="H32" i="30"/>
  <c r="H29" i="30"/>
  <c r="H34" i="30"/>
  <c r="H33" i="30"/>
  <c r="C56" i="22"/>
  <c r="C168" i="18"/>
  <c r="C145" i="18"/>
  <c r="C158" i="18"/>
  <c r="M235" i="14" l="1"/>
  <c r="M252" i="15"/>
  <c r="M227" i="15" s="1"/>
  <c r="M270" i="15" s="1"/>
  <c r="M278" i="15"/>
  <c r="M277" i="15" s="1"/>
  <c r="M289" i="15" s="1"/>
  <c r="H22" i="26"/>
  <c r="D121" i="31"/>
  <c r="D120" i="31" s="1"/>
  <c r="U128" i="11"/>
  <c r="W128" i="11" s="1"/>
  <c r="Z128" i="11" s="1"/>
  <c r="Y128" i="11" s="1"/>
  <c r="V127" i="11"/>
  <c r="X127" i="11" s="1"/>
  <c r="T128" i="11"/>
  <c r="M280" i="14"/>
  <c r="M211" i="18" s="1"/>
  <c r="M269" i="14"/>
  <c r="M223" i="14"/>
  <c r="M257" i="14" s="1"/>
  <c r="G133" i="22" s="1"/>
  <c r="DN161" i="10"/>
  <c r="CX216" i="10"/>
  <c r="CX219" i="10" s="1"/>
  <c r="DN158" i="10"/>
  <c r="CW216" i="10"/>
  <c r="CW219" i="10" s="1"/>
  <c r="CV18" i="9"/>
  <c r="H7" i="3"/>
  <c r="H79" i="30"/>
  <c r="H49" i="30"/>
  <c r="B80" i="30"/>
  <c r="B50" i="30"/>
  <c r="F76" i="30"/>
  <c r="F46" i="30"/>
  <c r="C76" i="30"/>
  <c r="C46" i="30"/>
  <c r="AI228" i="9"/>
  <c r="AK227" i="9"/>
  <c r="AL227" i="9" s="1"/>
  <c r="AN227" i="9"/>
  <c r="E80" i="30"/>
  <c r="E50" i="30"/>
  <c r="J79" i="30"/>
  <c r="J49" i="30"/>
  <c r="I76" i="30"/>
  <c r="I46" i="30"/>
  <c r="D76" i="30"/>
  <c r="D46" i="30"/>
  <c r="H78" i="30"/>
  <c r="H48" i="30"/>
  <c r="H72" i="30"/>
  <c r="H42" i="30"/>
  <c r="H80" i="30"/>
  <c r="H50" i="30"/>
  <c r="C32" i="23"/>
  <c r="O91" i="25"/>
  <c r="G76" i="30"/>
  <c r="G46" i="30"/>
  <c r="G73" i="30"/>
  <c r="G43" i="30"/>
  <c r="B76" i="30"/>
  <c r="B46" i="30"/>
  <c r="B73" i="30"/>
  <c r="B43" i="30"/>
  <c r="B77" i="30"/>
  <c r="B47" i="30"/>
  <c r="F73" i="30"/>
  <c r="F43" i="30"/>
  <c r="F74" i="30"/>
  <c r="F44" i="30"/>
  <c r="F78" i="30"/>
  <c r="F48" i="30"/>
  <c r="C80" i="30"/>
  <c r="C50" i="30"/>
  <c r="C77" i="30"/>
  <c r="C47" i="30"/>
  <c r="E73" i="30"/>
  <c r="E43" i="30"/>
  <c r="E78" i="30"/>
  <c r="E48" i="30"/>
  <c r="K80" i="30"/>
  <c r="K50" i="30"/>
  <c r="K77" i="30"/>
  <c r="K47" i="30"/>
  <c r="J77" i="30"/>
  <c r="J47" i="30"/>
  <c r="J76" i="30"/>
  <c r="J46" i="30"/>
  <c r="CW12" i="9"/>
  <c r="BG43" i="9"/>
  <c r="BH43" i="9" s="1"/>
  <c r="I79" i="30"/>
  <c r="I49" i="30"/>
  <c r="I73" i="30"/>
  <c r="I43" i="30"/>
  <c r="D73" i="30"/>
  <c r="D43" i="30"/>
  <c r="D80" i="30"/>
  <c r="D50" i="30"/>
  <c r="I125" i="25"/>
  <c r="C57" i="22"/>
  <c r="H76" i="30"/>
  <c r="H46" i="30"/>
  <c r="G74" i="30"/>
  <c r="G44" i="30"/>
  <c r="V228" i="9"/>
  <c r="Q228" i="9"/>
  <c r="R228" i="9" s="1"/>
  <c r="AS132" i="9"/>
  <c r="D132" i="9"/>
  <c r="AT132" i="9" s="1"/>
  <c r="C106" i="25"/>
  <c r="K16" i="3"/>
  <c r="L16" i="3" s="1"/>
  <c r="C46" i="9"/>
  <c r="AR46" i="9"/>
  <c r="H46" i="9"/>
  <c r="I72" i="30"/>
  <c r="I42" i="30"/>
  <c r="H73" i="30"/>
  <c r="H43" i="30"/>
  <c r="G72" i="30"/>
  <c r="G42" i="30"/>
  <c r="B72" i="30"/>
  <c r="B42" i="30"/>
  <c r="F80" i="30"/>
  <c r="F50" i="30"/>
  <c r="C78" i="30"/>
  <c r="C48" i="30"/>
  <c r="E75" i="30"/>
  <c r="E45" i="30"/>
  <c r="E72" i="30"/>
  <c r="E42" i="30"/>
  <c r="K72" i="30"/>
  <c r="K42" i="30"/>
  <c r="K78" i="30"/>
  <c r="K48" i="30"/>
  <c r="K76" i="30"/>
  <c r="K46" i="30"/>
  <c r="AX132" i="9"/>
  <c r="L132" i="9"/>
  <c r="I132" i="9"/>
  <c r="G133" i="9"/>
  <c r="AW133" i="9" s="1"/>
  <c r="J74" i="30"/>
  <c r="J44" i="30"/>
  <c r="J80" i="30"/>
  <c r="J50" i="30"/>
  <c r="J75" i="30"/>
  <c r="J45" i="30"/>
  <c r="I78" i="30"/>
  <c r="I48" i="30"/>
  <c r="I74" i="30"/>
  <c r="I44" i="30"/>
  <c r="I77" i="30"/>
  <c r="I47" i="30"/>
  <c r="AH54" i="9"/>
  <c r="AG55" i="9"/>
  <c r="AD55" i="9" s="1"/>
  <c r="G179" i="17"/>
  <c r="G180" i="17"/>
  <c r="D74" i="30"/>
  <c r="D44" i="30"/>
  <c r="D75" i="30"/>
  <c r="D45" i="30"/>
  <c r="Z54" i="9"/>
  <c r="W54" i="9"/>
  <c r="X54" i="9" s="1"/>
  <c r="U55" i="9"/>
  <c r="C147" i="18"/>
  <c r="C107" i="25" s="1"/>
  <c r="G77" i="30"/>
  <c r="G47" i="30"/>
  <c r="B74" i="30"/>
  <c r="B44" i="30"/>
  <c r="F77" i="30"/>
  <c r="F47" i="30"/>
  <c r="C79" i="30"/>
  <c r="C49" i="30"/>
  <c r="E74" i="30"/>
  <c r="E44" i="30"/>
  <c r="K75" i="30"/>
  <c r="K45" i="30"/>
  <c r="K73" i="30"/>
  <c r="K43" i="30"/>
  <c r="J78" i="30"/>
  <c r="J48" i="30"/>
  <c r="G182" i="17"/>
  <c r="H152" i="25"/>
  <c r="H224" i="18"/>
  <c r="D72" i="30"/>
  <c r="D42" i="30"/>
  <c r="H74" i="30"/>
  <c r="H44" i="30"/>
  <c r="V142" i="9"/>
  <c r="Q142" i="9"/>
  <c r="R142" i="9" s="1"/>
  <c r="H23" i="22"/>
  <c r="G24" i="22"/>
  <c r="G8" i="3" s="1"/>
  <c r="G80" i="30"/>
  <c r="G50" i="30"/>
  <c r="G79" i="30"/>
  <c r="G49" i="30"/>
  <c r="B78" i="30"/>
  <c r="B48" i="30"/>
  <c r="AE143" i="9"/>
  <c r="AF143" i="9" s="1"/>
  <c r="AJ143" i="9"/>
  <c r="F79" i="30"/>
  <c r="F49" i="30"/>
  <c r="C73" i="30"/>
  <c r="C43" i="30"/>
  <c r="C74" i="30"/>
  <c r="C44" i="30"/>
  <c r="E79" i="30"/>
  <c r="E49" i="30"/>
  <c r="C105" i="25"/>
  <c r="C169" i="18"/>
  <c r="H77" i="30"/>
  <c r="H47" i="30"/>
  <c r="H75" i="30"/>
  <c r="H45" i="30"/>
  <c r="H218" i="9"/>
  <c r="AR218" i="9"/>
  <c r="C218" i="9"/>
  <c r="G75" i="30"/>
  <c r="G45" i="30"/>
  <c r="G78" i="30"/>
  <c r="G48" i="30"/>
  <c r="B79" i="30"/>
  <c r="B49" i="30"/>
  <c r="B75" i="30"/>
  <c r="B45" i="30"/>
  <c r="F75" i="30"/>
  <c r="F45" i="30"/>
  <c r="F72" i="30"/>
  <c r="F42" i="30"/>
  <c r="C72" i="30"/>
  <c r="C42" i="30"/>
  <c r="C75" i="30"/>
  <c r="C45" i="30"/>
  <c r="E76" i="30"/>
  <c r="E46" i="30"/>
  <c r="E77" i="30"/>
  <c r="E47" i="30"/>
  <c r="K74" i="30"/>
  <c r="K44" i="30"/>
  <c r="K79" i="30"/>
  <c r="K49" i="30"/>
  <c r="J73" i="30"/>
  <c r="J43" i="30"/>
  <c r="J72" i="30"/>
  <c r="J42" i="30"/>
  <c r="I80" i="30"/>
  <c r="I50" i="30"/>
  <c r="I75" i="30"/>
  <c r="I45" i="30"/>
  <c r="D77" i="30"/>
  <c r="D47" i="30"/>
  <c r="D79" i="30"/>
  <c r="D49" i="30"/>
  <c r="D78" i="30"/>
  <c r="D48" i="30"/>
  <c r="D130" i="11"/>
  <c r="F130" i="11" s="1"/>
  <c r="C131" i="11"/>
  <c r="E131" i="11" s="1"/>
  <c r="H131" i="11" s="1"/>
  <c r="G131" i="11" s="1"/>
  <c r="B131" i="11"/>
  <c r="M128" i="11"/>
  <c r="O128" i="11" s="1"/>
  <c r="L129" i="11"/>
  <c r="N129" i="11" s="1"/>
  <c r="Q129" i="11" s="1"/>
  <c r="P129" i="11" s="1"/>
  <c r="K129" i="11"/>
  <c r="D141" i="18"/>
  <c r="M209" i="18" l="1"/>
  <c r="M140" i="25"/>
  <c r="H8" i="3"/>
  <c r="D30" i="31"/>
  <c r="D33" i="31" s="1"/>
  <c r="D93" i="31"/>
  <c r="DO161" i="10"/>
  <c r="M174" i="17"/>
  <c r="N174" i="17" s="1"/>
  <c r="V128" i="11"/>
  <c r="X128" i="11" s="1"/>
  <c r="T129" i="11"/>
  <c r="U129" i="11"/>
  <c r="W129" i="11" s="1"/>
  <c r="Z129" i="11" s="1"/>
  <c r="Y129" i="11" s="1"/>
  <c r="DO158" i="10"/>
  <c r="DO162" i="10" s="1"/>
  <c r="N134" i="13"/>
  <c r="K130" i="11"/>
  <c r="L130" i="11"/>
  <c r="N130" i="11" s="1"/>
  <c r="Q130" i="11" s="1"/>
  <c r="P130" i="11" s="1"/>
  <c r="M129" i="11"/>
  <c r="O129" i="11" s="1"/>
  <c r="D101" i="25"/>
  <c r="B132" i="11"/>
  <c r="D131" i="11"/>
  <c r="F131" i="11" s="1"/>
  <c r="C132" i="11"/>
  <c r="E132" i="11" s="1"/>
  <c r="H132" i="11" s="1"/>
  <c r="G132" i="11" s="1"/>
  <c r="D102" i="18"/>
  <c r="I228" i="18"/>
  <c r="D46" i="9"/>
  <c r="AT46" i="9" s="1"/>
  <c r="AS46" i="9"/>
  <c r="B121" i="17"/>
  <c r="C16" i="3"/>
  <c r="D16" i="3" s="1"/>
  <c r="C61" i="22"/>
  <c r="D218" i="9"/>
  <c r="AT218" i="9" s="1"/>
  <c r="AS218" i="9"/>
  <c r="W142" i="9"/>
  <c r="X142" i="9" s="1"/>
  <c r="Z142" i="9"/>
  <c r="U143" i="9"/>
  <c r="J33" i="3"/>
  <c r="H153" i="25"/>
  <c r="S55" i="9"/>
  <c r="P55" i="9" s="1"/>
  <c r="T54" i="9"/>
  <c r="F132" i="9"/>
  <c r="AV132" i="9" s="1"/>
  <c r="BB132" i="9"/>
  <c r="E133" i="9"/>
  <c r="I46" i="9"/>
  <c r="L46" i="9"/>
  <c r="G47" i="9"/>
  <c r="AX46" i="9"/>
  <c r="AE55" i="9"/>
  <c r="AF55" i="9" s="1"/>
  <c r="AJ55" i="9"/>
  <c r="AY132" i="9"/>
  <c r="J132" i="9"/>
  <c r="AZ132" i="9" s="1"/>
  <c r="AK143" i="9"/>
  <c r="AL143" i="9" s="1"/>
  <c r="AN143" i="9"/>
  <c r="AI144" i="9"/>
  <c r="G219" i="9"/>
  <c r="AW219" i="9" s="1"/>
  <c r="AX218" i="9"/>
  <c r="I218" i="9"/>
  <c r="L218" i="9"/>
  <c r="C46" i="22"/>
  <c r="H24" i="22"/>
  <c r="I23" i="22"/>
  <c r="Z228" i="9"/>
  <c r="W228" i="9"/>
  <c r="X228" i="9" s="1"/>
  <c r="U229" i="9"/>
  <c r="AG228" i="9"/>
  <c r="AD228" i="9" s="1"/>
  <c r="AH227" i="9"/>
  <c r="O134" i="13" l="1"/>
  <c r="N136" i="13"/>
  <c r="N148" i="13" s="1"/>
  <c r="N184" i="18" s="1"/>
  <c r="N164" i="13"/>
  <c r="T130" i="11"/>
  <c r="V129" i="11"/>
  <c r="X129" i="11" s="1"/>
  <c r="U130" i="11"/>
  <c r="W130" i="11" s="1"/>
  <c r="Z130" i="11" s="1"/>
  <c r="Y130" i="11" s="1"/>
  <c r="M208" i="18"/>
  <c r="M137" i="25" s="1"/>
  <c r="M138" i="25"/>
  <c r="F46" i="9"/>
  <c r="AV46" i="9" s="1"/>
  <c r="E47" i="9"/>
  <c r="BB46" i="9"/>
  <c r="G9" i="3"/>
  <c r="H9" i="3" s="1"/>
  <c r="I24" i="22"/>
  <c r="I157" i="25"/>
  <c r="F218" i="9"/>
  <c r="AV218" i="9" s="1"/>
  <c r="BB218" i="9"/>
  <c r="E219" i="9"/>
  <c r="AU133" i="9"/>
  <c r="B133" i="9"/>
  <c r="Q55" i="9"/>
  <c r="R55" i="9" s="1"/>
  <c r="V55" i="9"/>
  <c r="T142" i="9"/>
  <c r="S143" i="9"/>
  <c r="P143" i="9" s="1"/>
  <c r="BK43" i="9"/>
  <c r="CW14" i="9"/>
  <c r="C133" i="11"/>
  <c r="E133" i="11" s="1"/>
  <c r="H133" i="11" s="1"/>
  <c r="G133" i="11" s="1"/>
  <c r="D132" i="11"/>
  <c r="F132" i="11" s="1"/>
  <c r="B133" i="11"/>
  <c r="T228" i="9"/>
  <c r="S229" i="9"/>
  <c r="P229" i="9" s="1"/>
  <c r="AY46" i="9"/>
  <c r="J46" i="9"/>
  <c r="AZ46" i="9" s="1"/>
  <c r="D46" i="22"/>
  <c r="C47" i="22"/>
  <c r="G10" i="3" s="1"/>
  <c r="AE228" i="9"/>
  <c r="AF228" i="9" s="1"/>
  <c r="AJ228" i="9"/>
  <c r="AY218" i="9"/>
  <c r="J218" i="9"/>
  <c r="AZ218" i="9" s="1"/>
  <c r="AG144" i="9"/>
  <c r="AD144" i="9" s="1"/>
  <c r="AH143" i="9"/>
  <c r="AI56" i="9"/>
  <c r="AK55" i="9"/>
  <c r="AL55" i="9" s="1"/>
  <c r="AN55" i="9"/>
  <c r="J198" i="18"/>
  <c r="AW47" i="9"/>
  <c r="I145" i="17"/>
  <c r="I143" i="17" s="1"/>
  <c r="D132" i="22" s="1"/>
  <c r="C64" i="22"/>
  <c r="D62" i="25"/>
  <c r="D105" i="18"/>
  <c r="L131" i="11"/>
  <c r="N131" i="11" s="1"/>
  <c r="Q131" i="11" s="1"/>
  <c r="P131" i="11" s="1"/>
  <c r="K131" i="11"/>
  <c r="M130" i="11"/>
  <c r="O130" i="11" s="1"/>
  <c r="V130" i="11" l="1"/>
  <c r="X130" i="11" s="1"/>
  <c r="U131" i="11"/>
  <c r="W131" i="11" s="1"/>
  <c r="Z131" i="11" s="1"/>
  <c r="Y131" i="11" s="1"/>
  <c r="T131" i="11"/>
  <c r="M141" i="17"/>
  <c r="H123" i="22"/>
  <c r="O164" i="13"/>
  <c r="H10" i="3"/>
  <c r="N113" i="25"/>
  <c r="O184" i="18"/>
  <c r="O113" i="25" s="1"/>
  <c r="B155" i="28"/>
  <c r="E59" i="2"/>
  <c r="H26" i="26" s="1"/>
  <c r="D124" i="31" s="1"/>
  <c r="D92" i="31" s="1"/>
  <c r="AG56" i="9"/>
  <c r="AD56" i="9" s="1"/>
  <c r="AH55" i="9"/>
  <c r="CW16" i="9"/>
  <c r="BL43" i="9"/>
  <c r="Q143" i="9"/>
  <c r="R143" i="9" s="1"/>
  <c r="V143" i="9"/>
  <c r="L132" i="11"/>
  <c r="N132" i="11" s="1"/>
  <c r="Q132" i="11" s="1"/>
  <c r="P132" i="11" s="1"/>
  <c r="K132" i="11"/>
  <c r="M131" i="11"/>
  <c r="O131" i="11" s="1"/>
  <c r="CX13" i="9"/>
  <c r="BI44" i="9"/>
  <c r="BJ44" i="9" s="1"/>
  <c r="AJ144" i="9"/>
  <c r="AE144" i="9"/>
  <c r="AF144" i="9" s="1"/>
  <c r="H176" i="17"/>
  <c r="I223" i="18"/>
  <c r="C67" i="22"/>
  <c r="D65" i="25"/>
  <c r="I17" i="3"/>
  <c r="D142" i="18"/>
  <c r="E46" i="22"/>
  <c r="D47" i="22"/>
  <c r="G11" i="3" s="1"/>
  <c r="V229" i="9"/>
  <c r="Q229" i="9"/>
  <c r="R229" i="9" s="1"/>
  <c r="AR133" i="9"/>
  <c r="C133" i="9"/>
  <c r="H133" i="9"/>
  <c r="AU219" i="9"/>
  <c r="B219" i="9"/>
  <c r="B47" i="9"/>
  <c r="AU47" i="9"/>
  <c r="J127" i="25"/>
  <c r="J196" i="18"/>
  <c r="AK228" i="9"/>
  <c r="AL228" i="9" s="1"/>
  <c r="AI229" i="9"/>
  <c r="AN228" i="9"/>
  <c r="CW17" i="9"/>
  <c r="BM43" i="9"/>
  <c r="B134" i="11"/>
  <c r="D133" i="11"/>
  <c r="F133" i="11" s="1"/>
  <c r="C134" i="11"/>
  <c r="E134" i="11" s="1"/>
  <c r="H134" i="11" s="1"/>
  <c r="G134" i="11" s="1"/>
  <c r="Z55" i="9"/>
  <c r="U56" i="9"/>
  <c r="W55" i="9"/>
  <c r="X55" i="9" s="1"/>
  <c r="D29" i="31" l="1"/>
  <c r="D32" i="31" s="1"/>
  <c r="D35" i="31" s="1"/>
  <c r="D36" i="31" s="1"/>
  <c r="N254" i="15"/>
  <c r="N245" i="14"/>
  <c r="O245" i="14" s="1"/>
  <c r="M152" i="17"/>
  <c r="N253" i="15"/>
  <c r="N236" i="14"/>
  <c r="N238" i="14"/>
  <c r="O238" i="14" s="1"/>
  <c r="N141" i="17"/>
  <c r="M148" i="17"/>
  <c r="N242" i="14"/>
  <c r="O242" i="14" s="1"/>
  <c r="N256" i="15"/>
  <c r="N244" i="14"/>
  <c r="O244" i="14" s="1"/>
  <c r="N241" i="14"/>
  <c r="O241" i="14" s="1"/>
  <c r="N240" i="14"/>
  <c r="O240" i="14" s="1"/>
  <c r="N255" i="15"/>
  <c r="M151" i="17"/>
  <c r="N257" i="15"/>
  <c r="N237" i="14"/>
  <c r="O237" i="14" s="1"/>
  <c r="N243" i="14"/>
  <c r="O243" i="14" s="1"/>
  <c r="N239" i="14"/>
  <c r="O239" i="14" s="1"/>
  <c r="U132" i="11"/>
  <c r="W132" i="11" s="1"/>
  <c r="Z132" i="11" s="1"/>
  <c r="Y132" i="11" s="1"/>
  <c r="T132" i="11"/>
  <c r="V131" i="11"/>
  <c r="X131" i="11" s="1"/>
  <c r="I190" i="28"/>
  <c r="B157" i="28"/>
  <c r="J155" i="28"/>
  <c r="L190" i="28"/>
  <c r="H11" i="3"/>
  <c r="I123" i="22"/>
  <c r="H136" i="22"/>
  <c r="I136" i="22" s="1"/>
  <c r="T55" i="9"/>
  <c r="S56" i="9"/>
  <c r="P56" i="9" s="1"/>
  <c r="AH228" i="9"/>
  <c r="AG229" i="9"/>
  <c r="AD229" i="9" s="1"/>
  <c r="AS133" i="9"/>
  <c r="D133" i="9"/>
  <c r="AT133" i="9" s="1"/>
  <c r="AJ56" i="9"/>
  <c r="AE56" i="9"/>
  <c r="AF56" i="9" s="1"/>
  <c r="BG44" i="9"/>
  <c r="BH44" i="9" s="1"/>
  <c r="CX12" i="9"/>
  <c r="J221" i="18" s="1"/>
  <c r="L133" i="11"/>
  <c r="N133" i="11" s="1"/>
  <c r="Q133" i="11" s="1"/>
  <c r="P133" i="11" s="1"/>
  <c r="K133" i="11"/>
  <c r="M132" i="11"/>
  <c r="O132" i="11" s="1"/>
  <c r="H219" i="9"/>
  <c r="C219" i="9"/>
  <c r="AR219" i="9"/>
  <c r="F46" i="22"/>
  <c r="E47" i="22"/>
  <c r="G12" i="3" s="1"/>
  <c r="I152" i="25"/>
  <c r="H182" i="17"/>
  <c r="U144" i="9"/>
  <c r="Z143" i="9"/>
  <c r="W143" i="9"/>
  <c r="X143" i="9" s="1"/>
  <c r="AI145" i="9"/>
  <c r="AK144" i="9"/>
  <c r="AL144" i="9" s="1"/>
  <c r="AN144" i="9"/>
  <c r="C135" i="11"/>
  <c r="E135" i="11" s="1"/>
  <c r="H135" i="11" s="1"/>
  <c r="G135" i="11" s="1"/>
  <c r="D134" i="11"/>
  <c r="F134" i="11" s="1"/>
  <c r="B135" i="11"/>
  <c r="CW18" i="9"/>
  <c r="J125" i="25"/>
  <c r="H47" i="9"/>
  <c r="C47" i="9"/>
  <c r="AR47" i="9"/>
  <c r="G134" i="9"/>
  <c r="AW134" i="9" s="1"/>
  <c r="AX133" i="9"/>
  <c r="L133" i="9"/>
  <c r="I133" i="9"/>
  <c r="Z229" i="9"/>
  <c r="W229" i="9"/>
  <c r="X229" i="9" s="1"/>
  <c r="U230" i="9"/>
  <c r="D102" i="25"/>
  <c r="D144" i="18"/>
  <c r="C69" i="22"/>
  <c r="D179" i="31" l="1"/>
  <c r="F6" i="21"/>
  <c r="B190" i="28"/>
  <c r="I156" i="28"/>
  <c r="I157" i="28"/>
  <c r="I155" i="28"/>
  <c r="L156" i="28"/>
  <c r="N252" i="15"/>
  <c r="N278" i="15"/>
  <c r="O253" i="15"/>
  <c r="N204" i="18"/>
  <c r="N151" i="17"/>
  <c r="N152" i="17"/>
  <c r="B167" i="28" s="1"/>
  <c r="N205" i="18"/>
  <c r="O255" i="15"/>
  <c r="N280" i="15"/>
  <c r="O280" i="15" s="1"/>
  <c r="O256" i="15"/>
  <c r="N281" i="15"/>
  <c r="O281" i="15" s="1"/>
  <c r="O257" i="15"/>
  <c r="N282" i="15"/>
  <c r="O282" i="15" s="1"/>
  <c r="N148" i="17"/>
  <c r="N201" i="18"/>
  <c r="H12" i="3"/>
  <c r="F19" i="21"/>
  <c r="B75" i="2"/>
  <c r="H31" i="26"/>
  <c r="D129" i="31" s="1"/>
  <c r="D192" i="31"/>
  <c r="L185" i="28"/>
  <c r="I185" i="28"/>
  <c r="U133" i="11"/>
  <c r="W133" i="11" s="1"/>
  <c r="Z133" i="11" s="1"/>
  <c r="Y133" i="11" s="1"/>
  <c r="T133" i="11"/>
  <c r="V132" i="11"/>
  <c r="X132" i="11" s="1"/>
  <c r="N235" i="14"/>
  <c r="O236" i="14"/>
  <c r="O254" i="15"/>
  <c r="N279" i="15"/>
  <c r="O279" i="15" s="1"/>
  <c r="E134" i="9"/>
  <c r="BB133" i="9"/>
  <c r="F133" i="9"/>
  <c r="AV133" i="9" s="1"/>
  <c r="D47" i="9"/>
  <c r="AT47" i="9" s="1"/>
  <c r="AS47" i="9"/>
  <c r="AG145" i="9"/>
  <c r="AD145" i="9" s="1"/>
  <c r="AH144" i="9"/>
  <c r="S144" i="9"/>
  <c r="P144" i="9" s="1"/>
  <c r="T143" i="9"/>
  <c r="L219" i="9"/>
  <c r="AX219" i="9"/>
  <c r="G220" i="9"/>
  <c r="AW220" i="9" s="1"/>
  <c r="I219" i="9"/>
  <c r="V56" i="9"/>
  <c r="Q56" i="9"/>
  <c r="R56" i="9" s="1"/>
  <c r="C136" i="11"/>
  <c r="E136" i="11" s="1"/>
  <c r="H136" i="11" s="1"/>
  <c r="G136" i="11" s="1"/>
  <c r="B136" i="11"/>
  <c r="D135" i="11"/>
  <c r="F135" i="11" s="1"/>
  <c r="AN56" i="9"/>
  <c r="AI57" i="9"/>
  <c r="AK56" i="9"/>
  <c r="AL56" i="9" s="1"/>
  <c r="AE229" i="9"/>
  <c r="AF229" i="9" s="1"/>
  <c r="AJ229" i="9"/>
  <c r="AX47" i="9"/>
  <c r="I47" i="9"/>
  <c r="L47" i="9"/>
  <c r="G48" i="9"/>
  <c r="G46" i="22"/>
  <c r="F47" i="22"/>
  <c r="G13" i="3" s="1"/>
  <c r="H13" i="3" s="1"/>
  <c r="M133" i="11"/>
  <c r="O133" i="11" s="1"/>
  <c r="L134" i="11"/>
  <c r="N134" i="11" s="1"/>
  <c r="Q134" i="11" s="1"/>
  <c r="P134" i="11" s="1"/>
  <c r="K134" i="11"/>
  <c r="D156" i="18"/>
  <c r="D167" i="18"/>
  <c r="D155" i="18"/>
  <c r="D104" i="25"/>
  <c r="T229" i="9"/>
  <c r="S230" i="9"/>
  <c r="P230" i="9" s="1"/>
  <c r="AY133" i="9"/>
  <c r="J133" i="9"/>
  <c r="AZ133" i="9" s="1"/>
  <c r="D219" i="9"/>
  <c r="AT219" i="9" s="1"/>
  <c r="AS219" i="9"/>
  <c r="D138" i="22"/>
  <c r="I188" i="17" s="1"/>
  <c r="J150" i="25"/>
  <c r="T134" i="11" l="1"/>
  <c r="U134" i="11"/>
  <c r="W134" i="11" s="1"/>
  <c r="Z134" i="11" s="1"/>
  <c r="Y134" i="11" s="1"/>
  <c r="V133" i="11"/>
  <c r="X133" i="11" s="1"/>
  <c r="J173" i="28"/>
  <c r="J165" i="28"/>
  <c r="J182" i="28"/>
  <c r="J175" i="28"/>
  <c r="J185" i="28"/>
  <c r="J187" i="28" s="1"/>
  <c r="J171" i="28"/>
  <c r="J161" i="28"/>
  <c r="J177" i="28"/>
  <c r="J172" i="28"/>
  <c r="J170" i="28"/>
  <c r="J168" i="28"/>
  <c r="M185" i="28"/>
  <c r="M187" i="28" s="1"/>
  <c r="J166" i="28"/>
  <c r="J176" i="28"/>
  <c r="J164" i="28"/>
  <c r="J169" i="28"/>
  <c r="J174" i="28"/>
  <c r="J163" i="28"/>
  <c r="J178" i="28"/>
  <c r="J180" i="28"/>
  <c r="N133" i="25"/>
  <c r="O204" i="18"/>
  <c r="M173" i="28"/>
  <c r="M172" i="28"/>
  <c r="M170" i="28"/>
  <c r="M168" i="28"/>
  <c r="M157" i="28"/>
  <c r="M165" i="28"/>
  <c r="M169" i="28"/>
  <c r="M177" i="28"/>
  <c r="M164" i="28"/>
  <c r="M161" i="28"/>
  <c r="M174" i="28"/>
  <c r="M163" i="28"/>
  <c r="M176" i="28"/>
  <c r="M178" i="28"/>
  <c r="M180" i="28"/>
  <c r="M166" i="28"/>
  <c r="M171" i="28"/>
  <c r="M175" i="28"/>
  <c r="M182" i="28"/>
  <c r="O252" i="15"/>
  <c r="O227" i="15" s="1"/>
  <c r="O270" i="15" s="1"/>
  <c r="N227" i="15"/>
  <c r="N270" i="15" s="1"/>
  <c r="N223" i="14"/>
  <c r="N257" i="14" s="1"/>
  <c r="H133" i="22" s="1"/>
  <c r="I133" i="22" s="1"/>
  <c r="O235" i="14"/>
  <c r="O223" i="14" s="1"/>
  <c r="O257" i="14" s="1"/>
  <c r="N269" i="14"/>
  <c r="O269" i="14" s="1"/>
  <c r="N280" i="14"/>
  <c r="J157" i="28"/>
  <c r="N130" i="25"/>
  <c r="O201" i="18"/>
  <c r="O205" i="18"/>
  <c r="N134" i="25"/>
  <c r="I166" i="28"/>
  <c r="I177" i="28"/>
  <c r="I164" i="28"/>
  <c r="I178" i="28"/>
  <c r="I174" i="28"/>
  <c r="I171" i="28"/>
  <c r="I163" i="28"/>
  <c r="I172" i="28"/>
  <c r="I170" i="28"/>
  <c r="I161" i="28"/>
  <c r="I180" i="28"/>
  <c r="I173" i="28"/>
  <c r="I165" i="28"/>
  <c r="I182" i="28"/>
  <c r="I168" i="28"/>
  <c r="I176" i="28"/>
  <c r="I169" i="28"/>
  <c r="I175" i="28"/>
  <c r="I167" i="28"/>
  <c r="M167" i="28"/>
  <c r="L167" i="28"/>
  <c r="J167" i="28"/>
  <c r="O278" i="15"/>
  <c r="N277" i="15"/>
  <c r="D80" i="31"/>
  <c r="D7" i="31" s="1"/>
  <c r="D202" i="31"/>
  <c r="D83" i="31"/>
  <c r="H46" i="22"/>
  <c r="G47" i="22"/>
  <c r="D56" i="22"/>
  <c r="D168" i="18"/>
  <c r="D169" i="18" s="1"/>
  <c r="E48" i="9"/>
  <c r="F47" i="9"/>
  <c r="AV47" i="9" s="1"/>
  <c r="BB47" i="9"/>
  <c r="AY219" i="9"/>
  <c r="J219" i="9"/>
  <c r="AZ219" i="9" s="1"/>
  <c r="CX14" i="9"/>
  <c r="BK44" i="9"/>
  <c r="B134" i="9"/>
  <c r="AU134" i="9"/>
  <c r="L135" i="11"/>
  <c r="N135" i="11" s="1"/>
  <c r="Q135" i="11" s="1"/>
  <c r="P135" i="11" s="1"/>
  <c r="K135" i="11"/>
  <c r="M134" i="11"/>
  <c r="O134" i="11" s="1"/>
  <c r="D146" i="18"/>
  <c r="AY47" i="9"/>
  <c r="J47" i="9"/>
  <c r="AZ47" i="9" s="1"/>
  <c r="V144" i="9"/>
  <c r="Q144" i="9"/>
  <c r="R144" i="9" s="1"/>
  <c r="D145" i="18"/>
  <c r="D158" i="18"/>
  <c r="C137" i="11"/>
  <c r="E137" i="11" s="1"/>
  <c r="H137" i="11" s="1"/>
  <c r="G137" i="11" s="1"/>
  <c r="B137" i="11"/>
  <c r="D136" i="11"/>
  <c r="F136" i="11" s="1"/>
  <c r="Q230" i="9"/>
  <c r="R230" i="9" s="1"/>
  <c r="V230" i="9"/>
  <c r="J145" i="17"/>
  <c r="J143" i="17" s="1"/>
  <c r="E132" i="22" s="1"/>
  <c r="K198" i="18"/>
  <c r="AW48" i="9"/>
  <c r="AN229" i="9"/>
  <c r="AK229" i="9"/>
  <c r="AL229" i="9" s="1"/>
  <c r="AI230" i="9"/>
  <c r="AH56" i="9"/>
  <c r="AG57" i="9"/>
  <c r="AD57" i="9" s="1"/>
  <c r="Z56" i="9"/>
  <c r="W56" i="9"/>
  <c r="X56" i="9" s="1"/>
  <c r="U57" i="9"/>
  <c r="F219" i="9"/>
  <c r="AV219" i="9" s="1"/>
  <c r="BB219" i="9"/>
  <c r="E220" i="9"/>
  <c r="AJ145" i="9"/>
  <c r="AE145" i="9"/>
  <c r="AF145" i="9" s="1"/>
  <c r="N289" i="15" l="1"/>
  <c r="O289" i="15" s="1"/>
  <c r="B77" i="2" s="1"/>
  <c r="H58" i="26" s="1"/>
  <c r="D155" i="31" s="1"/>
  <c r="O277" i="15"/>
  <c r="F16" i="21"/>
  <c r="D189" i="31"/>
  <c r="D6" i="29"/>
  <c r="D203" i="31" s="1"/>
  <c r="D204" i="31" s="1"/>
  <c r="O134" i="25"/>
  <c r="D21" i="23"/>
  <c r="N211" i="18"/>
  <c r="O280" i="14"/>
  <c r="O130" i="25"/>
  <c r="D17" i="23"/>
  <c r="D20" i="23"/>
  <c r="O133" i="25"/>
  <c r="T135" i="11"/>
  <c r="V134" i="11"/>
  <c r="X134" i="11" s="1"/>
  <c r="U135" i="11"/>
  <c r="W135" i="11" s="1"/>
  <c r="Z135" i="11" s="1"/>
  <c r="Y135" i="11" s="1"/>
  <c r="T56" i="9"/>
  <c r="S57" i="9"/>
  <c r="P57" i="9" s="1"/>
  <c r="C138" i="11"/>
  <c r="E138" i="11" s="1"/>
  <c r="H138" i="11" s="1"/>
  <c r="G138" i="11" s="1"/>
  <c r="B138" i="11"/>
  <c r="D137" i="11"/>
  <c r="F137" i="11" s="1"/>
  <c r="D105" i="25"/>
  <c r="E141" i="18"/>
  <c r="K17" i="3"/>
  <c r="L17" i="3" s="1"/>
  <c r="D106" i="25"/>
  <c r="E102" i="18"/>
  <c r="AI146" i="9"/>
  <c r="AN145" i="9"/>
  <c r="AK145" i="9"/>
  <c r="AL145" i="9" s="1"/>
  <c r="BI45" i="9"/>
  <c r="BJ45" i="9" s="1"/>
  <c r="CY13" i="9"/>
  <c r="D147" i="18"/>
  <c r="D107" i="25" s="1"/>
  <c r="Z144" i="9"/>
  <c r="W144" i="9"/>
  <c r="X144" i="9" s="1"/>
  <c r="U145" i="9"/>
  <c r="CX16" i="9"/>
  <c r="BL44" i="9"/>
  <c r="L136" i="11"/>
  <c r="N136" i="11" s="1"/>
  <c r="Q136" i="11" s="1"/>
  <c r="P136" i="11" s="1"/>
  <c r="M135" i="11"/>
  <c r="O135" i="11" s="1"/>
  <c r="K136" i="11"/>
  <c r="AU48" i="9"/>
  <c r="B48" i="9"/>
  <c r="D57" i="22"/>
  <c r="G14" i="3"/>
  <c r="H14" i="3" s="1"/>
  <c r="AE57" i="9"/>
  <c r="AF57" i="9" s="1"/>
  <c r="AJ57" i="9"/>
  <c r="AH229" i="9"/>
  <c r="AG230" i="9"/>
  <c r="AD230" i="9" s="1"/>
  <c r="Z230" i="9"/>
  <c r="W230" i="9"/>
  <c r="X230" i="9" s="1"/>
  <c r="U231" i="9"/>
  <c r="BM44" i="9"/>
  <c r="CX17" i="9"/>
  <c r="CX18" i="9" s="1"/>
  <c r="AR134" i="9"/>
  <c r="C134" i="9"/>
  <c r="H134" i="9"/>
  <c r="B220" i="9"/>
  <c r="AU220" i="9"/>
  <c r="K127" i="25"/>
  <c r="K196" i="18"/>
  <c r="I176" i="17"/>
  <c r="J223" i="18"/>
  <c r="H47" i="22"/>
  <c r="G15" i="3" s="1"/>
  <c r="H15" i="3" s="1"/>
  <c r="I46" i="22"/>
  <c r="N209" i="18" l="1"/>
  <c r="N140" i="25"/>
  <c r="O211" i="18"/>
  <c r="U136" i="11"/>
  <c r="W136" i="11" s="1"/>
  <c r="Z136" i="11" s="1"/>
  <c r="Y136" i="11" s="1"/>
  <c r="V135" i="11"/>
  <c r="X135" i="11" s="1"/>
  <c r="T136" i="11"/>
  <c r="I47" i="22"/>
  <c r="H48" i="9"/>
  <c r="C48" i="9"/>
  <c r="AR48" i="9"/>
  <c r="E101" i="25"/>
  <c r="C139" i="11"/>
  <c r="E139" i="11" s="1"/>
  <c r="H139" i="11" s="1"/>
  <c r="G139" i="11" s="1"/>
  <c r="B139" i="11"/>
  <c r="D138" i="11"/>
  <c r="F138" i="11" s="1"/>
  <c r="V57" i="9"/>
  <c r="Q57" i="9"/>
  <c r="R57" i="9" s="1"/>
  <c r="AN57" i="9"/>
  <c r="AI58" i="9"/>
  <c r="AK57" i="9"/>
  <c r="AL57" i="9" s="1"/>
  <c r="K137" i="11"/>
  <c r="M136" i="11"/>
  <c r="O136" i="11" s="1"/>
  <c r="L137" i="11"/>
  <c r="N137" i="11" s="1"/>
  <c r="Q137" i="11" s="1"/>
  <c r="P137" i="11" s="1"/>
  <c r="C220" i="9"/>
  <c r="AR220" i="9"/>
  <c r="H220" i="9"/>
  <c r="B188" i="31"/>
  <c r="B193" i="31" s="1"/>
  <c r="B30" i="28"/>
  <c r="B23" i="21"/>
  <c r="S231" i="9"/>
  <c r="P231" i="9" s="1"/>
  <c r="T230" i="9"/>
  <c r="C17" i="3"/>
  <c r="D17" i="3" s="1"/>
  <c r="C121" i="17"/>
  <c r="D61" i="22"/>
  <c r="E62" i="25"/>
  <c r="E105" i="18"/>
  <c r="L134" i="9"/>
  <c r="AX134" i="9"/>
  <c r="G135" i="9"/>
  <c r="AW135" i="9" s="1"/>
  <c r="I134" i="9"/>
  <c r="AE230" i="9"/>
  <c r="AF230" i="9" s="1"/>
  <c r="AJ230" i="9"/>
  <c r="AG146" i="9"/>
  <c r="AD146" i="9" s="1"/>
  <c r="AH145" i="9"/>
  <c r="I182" i="17"/>
  <c r="J152" i="25"/>
  <c r="J224" i="18"/>
  <c r="K125" i="25"/>
  <c r="D134" i="9"/>
  <c r="AT134" i="9" s="1"/>
  <c r="AS134" i="9"/>
  <c r="BG45" i="9"/>
  <c r="BH45" i="9" s="1"/>
  <c r="CY12" i="9"/>
  <c r="K221" i="18" s="1"/>
  <c r="T144" i="9"/>
  <c r="S145" i="9"/>
  <c r="P145" i="9" s="1"/>
  <c r="O140" i="25" l="1"/>
  <c r="D27" i="23"/>
  <c r="U137" i="11"/>
  <c r="W137" i="11" s="1"/>
  <c r="Z137" i="11" s="1"/>
  <c r="Y137" i="11" s="1"/>
  <c r="T137" i="11"/>
  <c r="V136" i="11"/>
  <c r="X136" i="11" s="1"/>
  <c r="N138" i="25"/>
  <c r="N208" i="18"/>
  <c r="O209" i="18"/>
  <c r="D64" i="22"/>
  <c r="AG58" i="9"/>
  <c r="AD58" i="9" s="1"/>
  <c r="AH57" i="9"/>
  <c r="J35" i="3"/>
  <c r="J153" i="25"/>
  <c r="AE146" i="9"/>
  <c r="AF146" i="9" s="1"/>
  <c r="AJ146" i="9"/>
  <c r="I18" i="3"/>
  <c r="E65" i="25"/>
  <c r="E142" i="18"/>
  <c r="L30" i="28"/>
  <c r="L34" i="28" s="1"/>
  <c r="L37" i="28" s="1"/>
  <c r="B39" i="28" s="1"/>
  <c r="M30" i="28"/>
  <c r="M34" i="28" s="1"/>
  <c r="J30" i="28"/>
  <c r="J34" i="28" s="1"/>
  <c r="I30" i="28"/>
  <c r="I34" i="28" s="1"/>
  <c r="I37" i="28" s="1"/>
  <c r="M137" i="11"/>
  <c r="O137" i="11" s="1"/>
  <c r="K138" i="11"/>
  <c r="L138" i="11"/>
  <c r="N138" i="11" s="1"/>
  <c r="Q138" i="11" s="1"/>
  <c r="P138" i="11" s="1"/>
  <c r="D48" i="9"/>
  <c r="AT48" i="9" s="1"/>
  <c r="AS48" i="9"/>
  <c r="AY134" i="9"/>
  <c r="J134" i="9"/>
  <c r="AZ134" i="9" s="1"/>
  <c r="V231" i="9"/>
  <c r="Q231" i="9"/>
  <c r="R231" i="9" s="1"/>
  <c r="G221" i="9"/>
  <c r="AW221" i="9" s="1"/>
  <c r="AX220" i="9"/>
  <c r="I220" i="9"/>
  <c r="L220" i="9"/>
  <c r="C140" i="11"/>
  <c r="E140" i="11" s="1"/>
  <c r="H140" i="11" s="1"/>
  <c r="G140" i="11" s="1"/>
  <c r="D139" i="11"/>
  <c r="F139" i="11" s="1"/>
  <c r="B140" i="11"/>
  <c r="V145" i="9"/>
  <c r="Q145" i="9"/>
  <c r="R145" i="9" s="1"/>
  <c r="AK230" i="9"/>
  <c r="AL230" i="9" s="1"/>
  <c r="AI231" i="9"/>
  <c r="AN230" i="9"/>
  <c r="B10" i="31"/>
  <c r="B11" i="31"/>
  <c r="B194" i="31"/>
  <c r="AS220" i="9"/>
  <c r="D220" i="9"/>
  <c r="AT220" i="9" s="1"/>
  <c r="Z57" i="9"/>
  <c r="W57" i="9"/>
  <c r="X57" i="9" s="1"/>
  <c r="U58" i="9"/>
  <c r="I48" i="9"/>
  <c r="AX48" i="9"/>
  <c r="G49" i="9"/>
  <c r="L48" i="9"/>
  <c r="E138" i="22"/>
  <c r="J188" i="17" s="1"/>
  <c r="K150" i="25"/>
  <c r="BB134" i="9"/>
  <c r="E135" i="9"/>
  <c r="F134" i="9"/>
  <c r="AV134" i="9" s="1"/>
  <c r="D49" i="26"/>
  <c r="B24" i="21"/>
  <c r="R6" i="18"/>
  <c r="D5" i="4" s="1"/>
  <c r="N137" i="25" l="1"/>
  <c r="O208" i="18"/>
  <c r="O138" i="25"/>
  <c r="D25" i="23"/>
  <c r="T138" i="11"/>
  <c r="V137" i="11"/>
  <c r="X137" i="11" s="1"/>
  <c r="U138" i="11"/>
  <c r="W138" i="11" s="1"/>
  <c r="Z138" i="11" s="1"/>
  <c r="Y138" i="11" s="1"/>
  <c r="AW49" i="9"/>
  <c r="L198" i="18"/>
  <c r="K145" i="17"/>
  <c r="K143" i="17" s="1"/>
  <c r="F132" i="22" s="1"/>
  <c r="E49" i="9"/>
  <c r="F48" i="9"/>
  <c r="AV48" i="9" s="1"/>
  <c r="BB48" i="9"/>
  <c r="D140" i="11"/>
  <c r="F140" i="11" s="1"/>
  <c r="C141" i="11"/>
  <c r="E141" i="11" s="1"/>
  <c r="H141" i="11" s="1"/>
  <c r="G141" i="11" s="1"/>
  <c r="B141" i="11"/>
  <c r="AY220" i="9"/>
  <c r="J220" i="9"/>
  <c r="AZ220" i="9" s="1"/>
  <c r="U232" i="9"/>
  <c r="Z231" i="9"/>
  <c r="W231" i="9"/>
  <c r="X231" i="9" s="1"/>
  <c r="B38" i="28"/>
  <c r="G133" i="28"/>
  <c r="G204" i="28"/>
  <c r="F204" i="28" s="1"/>
  <c r="G132" i="28"/>
  <c r="F132" i="28" s="1"/>
  <c r="G203" i="28"/>
  <c r="AN146" i="9"/>
  <c r="AI147" i="9"/>
  <c r="AK146" i="9"/>
  <c r="AL146" i="9" s="1"/>
  <c r="AE58" i="9"/>
  <c r="AF58" i="9" s="1"/>
  <c r="AJ58" i="9"/>
  <c r="T57" i="9"/>
  <c r="S58" i="9"/>
  <c r="P58" i="9" s="1"/>
  <c r="M138" i="11"/>
  <c r="O138" i="11" s="1"/>
  <c r="K139" i="11"/>
  <c r="L139" i="11"/>
  <c r="N139" i="11" s="1"/>
  <c r="Q139" i="11" s="1"/>
  <c r="P139" i="11" s="1"/>
  <c r="F47" i="26"/>
  <c r="B146" i="31"/>
  <c r="B141" i="31" s="1"/>
  <c r="D44" i="26"/>
  <c r="D68" i="26" s="1"/>
  <c r="F48" i="26"/>
  <c r="C145" i="31" s="1"/>
  <c r="F46" i="26"/>
  <c r="B195" i="31"/>
  <c r="B196" i="31" s="1"/>
  <c r="E102" i="25"/>
  <c r="E144" i="18"/>
  <c r="B135" i="9"/>
  <c r="AU135" i="9"/>
  <c r="AY48" i="9"/>
  <c r="J48" i="9"/>
  <c r="AZ48" i="9" s="1"/>
  <c r="AG231" i="9"/>
  <c r="AD231" i="9" s="1"/>
  <c r="AH230" i="9"/>
  <c r="W145" i="9"/>
  <c r="X145" i="9" s="1"/>
  <c r="Z145" i="9"/>
  <c r="U146" i="9"/>
  <c r="F220" i="9"/>
  <c r="AV220" i="9" s="1"/>
  <c r="BB220" i="9"/>
  <c r="E221" i="9"/>
  <c r="CY14" i="9"/>
  <c r="BK45" i="9"/>
  <c r="D67" i="22"/>
  <c r="O137" i="25" l="1"/>
  <c r="D24" i="23"/>
  <c r="T139" i="11"/>
  <c r="V138" i="11"/>
  <c r="X138" i="11" s="1"/>
  <c r="U139" i="11"/>
  <c r="W139" i="11" s="1"/>
  <c r="Z139" i="11" s="1"/>
  <c r="Y139" i="11" s="1"/>
  <c r="L140" i="11"/>
  <c r="N140" i="11" s="1"/>
  <c r="Q140" i="11" s="1"/>
  <c r="P140" i="11" s="1"/>
  <c r="K140" i="11"/>
  <c r="M139" i="11"/>
  <c r="O139" i="11" s="1"/>
  <c r="F203" i="28"/>
  <c r="G208" i="28"/>
  <c r="BL45" i="9"/>
  <c r="CY16" i="9"/>
  <c r="AK58" i="9"/>
  <c r="AL58" i="9" s="1"/>
  <c r="AN58" i="9"/>
  <c r="AI59" i="9"/>
  <c r="AH146" i="9"/>
  <c r="AG147" i="9"/>
  <c r="AD147" i="9" s="1"/>
  <c r="F133" i="28"/>
  <c r="G134" i="28"/>
  <c r="AU49" i="9"/>
  <c r="B49" i="9"/>
  <c r="B18" i="29"/>
  <c r="B2" i="27" s="1"/>
  <c r="B9" i="27"/>
  <c r="B36" i="28"/>
  <c r="J176" i="17"/>
  <c r="J178" i="17" s="1"/>
  <c r="K223" i="18"/>
  <c r="AE231" i="9"/>
  <c r="AF231" i="9" s="1"/>
  <c r="AJ231" i="9"/>
  <c r="AR135" i="9"/>
  <c r="C135" i="9"/>
  <c r="H135" i="9"/>
  <c r="B172" i="31"/>
  <c r="B165" i="31"/>
  <c r="B49" i="31"/>
  <c r="Q58" i="9"/>
  <c r="R58" i="9" s="1"/>
  <c r="V58" i="9"/>
  <c r="L127" i="25"/>
  <c r="L196" i="18"/>
  <c r="E54" i="26"/>
  <c r="D4" i="4"/>
  <c r="E49" i="26"/>
  <c r="E66" i="26"/>
  <c r="E51" i="26"/>
  <c r="E48" i="26"/>
  <c r="E47" i="26"/>
  <c r="E57" i="26"/>
  <c r="E61" i="26"/>
  <c r="E58" i="26"/>
  <c r="E56" i="26"/>
  <c r="E64" i="26"/>
  <c r="E45" i="26"/>
  <c r="E52" i="26"/>
  <c r="E60" i="26"/>
  <c r="E62" i="26"/>
  <c r="E65" i="26"/>
  <c r="E44" i="26"/>
  <c r="E50" i="26"/>
  <c r="E53" i="26"/>
  <c r="E55" i="26"/>
  <c r="E46" i="26"/>
  <c r="E67" i="26"/>
  <c r="E59" i="26"/>
  <c r="E63" i="26"/>
  <c r="D69" i="22"/>
  <c r="B221" i="9"/>
  <c r="AU221" i="9"/>
  <c r="T145" i="9"/>
  <c r="S146" i="9"/>
  <c r="P146" i="9" s="1"/>
  <c r="CY17" i="9"/>
  <c r="CY18" i="9" s="1"/>
  <c r="BM45" i="9"/>
  <c r="E104" i="25"/>
  <c r="E167" i="18"/>
  <c r="E156" i="18"/>
  <c r="E155" i="18"/>
  <c r="C143" i="31"/>
  <c r="C144" i="31"/>
  <c r="S232" i="9"/>
  <c r="P232" i="9" s="1"/>
  <c r="T231" i="9"/>
  <c r="C142" i="11"/>
  <c r="E142" i="11" s="1"/>
  <c r="H142" i="11" s="1"/>
  <c r="G142" i="11" s="1"/>
  <c r="D141" i="11"/>
  <c r="F141" i="11" s="1"/>
  <c r="B142" i="11"/>
  <c r="CZ13" i="9"/>
  <c r="BI46" i="9"/>
  <c r="BJ46" i="9" s="1"/>
  <c r="V139" i="11" l="1"/>
  <c r="X139" i="11" s="1"/>
  <c r="T140" i="11"/>
  <c r="U140" i="11"/>
  <c r="W140" i="11" s="1"/>
  <c r="Z140" i="11" s="1"/>
  <c r="Y140" i="11" s="1"/>
  <c r="K152" i="25"/>
  <c r="J182" i="17"/>
  <c r="K224" i="18"/>
  <c r="B4" i="27"/>
  <c r="C4" i="27" s="1"/>
  <c r="B15" i="27"/>
  <c r="C15" i="27" s="1"/>
  <c r="D15" i="27" s="1"/>
  <c r="E15" i="27" s="1"/>
  <c r="F15" i="27" s="1"/>
  <c r="G15" i="27" s="1"/>
  <c r="H15" i="27" s="1"/>
  <c r="I15" i="27" s="1"/>
  <c r="J15" i="27" s="1"/>
  <c r="K15" i="27" s="1"/>
  <c r="L15" i="27" s="1"/>
  <c r="M15" i="27" s="1"/>
  <c r="AG59" i="9"/>
  <c r="AD59" i="9" s="1"/>
  <c r="AH58" i="9"/>
  <c r="J180" i="17"/>
  <c r="J179" i="17"/>
  <c r="H49" i="9"/>
  <c r="C49" i="9"/>
  <c r="AR49" i="9"/>
  <c r="AE147" i="9"/>
  <c r="AF147" i="9" s="1"/>
  <c r="AJ147" i="9"/>
  <c r="E168" i="18"/>
  <c r="E169" i="18" s="1"/>
  <c r="E56" i="22"/>
  <c r="D135" i="9"/>
  <c r="AT135" i="9" s="1"/>
  <c r="AS135" i="9"/>
  <c r="D142" i="11"/>
  <c r="F142" i="11" s="1"/>
  <c r="C143" i="11"/>
  <c r="E143" i="11" s="1"/>
  <c r="H143" i="11" s="1"/>
  <c r="G143" i="11" s="1"/>
  <c r="B143" i="11"/>
  <c r="Z58" i="9"/>
  <c r="U59" i="9"/>
  <c r="W58" i="9"/>
  <c r="X58" i="9" s="1"/>
  <c r="B173" i="31"/>
  <c r="B74" i="31" s="1"/>
  <c r="B75" i="31"/>
  <c r="B82" i="31"/>
  <c r="B46" i="31"/>
  <c r="B47" i="31" s="1"/>
  <c r="B56" i="31"/>
  <c r="B86" i="31"/>
  <c r="B9" i="31" s="1"/>
  <c r="B54" i="31"/>
  <c r="B55" i="31" s="1"/>
  <c r="B12" i="31" s="1"/>
  <c r="B96" i="31"/>
  <c r="B62" i="31"/>
  <c r="AK231" i="9"/>
  <c r="AL231" i="9" s="1"/>
  <c r="AI232" i="9"/>
  <c r="AN231" i="9"/>
  <c r="B5" i="27"/>
  <c r="D34" i="27"/>
  <c r="BG46" i="9"/>
  <c r="BH46" i="9" s="1"/>
  <c r="CZ12" i="9"/>
  <c r="M140" i="11"/>
  <c r="O140" i="11" s="1"/>
  <c r="K141" i="11"/>
  <c r="L141" i="11"/>
  <c r="N141" i="11" s="1"/>
  <c r="Q141" i="11" s="1"/>
  <c r="P141" i="11" s="1"/>
  <c r="V146" i="9"/>
  <c r="Q146" i="9"/>
  <c r="R146" i="9" s="1"/>
  <c r="L125" i="25"/>
  <c r="Q232" i="9"/>
  <c r="R232" i="9" s="1"/>
  <c r="V232" i="9"/>
  <c r="E145" i="18"/>
  <c r="E158" i="18"/>
  <c r="E146" i="18"/>
  <c r="AR221" i="9"/>
  <c r="C221" i="9"/>
  <c r="H221" i="9"/>
  <c r="L135" i="9"/>
  <c r="AX135" i="9"/>
  <c r="I135" i="9"/>
  <c r="G136" i="9"/>
  <c r="AW136" i="9" s="1"/>
  <c r="C9" i="27"/>
  <c r="D9" i="27" s="1"/>
  <c r="E9" i="27" s="1"/>
  <c r="F9" i="27" s="1"/>
  <c r="G9" i="27" s="1"/>
  <c r="H9" i="27" s="1"/>
  <c r="I9" i="27" s="1"/>
  <c r="J9" i="27" s="1"/>
  <c r="K9" i="27" s="1"/>
  <c r="L9" i="27" s="1"/>
  <c r="M9" i="27" s="1"/>
  <c r="V140" i="11" l="1"/>
  <c r="X140" i="11" s="1"/>
  <c r="T141" i="11"/>
  <c r="U141" i="11"/>
  <c r="W141" i="11" s="1"/>
  <c r="Z141" i="11" s="1"/>
  <c r="Y141" i="11" s="1"/>
  <c r="F102" i="18"/>
  <c r="E136" i="9"/>
  <c r="BB135" i="9"/>
  <c r="F135" i="9"/>
  <c r="AV135" i="9" s="1"/>
  <c r="E57" i="22"/>
  <c r="N9" i="27"/>
  <c r="L228" i="18"/>
  <c r="N179" i="17"/>
  <c r="K153" i="25"/>
  <c r="J36" i="3"/>
  <c r="E105" i="25"/>
  <c r="F141" i="18"/>
  <c r="AE59" i="9"/>
  <c r="AF59" i="9" s="1"/>
  <c r="AJ59" i="9"/>
  <c r="G222" i="9"/>
  <c r="AW222" i="9" s="1"/>
  <c r="L221" i="9"/>
  <c r="AX221" i="9"/>
  <c r="I221" i="9"/>
  <c r="Z232" i="9"/>
  <c r="W232" i="9"/>
  <c r="X232" i="9" s="1"/>
  <c r="U233" i="9"/>
  <c r="D143" i="11"/>
  <c r="F143" i="11" s="1"/>
  <c r="C144" i="11"/>
  <c r="E144" i="11" s="1"/>
  <c r="H144" i="11" s="1"/>
  <c r="G144" i="11" s="1"/>
  <c r="B144" i="11"/>
  <c r="AS49" i="9"/>
  <c r="D49" i="9"/>
  <c r="AT49" i="9" s="1"/>
  <c r="M141" i="11"/>
  <c r="O141" i="11" s="1"/>
  <c r="K142" i="11"/>
  <c r="L142" i="11"/>
  <c r="N142" i="11" s="1"/>
  <c r="Q142" i="11" s="1"/>
  <c r="P142" i="11" s="1"/>
  <c r="D36" i="27"/>
  <c r="D35" i="27"/>
  <c r="S59" i="9"/>
  <c r="P59" i="9" s="1"/>
  <c r="T58" i="9"/>
  <c r="K18" i="3"/>
  <c r="L18" i="3" s="1"/>
  <c r="E106" i="25"/>
  <c r="AY135" i="9"/>
  <c r="J135" i="9"/>
  <c r="AZ135" i="9" s="1"/>
  <c r="D221" i="9"/>
  <c r="AT221" i="9" s="1"/>
  <c r="AS221" i="9"/>
  <c r="E147" i="18"/>
  <c r="E107" i="25" s="1"/>
  <c r="E157" i="18"/>
  <c r="U147" i="9"/>
  <c r="W146" i="9"/>
  <c r="X146" i="9" s="1"/>
  <c r="Z146" i="9"/>
  <c r="AH231" i="9"/>
  <c r="AG232" i="9"/>
  <c r="AD232" i="9" s="1"/>
  <c r="AK147" i="9"/>
  <c r="AL147" i="9" s="1"/>
  <c r="AI148" i="9"/>
  <c r="AN147" i="9"/>
  <c r="AX49" i="9"/>
  <c r="I49" i="9"/>
  <c r="L49" i="9"/>
  <c r="G50" i="9"/>
  <c r="B8" i="27"/>
  <c r="B13" i="27" s="1"/>
  <c r="C13" i="27" s="1"/>
  <c r="D13" i="27" s="1"/>
  <c r="E13" i="27" s="1"/>
  <c r="F13" i="27" s="1"/>
  <c r="G13" i="27" s="1"/>
  <c r="H13" i="27" s="1"/>
  <c r="I13" i="27" s="1"/>
  <c r="J13" i="27" s="1"/>
  <c r="K13" i="27" s="1"/>
  <c r="L13" i="27" s="1"/>
  <c r="M13" i="27" s="1"/>
  <c r="C8" i="27"/>
  <c r="D8" i="27"/>
  <c r="E8" i="27"/>
  <c r="F8" i="27"/>
  <c r="G8" i="27"/>
  <c r="H8" i="27"/>
  <c r="I8" i="27"/>
  <c r="J8" i="27"/>
  <c r="K8" i="27"/>
  <c r="L8" i="27"/>
  <c r="M8" i="27"/>
  <c r="N8" i="27"/>
  <c r="T142" i="11" l="1"/>
  <c r="V141" i="11"/>
  <c r="X141" i="11" s="1"/>
  <c r="U142" i="11"/>
  <c r="W142" i="11" s="1"/>
  <c r="Z142" i="11" s="1"/>
  <c r="Y142" i="11" s="1"/>
  <c r="V59" i="9"/>
  <c r="Q59" i="9"/>
  <c r="R59" i="9" s="1"/>
  <c r="F101" i="25"/>
  <c r="AY49" i="9"/>
  <c r="J49" i="9"/>
  <c r="AZ49" i="9" s="1"/>
  <c r="CZ14" i="9"/>
  <c r="BK46" i="9"/>
  <c r="AY221" i="9"/>
  <c r="J221" i="9"/>
  <c r="AZ221" i="9" s="1"/>
  <c r="AJ232" i="9"/>
  <c r="AE232" i="9"/>
  <c r="AF232" i="9" s="1"/>
  <c r="K143" i="11"/>
  <c r="M142" i="11"/>
  <c r="O142" i="11" s="1"/>
  <c r="L143" i="11"/>
  <c r="N143" i="11" s="1"/>
  <c r="Q143" i="11" s="1"/>
  <c r="P143" i="11" s="1"/>
  <c r="F136" i="18"/>
  <c r="D36" i="28"/>
  <c r="D38" i="28"/>
  <c r="B145" i="11"/>
  <c r="C145" i="11"/>
  <c r="E145" i="11" s="1"/>
  <c r="H145" i="11" s="1"/>
  <c r="G145" i="11" s="1"/>
  <c r="D144" i="11"/>
  <c r="F144" i="11" s="1"/>
  <c r="F221" i="9"/>
  <c r="AV221" i="9" s="1"/>
  <c r="BB221" i="9"/>
  <c r="E222" i="9"/>
  <c r="E61" i="22"/>
  <c r="C18" i="3"/>
  <c r="D18" i="3" s="1"/>
  <c r="D121" i="17"/>
  <c r="AU136" i="9"/>
  <c r="B136" i="9"/>
  <c r="AW50" i="9"/>
  <c r="M198" i="18"/>
  <c r="L145" i="17"/>
  <c r="L143" i="17" s="1"/>
  <c r="G132" i="22" s="1"/>
  <c r="AG148" i="9"/>
  <c r="AD148" i="9" s="1"/>
  <c r="AH147" i="9"/>
  <c r="F49" i="9"/>
  <c r="AV49" i="9" s="1"/>
  <c r="E50" i="9"/>
  <c r="BB49" i="9"/>
  <c r="T146" i="9"/>
  <c r="S147" i="9"/>
  <c r="P147" i="9" s="1"/>
  <c r="C36" i="28"/>
  <c r="C38" i="28"/>
  <c r="S233" i="9"/>
  <c r="P233" i="9" s="1"/>
  <c r="T232" i="9"/>
  <c r="AN59" i="9"/>
  <c r="AK59" i="9"/>
  <c r="AL59" i="9" s="1"/>
  <c r="AI60" i="9"/>
  <c r="L157" i="25"/>
  <c r="O228" i="18"/>
  <c r="F62" i="25"/>
  <c r="F105" i="18"/>
  <c r="U143" i="11" l="1"/>
  <c r="W143" i="11" s="1"/>
  <c r="Z143" i="11" s="1"/>
  <c r="Y143" i="11" s="1"/>
  <c r="T143" i="11"/>
  <c r="V142" i="11"/>
  <c r="X142" i="11" s="1"/>
  <c r="Q233" i="9"/>
  <c r="R233" i="9" s="1"/>
  <c r="V233" i="9"/>
  <c r="DA13" i="9"/>
  <c r="BI47" i="9"/>
  <c r="BJ47" i="9" s="1"/>
  <c r="Q147" i="9"/>
  <c r="R147" i="9" s="1"/>
  <c r="V147" i="9"/>
  <c r="M127" i="25"/>
  <c r="M196" i="18"/>
  <c r="B222" i="9"/>
  <c r="AU222" i="9"/>
  <c r="L144" i="11"/>
  <c r="N144" i="11" s="1"/>
  <c r="Q144" i="11" s="1"/>
  <c r="P144" i="11" s="1"/>
  <c r="K144" i="11"/>
  <c r="M143" i="11"/>
  <c r="O143" i="11" s="1"/>
  <c r="F65" i="25"/>
  <c r="I19" i="3"/>
  <c r="F96" i="25"/>
  <c r="F68" i="22"/>
  <c r="F139" i="18"/>
  <c r="F142" i="18" s="1"/>
  <c r="K176" i="17"/>
  <c r="L223" i="18"/>
  <c r="AI233" i="9"/>
  <c r="AK232" i="9"/>
  <c r="AL232" i="9" s="1"/>
  <c r="AN232" i="9"/>
  <c r="BM46" i="9"/>
  <c r="CZ17" i="9"/>
  <c r="B146" i="11"/>
  <c r="D145" i="11"/>
  <c r="F145" i="11" s="1"/>
  <c r="C146" i="11"/>
  <c r="E146" i="11" s="1"/>
  <c r="H146" i="11" s="1"/>
  <c r="G146" i="11" s="1"/>
  <c r="AJ148" i="9"/>
  <c r="AE148" i="9"/>
  <c r="AF148" i="9" s="1"/>
  <c r="AR136" i="9"/>
  <c r="C136" i="9"/>
  <c r="H136" i="9"/>
  <c r="D44" i="23"/>
  <c r="O157" i="25"/>
  <c r="B62" i="2"/>
  <c r="AG60" i="9"/>
  <c r="AD60" i="9" s="1"/>
  <c r="AH59" i="9"/>
  <c r="AU50" i="9"/>
  <c r="B50" i="9"/>
  <c r="E64" i="22"/>
  <c r="BL46" i="9"/>
  <c r="CZ16" i="9"/>
  <c r="U60" i="9"/>
  <c r="Z59" i="9"/>
  <c r="W59" i="9"/>
  <c r="X59" i="9" s="1"/>
  <c r="U144" i="11" l="1"/>
  <c r="W144" i="11" s="1"/>
  <c r="Z144" i="11" s="1"/>
  <c r="Y144" i="11" s="1"/>
  <c r="T144" i="11"/>
  <c r="V143" i="11"/>
  <c r="X143" i="11" s="1"/>
  <c r="AX136" i="9"/>
  <c r="I136" i="9"/>
  <c r="L136" i="9"/>
  <c r="G137" i="9"/>
  <c r="AW137" i="9" s="1"/>
  <c r="F99" i="25"/>
  <c r="J19" i="3"/>
  <c r="L145" i="11"/>
  <c r="N145" i="11" s="1"/>
  <c r="Q145" i="11" s="1"/>
  <c r="P145" i="11" s="1"/>
  <c r="M144" i="11"/>
  <c r="O144" i="11" s="1"/>
  <c r="K145" i="11"/>
  <c r="M125" i="25"/>
  <c r="D136" i="9"/>
  <c r="AT136" i="9" s="1"/>
  <c r="AS136" i="9"/>
  <c r="CZ18" i="9"/>
  <c r="L152" i="25"/>
  <c r="K182" i="17"/>
  <c r="E122" i="17"/>
  <c r="I68" i="22"/>
  <c r="W147" i="9"/>
  <c r="X147" i="9" s="1"/>
  <c r="Z147" i="9"/>
  <c r="U148" i="9"/>
  <c r="Z233" i="9"/>
  <c r="U234" i="9"/>
  <c r="W233" i="9"/>
  <c r="X233" i="9" s="1"/>
  <c r="AE60" i="9"/>
  <c r="AF60" i="9" s="1"/>
  <c r="AJ60" i="9"/>
  <c r="AK148" i="9"/>
  <c r="AL148" i="9" s="1"/>
  <c r="AN148" i="9"/>
  <c r="AI149" i="9"/>
  <c r="AR50" i="9"/>
  <c r="H50" i="9"/>
  <c r="C50" i="9"/>
  <c r="F102" i="25"/>
  <c r="F144" i="18"/>
  <c r="BG47" i="9"/>
  <c r="BH47" i="9" s="1"/>
  <c r="DA12" i="9"/>
  <c r="M221" i="18" s="1"/>
  <c r="T59" i="9"/>
  <c r="S60" i="9"/>
  <c r="P60" i="9" s="1"/>
  <c r="E67" i="22"/>
  <c r="B147" i="11"/>
  <c r="D146" i="11"/>
  <c r="F146" i="11" s="1"/>
  <c r="C147" i="11"/>
  <c r="E147" i="11" s="1"/>
  <c r="H147" i="11" s="1"/>
  <c r="G147" i="11" s="1"/>
  <c r="AG233" i="9"/>
  <c r="AD233" i="9" s="1"/>
  <c r="AH232" i="9"/>
  <c r="C222" i="9"/>
  <c r="AR222" i="9"/>
  <c r="H222" i="9"/>
  <c r="T145" i="11" l="1"/>
  <c r="U145" i="11"/>
  <c r="W145" i="11" s="1"/>
  <c r="Z145" i="11" s="1"/>
  <c r="Y145" i="11" s="1"/>
  <c r="V144" i="11"/>
  <c r="X144" i="11" s="1"/>
  <c r="AE233" i="9"/>
  <c r="AF233" i="9" s="1"/>
  <c r="AJ233" i="9"/>
  <c r="L50" i="9"/>
  <c r="AX50" i="9"/>
  <c r="G51" i="9"/>
  <c r="I50" i="9"/>
  <c r="K146" i="11"/>
  <c r="M145" i="11"/>
  <c r="O145" i="11" s="1"/>
  <c r="L146" i="11"/>
  <c r="N146" i="11" s="1"/>
  <c r="Q146" i="11" s="1"/>
  <c r="P146" i="11" s="1"/>
  <c r="D222" i="9"/>
  <c r="AT222" i="9" s="1"/>
  <c r="AS222" i="9"/>
  <c r="E69" i="22"/>
  <c r="Q60" i="9"/>
  <c r="R60" i="9" s="1"/>
  <c r="V60" i="9"/>
  <c r="F156" i="18"/>
  <c r="F167" i="18"/>
  <c r="F155" i="18"/>
  <c r="F104" i="25"/>
  <c r="AI61" i="9"/>
  <c r="AN60" i="9"/>
  <c r="AK60" i="9"/>
  <c r="AL60" i="9" s="1"/>
  <c r="T233" i="9"/>
  <c r="S234" i="9"/>
  <c r="P234" i="9" s="1"/>
  <c r="F136" i="9"/>
  <c r="AV136" i="9" s="1"/>
  <c r="BB136" i="9"/>
  <c r="E137" i="9"/>
  <c r="AY136" i="9"/>
  <c r="J136" i="9"/>
  <c r="AZ136" i="9" s="1"/>
  <c r="AX222" i="9"/>
  <c r="L222" i="9"/>
  <c r="I222" i="9"/>
  <c r="G223" i="9"/>
  <c r="AW223" i="9" s="1"/>
  <c r="D147" i="11"/>
  <c r="F147" i="11" s="1"/>
  <c r="B148" i="11"/>
  <c r="C148" i="11"/>
  <c r="E148" i="11" s="1"/>
  <c r="H148" i="11" s="1"/>
  <c r="G148" i="11" s="1"/>
  <c r="M150" i="25"/>
  <c r="G138" i="22"/>
  <c r="L188" i="17" s="1"/>
  <c r="D50" i="9"/>
  <c r="AT50" i="9" s="1"/>
  <c r="AS50" i="9"/>
  <c r="AH148" i="9"/>
  <c r="AG149" i="9"/>
  <c r="AD149" i="9" s="1"/>
  <c r="T147" i="9"/>
  <c r="S148" i="9"/>
  <c r="P148" i="9" s="1"/>
  <c r="U146" i="11" l="1"/>
  <c r="W146" i="11" s="1"/>
  <c r="Z146" i="11" s="1"/>
  <c r="Y146" i="11" s="1"/>
  <c r="V145" i="11"/>
  <c r="X145" i="11" s="1"/>
  <c r="T146" i="11"/>
  <c r="AJ149" i="9"/>
  <c r="AE149" i="9"/>
  <c r="AF149" i="9" s="1"/>
  <c r="B137" i="9"/>
  <c r="AU137" i="9"/>
  <c r="AW51" i="9"/>
  <c r="N198" i="18"/>
  <c r="M145" i="17"/>
  <c r="V148" i="9"/>
  <c r="Q148" i="9"/>
  <c r="R148" i="9" s="1"/>
  <c r="DA14" i="9"/>
  <c r="BK47" i="9"/>
  <c r="AY222" i="9"/>
  <c r="J222" i="9"/>
  <c r="AZ222" i="9" s="1"/>
  <c r="F145" i="18"/>
  <c r="F158" i="18"/>
  <c r="U61" i="9"/>
  <c r="Z60" i="9"/>
  <c r="W60" i="9"/>
  <c r="X60" i="9" s="1"/>
  <c r="M146" i="11"/>
  <c r="O146" i="11" s="1"/>
  <c r="L147" i="11"/>
  <c r="N147" i="11" s="1"/>
  <c r="Q147" i="11" s="1"/>
  <c r="P147" i="11" s="1"/>
  <c r="K147" i="11"/>
  <c r="BB50" i="9"/>
  <c r="E51" i="9"/>
  <c r="F50" i="9"/>
  <c r="AV50" i="9" s="1"/>
  <c r="V234" i="9"/>
  <c r="Q234" i="9"/>
  <c r="R234" i="9" s="1"/>
  <c r="B149" i="11"/>
  <c r="C149" i="11"/>
  <c r="E149" i="11" s="1"/>
  <c r="H149" i="11" s="1"/>
  <c r="G149" i="11" s="1"/>
  <c r="D148" i="11"/>
  <c r="F148" i="11" s="1"/>
  <c r="F222" i="9"/>
  <c r="AV222" i="9" s="1"/>
  <c r="BB222" i="9"/>
  <c r="E223" i="9"/>
  <c r="AH60" i="9"/>
  <c r="AG61" i="9"/>
  <c r="AD61" i="9" s="1"/>
  <c r="AY50" i="9"/>
  <c r="J50" i="9"/>
  <c r="AZ50" i="9" s="1"/>
  <c r="AI234" i="9"/>
  <c r="AK233" i="9"/>
  <c r="AL233" i="9" s="1"/>
  <c r="AN233" i="9"/>
  <c r="F56" i="22"/>
  <c r="F168" i="18"/>
  <c r="F169" i="18"/>
  <c r="F146" i="18"/>
  <c r="U147" i="11" l="1"/>
  <c r="W147" i="11" s="1"/>
  <c r="Z147" i="11" s="1"/>
  <c r="Y147" i="11" s="1"/>
  <c r="V146" i="11"/>
  <c r="X146" i="11" s="1"/>
  <c r="T147" i="11"/>
  <c r="DA16" i="9"/>
  <c r="BL47" i="9"/>
  <c r="F106" i="25"/>
  <c r="K19" i="3"/>
  <c r="L19" i="3" s="1"/>
  <c r="F57" i="22"/>
  <c r="BM47" i="9"/>
  <c r="DA17" i="9"/>
  <c r="AU223" i="9"/>
  <c r="B223" i="9"/>
  <c r="B51" i="9"/>
  <c r="AU51" i="9"/>
  <c r="F147" i="18"/>
  <c r="F107" i="25" s="1"/>
  <c r="U149" i="9"/>
  <c r="W148" i="9"/>
  <c r="X148" i="9" s="1"/>
  <c r="Z148" i="9"/>
  <c r="M143" i="17"/>
  <c r="N145" i="17"/>
  <c r="B162" i="28" s="1"/>
  <c r="K148" i="11"/>
  <c r="M147" i="11"/>
  <c r="O147" i="11" s="1"/>
  <c r="L148" i="11"/>
  <c r="N148" i="11" s="1"/>
  <c r="Q148" i="11" s="1"/>
  <c r="P148" i="11" s="1"/>
  <c r="S61" i="9"/>
  <c r="P61" i="9" s="1"/>
  <c r="T60" i="9"/>
  <c r="F105" i="25"/>
  <c r="G141" i="18"/>
  <c r="L176" i="17"/>
  <c r="M223" i="18"/>
  <c r="N127" i="25"/>
  <c r="N196" i="18"/>
  <c r="O198" i="18"/>
  <c r="AG234" i="9"/>
  <c r="AD234" i="9" s="1"/>
  <c r="AH233" i="9"/>
  <c r="B150" i="11"/>
  <c r="C150" i="11"/>
  <c r="E150" i="11" s="1"/>
  <c r="H150" i="11" s="1"/>
  <c r="G150" i="11" s="1"/>
  <c r="D149" i="11"/>
  <c r="F149" i="11" s="1"/>
  <c r="H137" i="9"/>
  <c r="C137" i="9"/>
  <c r="AR137" i="9"/>
  <c r="G102" i="18"/>
  <c r="AJ61" i="9"/>
  <c r="AE61" i="9"/>
  <c r="AF61" i="9" s="1"/>
  <c r="U235" i="9"/>
  <c r="W234" i="9"/>
  <c r="X234" i="9" s="1"/>
  <c r="Z234" i="9"/>
  <c r="BI48" i="9"/>
  <c r="BJ48" i="9" s="1"/>
  <c r="DB13" i="9"/>
  <c r="AK149" i="9"/>
  <c r="AL149" i="9" s="1"/>
  <c r="AI150" i="9"/>
  <c r="AN149" i="9"/>
  <c r="DA18" i="9" l="1"/>
  <c r="V147" i="11"/>
  <c r="X147" i="11" s="1"/>
  <c r="U148" i="11"/>
  <c r="W148" i="11" s="1"/>
  <c r="Z148" i="11" s="1"/>
  <c r="Y148" i="11" s="1"/>
  <c r="T148" i="11"/>
  <c r="C51" i="9"/>
  <c r="AR51" i="9"/>
  <c r="H51" i="9"/>
  <c r="T234" i="9"/>
  <c r="S235" i="9"/>
  <c r="P235" i="9" s="1"/>
  <c r="AN61" i="9"/>
  <c r="AK61" i="9"/>
  <c r="AL61" i="9" s="1"/>
  <c r="AI62" i="9"/>
  <c r="D137" i="9"/>
  <c r="AT137" i="9" s="1"/>
  <c r="AS137" i="9"/>
  <c r="C151" i="11"/>
  <c r="E151" i="11" s="1"/>
  <c r="H151" i="11" s="1"/>
  <c r="G151" i="11" s="1"/>
  <c r="D150" i="11"/>
  <c r="F150" i="11" s="1"/>
  <c r="B151" i="11"/>
  <c r="N125" i="25"/>
  <c r="O196" i="18"/>
  <c r="G101" i="25"/>
  <c r="V61" i="9"/>
  <c r="Q61" i="9"/>
  <c r="R61" i="9" s="1"/>
  <c r="J162" i="28"/>
  <c r="L162" i="28"/>
  <c r="M162" i="28"/>
  <c r="I162" i="28"/>
  <c r="BG48" i="9"/>
  <c r="BH48" i="9" s="1"/>
  <c r="DB12" i="9"/>
  <c r="N221" i="18" s="1"/>
  <c r="H132" i="22"/>
  <c r="N143" i="17"/>
  <c r="G62" i="25"/>
  <c r="G105" i="18"/>
  <c r="AJ234" i="9"/>
  <c r="AE234" i="9"/>
  <c r="AF234" i="9" s="1"/>
  <c r="M152" i="25"/>
  <c r="L182" i="17"/>
  <c r="M224" i="18"/>
  <c r="T148" i="9"/>
  <c r="S149" i="9"/>
  <c r="P149" i="9" s="1"/>
  <c r="C223" i="9"/>
  <c r="H223" i="9"/>
  <c r="AR223" i="9"/>
  <c r="AX137" i="9"/>
  <c r="I137" i="9"/>
  <c r="G138" i="9"/>
  <c r="AW138" i="9" s="1"/>
  <c r="L137" i="9"/>
  <c r="AG150" i="9"/>
  <c r="AD150" i="9" s="1"/>
  <c r="AH149" i="9"/>
  <c r="O127" i="25"/>
  <c r="D14" i="23"/>
  <c r="L149" i="11"/>
  <c r="N149" i="11" s="1"/>
  <c r="Q149" i="11" s="1"/>
  <c r="P149" i="11" s="1"/>
  <c r="M148" i="11"/>
  <c r="O148" i="11" s="1"/>
  <c r="K149" i="11"/>
  <c r="E121" i="17"/>
  <c r="F61" i="22"/>
  <c r="C19" i="3"/>
  <c r="D19" i="3" s="1"/>
  <c r="T149" i="11" l="1"/>
  <c r="V148" i="11"/>
  <c r="X148" i="11" s="1"/>
  <c r="U149" i="11"/>
  <c r="W149" i="11" s="1"/>
  <c r="Z149" i="11" s="1"/>
  <c r="Y149" i="11" s="1"/>
  <c r="J38" i="3"/>
  <c r="M153" i="25"/>
  <c r="K150" i="11"/>
  <c r="M149" i="11"/>
  <c r="O149" i="11" s="1"/>
  <c r="L150" i="11"/>
  <c r="N150" i="11" s="1"/>
  <c r="Q150" i="11" s="1"/>
  <c r="P150" i="11" s="1"/>
  <c r="F137" i="9"/>
  <c r="AV137" i="9" s="1"/>
  <c r="BB137" i="9"/>
  <c r="E138" i="9"/>
  <c r="B152" i="11"/>
  <c r="D151" i="11"/>
  <c r="F151" i="11" s="1"/>
  <c r="C152" i="11"/>
  <c r="E152" i="11" s="1"/>
  <c r="H152" i="11" s="1"/>
  <c r="G152" i="11" s="1"/>
  <c r="Q235" i="9"/>
  <c r="R235" i="9" s="1"/>
  <c r="V235" i="9"/>
  <c r="AN234" i="9"/>
  <c r="AI235" i="9"/>
  <c r="AK234" i="9"/>
  <c r="AL234" i="9" s="1"/>
  <c r="AY137" i="9"/>
  <c r="J137" i="9"/>
  <c r="AZ137" i="9" s="1"/>
  <c r="I132" i="22"/>
  <c r="Z61" i="9"/>
  <c r="U62" i="9"/>
  <c r="W61" i="9"/>
  <c r="X61" i="9" s="1"/>
  <c r="G224" i="9"/>
  <c r="AW224" i="9" s="1"/>
  <c r="AX223" i="9"/>
  <c r="L223" i="9"/>
  <c r="I223" i="9"/>
  <c r="D12" i="23"/>
  <c r="O125" i="25"/>
  <c r="I51" i="9"/>
  <c r="L51" i="9"/>
  <c r="AX51" i="9"/>
  <c r="G52" i="9"/>
  <c r="AW52" i="9" s="1"/>
  <c r="F64" i="22"/>
  <c r="AS223" i="9"/>
  <c r="D223" i="9"/>
  <c r="AT223" i="9" s="1"/>
  <c r="AE150" i="9"/>
  <c r="AF150" i="9" s="1"/>
  <c r="AJ150" i="9"/>
  <c r="V149" i="9"/>
  <c r="Q149" i="9"/>
  <c r="R149" i="9" s="1"/>
  <c r="I20" i="3"/>
  <c r="G65" i="25"/>
  <c r="G142" i="18"/>
  <c r="H138" i="22"/>
  <c r="M188" i="17" s="1"/>
  <c r="N150" i="25"/>
  <c r="AH61" i="9"/>
  <c r="AG62" i="9"/>
  <c r="AD62" i="9" s="1"/>
  <c r="D51" i="9"/>
  <c r="AT51" i="9" s="1"/>
  <c r="AS51" i="9"/>
  <c r="T150" i="11" l="1"/>
  <c r="V149" i="11"/>
  <c r="X149" i="11" s="1"/>
  <c r="U150" i="11"/>
  <c r="W150" i="11" s="1"/>
  <c r="Z150" i="11" s="1"/>
  <c r="Y150" i="11" s="1"/>
  <c r="AI151" i="9"/>
  <c r="AN150" i="9"/>
  <c r="AK150" i="9"/>
  <c r="AL150" i="9" s="1"/>
  <c r="BB51" i="9"/>
  <c r="F51" i="9"/>
  <c r="AV51" i="9" s="1"/>
  <c r="E52" i="9"/>
  <c r="F15" i="21"/>
  <c r="D187" i="31"/>
  <c r="B138" i="9"/>
  <c r="AU138" i="9"/>
  <c r="F67" i="22"/>
  <c r="AY51" i="9"/>
  <c r="J51" i="9"/>
  <c r="AZ51" i="9" s="1"/>
  <c r="AY223" i="9"/>
  <c r="J223" i="9"/>
  <c r="AZ223" i="9" s="1"/>
  <c r="L151" i="11"/>
  <c r="N151" i="11" s="1"/>
  <c r="Q151" i="11" s="1"/>
  <c r="P151" i="11" s="1"/>
  <c r="K151" i="11"/>
  <c r="M150" i="11"/>
  <c r="O150" i="11" s="1"/>
  <c r="BK48" i="9"/>
  <c r="DB14" i="9"/>
  <c r="BI49" i="9"/>
  <c r="BJ49" i="9" s="1"/>
  <c r="DC13" i="9"/>
  <c r="BB223" i="9"/>
  <c r="E224" i="9"/>
  <c r="F223" i="9"/>
  <c r="AV223" i="9" s="1"/>
  <c r="AH234" i="9"/>
  <c r="AG235" i="9"/>
  <c r="AD235" i="9" s="1"/>
  <c r="AE62" i="9"/>
  <c r="AF62" i="9" s="1"/>
  <c r="AJ62" i="9"/>
  <c r="G102" i="25"/>
  <c r="G144" i="18"/>
  <c r="Z149" i="9"/>
  <c r="U150" i="9"/>
  <c r="W149" i="9"/>
  <c r="X149" i="9" s="1"/>
  <c r="T61" i="9"/>
  <c r="S62" i="9"/>
  <c r="P62" i="9" s="1"/>
  <c r="W235" i="9"/>
  <c r="X235" i="9" s="1"/>
  <c r="U236" i="9"/>
  <c r="Z235" i="9"/>
  <c r="C153" i="11"/>
  <c r="E153" i="11" s="1"/>
  <c r="H153" i="11" s="1"/>
  <c r="G153" i="11" s="1"/>
  <c r="D152" i="11"/>
  <c r="F152" i="11" s="1"/>
  <c r="B153" i="11"/>
  <c r="T151" i="11" l="1"/>
  <c r="V150" i="11"/>
  <c r="X150" i="11" s="1"/>
  <c r="U151" i="11"/>
  <c r="W151" i="11" s="1"/>
  <c r="Z151" i="11" s="1"/>
  <c r="Y151" i="11" s="1"/>
  <c r="BM48" i="9"/>
  <c r="DB17" i="9"/>
  <c r="S236" i="9"/>
  <c r="P236" i="9" s="1"/>
  <c r="T235" i="9"/>
  <c r="G155" i="18"/>
  <c r="G167" i="18"/>
  <c r="G104" i="25"/>
  <c r="G156" i="18"/>
  <c r="F69" i="22"/>
  <c r="M151" i="11"/>
  <c r="O151" i="11" s="1"/>
  <c r="L152" i="11"/>
  <c r="N152" i="11" s="1"/>
  <c r="Q152" i="11" s="1"/>
  <c r="P152" i="11" s="1"/>
  <c r="K152" i="11"/>
  <c r="AI63" i="9"/>
  <c r="AK62" i="9"/>
  <c r="AL62" i="9" s="1"/>
  <c r="AN62" i="9"/>
  <c r="AU224" i="9"/>
  <c r="B224" i="9"/>
  <c r="M176" i="17"/>
  <c r="N223" i="18"/>
  <c r="DB16" i="9"/>
  <c r="BL48" i="9"/>
  <c r="AU52" i="9"/>
  <c r="B52" i="9"/>
  <c r="AH150" i="9"/>
  <c r="AG151" i="9"/>
  <c r="AD151" i="9" s="1"/>
  <c r="D153" i="11"/>
  <c r="F153" i="11" s="1"/>
  <c r="C154" i="11"/>
  <c r="E154" i="11" s="1"/>
  <c r="H154" i="11" s="1"/>
  <c r="G154" i="11" s="1"/>
  <c r="B154" i="11"/>
  <c r="Q62" i="9"/>
  <c r="R62" i="9" s="1"/>
  <c r="V62" i="9"/>
  <c r="T149" i="9"/>
  <c r="S150" i="9"/>
  <c r="P150" i="9" s="1"/>
  <c r="AE235" i="9"/>
  <c r="AF235" i="9" s="1"/>
  <c r="AJ235" i="9"/>
  <c r="H138" i="9"/>
  <c r="AR138" i="9"/>
  <c r="C138" i="9"/>
  <c r="U152" i="11" l="1"/>
  <c r="W152" i="11" s="1"/>
  <c r="Z152" i="11" s="1"/>
  <c r="Y152" i="11" s="1"/>
  <c r="V151" i="11"/>
  <c r="X151" i="11" s="1"/>
  <c r="T152" i="11"/>
  <c r="AN235" i="9"/>
  <c r="AK235" i="9"/>
  <c r="AL235" i="9" s="1"/>
  <c r="AI236" i="9"/>
  <c r="N176" i="17"/>
  <c r="N178" i="17" s="1"/>
  <c r="M178" i="17"/>
  <c r="G146" i="18"/>
  <c r="D138" i="9"/>
  <c r="AT138" i="9" s="1"/>
  <c r="AS138" i="9"/>
  <c r="AJ151" i="9"/>
  <c r="AE151" i="9"/>
  <c r="AF151" i="9" s="1"/>
  <c r="C224" i="9"/>
  <c r="AR224" i="9"/>
  <c r="H224" i="9"/>
  <c r="K153" i="11"/>
  <c r="M152" i="11"/>
  <c r="O152" i="11" s="1"/>
  <c r="L153" i="11"/>
  <c r="N153" i="11" s="1"/>
  <c r="Q153" i="11" s="1"/>
  <c r="P153" i="11" s="1"/>
  <c r="V236" i="9"/>
  <c r="Q236" i="9"/>
  <c r="R236" i="9" s="1"/>
  <c r="BG49" i="9"/>
  <c r="BH49" i="9" s="1"/>
  <c r="DC12" i="9"/>
  <c r="Q150" i="9"/>
  <c r="R150" i="9" s="1"/>
  <c r="V150" i="9"/>
  <c r="D154" i="11"/>
  <c r="F154" i="11" s="1"/>
  <c r="B155" i="11"/>
  <c r="C155" i="11"/>
  <c r="E155" i="11" s="1"/>
  <c r="H155" i="11" s="1"/>
  <c r="G155" i="11" s="1"/>
  <c r="AG63" i="9"/>
  <c r="AD63" i="9" s="1"/>
  <c r="AH62" i="9"/>
  <c r="G168" i="18"/>
  <c r="G169" i="18" s="1"/>
  <c r="G56" i="22"/>
  <c r="DB18" i="9"/>
  <c r="U63" i="9"/>
  <c r="W62" i="9"/>
  <c r="X62" i="9" s="1"/>
  <c r="Z62" i="9"/>
  <c r="AX138" i="9"/>
  <c r="I138" i="9"/>
  <c r="G139" i="9"/>
  <c r="AW139" i="9" s="1"/>
  <c r="L138" i="9"/>
  <c r="H52" i="9"/>
  <c r="AR52" i="9"/>
  <c r="C52" i="9"/>
  <c r="M182" i="17"/>
  <c r="N182" i="17" s="1"/>
  <c r="N152" i="25"/>
  <c r="O223" i="18"/>
  <c r="G145" i="18"/>
  <c r="G158" i="18"/>
  <c r="T153" i="11" l="1"/>
  <c r="U153" i="11"/>
  <c r="W153" i="11" s="1"/>
  <c r="Z153" i="11" s="1"/>
  <c r="Y153" i="11" s="1"/>
  <c r="V152" i="11"/>
  <c r="X152" i="11" s="1"/>
  <c r="O152" i="25"/>
  <c r="D39" i="23"/>
  <c r="B61" i="2"/>
  <c r="AY138" i="9"/>
  <c r="J138" i="9"/>
  <c r="AZ138" i="9" s="1"/>
  <c r="G105" i="25"/>
  <c r="H141" i="18"/>
  <c r="AS52" i="9"/>
  <c r="D52" i="9"/>
  <c r="AT52" i="9" s="1"/>
  <c r="H102" i="18"/>
  <c r="D155" i="11"/>
  <c r="F155" i="11" s="1"/>
  <c r="C156" i="11"/>
  <c r="E156" i="11" s="1"/>
  <c r="H156" i="11" s="1"/>
  <c r="G156" i="11" s="1"/>
  <c r="B156" i="11"/>
  <c r="AS224" i="9"/>
  <c r="D224" i="9"/>
  <c r="AT224" i="9" s="1"/>
  <c r="N183" i="17"/>
  <c r="H62" i="26" s="1"/>
  <c r="D159" i="31" s="1"/>
  <c r="N184" i="17"/>
  <c r="G147" i="18"/>
  <c r="G107" i="25" s="1"/>
  <c r="L52" i="9"/>
  <c r="AX52" i="9"/>
  <c r="G53" i="9"/>
  <c r="AW53" i="9" s="1"/>
  <c r="I52" i="9"/>
  <c r="AJ63" i="9"/>
  <c r="AE63" i="9"/>
  <c r="AF63" i="9" s="1"/>
  <c r="U151" i="9"/>
  <c r="W150" i="9"/>
  <c r="X150" i="9" s="1"/>
  <c r="Z150" i="9"/>
  <c r="Z236" i="9"/>
  <c r="U237" i="9"/>
  <c r="W236" i="9"/>
  <c r="X236" i="9" s="1"/>
  <c r="AX224" i="9"/>
  <c r="I224" i="9"/>
  <c r="G225" i="9"/>
  <c r="AW225" i="9" s="1"/>
  <c r="L224" i="9"/>
  <c r="AN151" i="9"/>
  <c r="AK151" i="9"/>
  <c r="AL151" i="9" s="1"/>
  <c r="AI152" i="9"/>
  <c r="K20" i="3"/>
  <c r="L20" i="3" s="1"/>
  <c r="G106" i="25"/>
  <c r="G57" i="22"/>
  <c r="L154" i="11"/>
  <c r="N154" i="11" s="1"/>
  <c r="Q154" i="11" s="1"/>
  <c r="P154" i="11" s="1"/>
  <c r="K154" i="11"/>
  <c r="M153" i="11"/>
  <c r="O153" i="11" s="1"/>
  <c r="F138" i="9"/>
  <c r="AV138" i="9" s="1"/>
  <c r="BB138" i="9"/>
  <c r="E139" i="9"/>
  <c r="S63" i="9"/>
  <c r="P63" i="9" s="1"/>
  <c r="T62" i="9"/>
  <c r="M180" i="17"/>
  <c r="M179" i="17"/>
  <c r="AH235" i="9"/>
  <c r="AG236" i="9"/>
  <c r="AD236" i="9" s="1"/>
  <c r="T154" i="11" l="1"/>
  <c r="V153" i="11"/>
  <c r="X153" i="11" s="1"/>
  <c r="U154" i="11"/>
  <c r="W154" i="11" s="1"/>
  <c r="Z154" i="11" s="1"/>
  <c r="Y154" i="11" s="1"/>
  <c r="V63" i="9"/>
  <c r="Q63" i="9"/>
  <c r="R63" i="9" s="1"/>
  <c r="AY224" i="9"/>
  <c r="J224" i="9"/>
  <c r="AZ224" i="9" s="1"/>
  <c r="T236" i="9"/>
  <c r="S237" i="9"/>
  <c r="P237" i="9" s="1"/>
  <c r="H101" i="25"/>
  <c r="B139" i="9"/>
  <c r="AU139" i="9"/>
  <c r="L155" i="11"/>
  <c r="N155" i="11" s="1"/>
  <c r="Q155" i="11" s="1"/>
  <c r="P155" i="11" s="1"/>
  <c r="K155" i="11"/>
  <c r="M154" i="11"/>
  <c r="O154" i="11" s="1"/>
  <c r="AG152" i="9"/>
  <c r="AD152" i="9" s="1"/>
  <c r="AH151" i="9"/>
  <c r="S151" i="9"/>
  <c r="P151" i="9" s="1"/>
  <c r="T150" i="9"/>
  <c r="AI64" i="9"/>
  <c r="AK63" i="9"/>
  <c r="AL63" i="9" s="1"/>
  <c r="AN63" i="9"/>
  <c r="E53" i="9"/>
  <c r="BB52" i="9"/>
  <c r="F52" i="9"/>
  <c r="AV52" i="9" s="1"/>
  <c r="C157" i="11"/>
  <c r="E157" i="11" s="1"/>
  <c r="H157" i="11" s="1"/>
  <c r="G157" i="11" s="1"/>
  <c r="D156" i="11"/>
  <c r="F156" i="11" s="1"/>
  <c r="B157" i="11"/>
  <c r="H62" i="25"/>
  <c r="H105" i="18"/>
  <c r="BB224" i="9"/>
  <c r="E225" i="9"/>
  <c r="F224" i="9"/>
  <c r="AV224" i="9" s="1"/>
  <c r="AY52" i="9"/>
  <c r="J52" i="9"/>
  <c r="AZ52" i="9" s="1"/>
  <c r="AE236" i="9"/>
  <c r="AF236" i="9" s="1"/>
  <c r="AJ236" i="9"/>
  <c r="C20" i="3"/>
  <c r="D20" i="3" s="1"/>
  <c r="F121" i="17"/>
  <c r="G61" i="22"/>
  <c r="DD13" i="9"/>
  <c r="BI50" i="9"/>
  <c r="BJ50" i="9" s="1"/>
  <c r="BK49" i="9"/>
  <c r="DC14" i="9"/>
  <c r="U155" i="11" l="1"/>
  <c r="W155" i="11" s="1"/>
  <c r="Z155" i="11" s="1"/>
  <c r="Y155" i="11" s="1"/>
  <c r="V154" i="11"/>
  <c r="X154" i="11" s="1"/>
  <c r="T155" i="11"/>
  <c r="AU225" i="9"/>
  <c r="B225" i="9"/>
  <c r="AG64" i="9"/>
  <c r="AD64" i="9" s="1"/>
  <c r="AH63" i="9"/>
  <c r="Q151" i="9"/>
  <c r="R151" i="9" s="1"/>
  <c r="V151" i="9"/>
  <c r="K156" i="11"/>
  <c r="M155" i="11"/>
  <c r="O155" i="11" s="1"/>
  <c r="L156" i="11"/>
  <c r="N156" i="11" s="1"/>
  <c r="Q156" i="11" s="1"/>
  <c r="P156" i="11" s="1"/>
  <c r="C158" i="11"/>
  <c r="E158" i="11" s="1"/>
  <c r="H158" i="11" s="1"/>
  <c r="G158" i="11" s="1"/>
  <c r="B158" i="11"/>
  <c r="D157" i="11"/>
  <c r="F157" i="11" s="1"/>
  <c r="AJ152" i="9"/>
  <c r="AE152" i="9"/>
  <c r="AF152" i="9" s="1"/>
  <c r="V237" i="9"/>
  <c r="Q237" i="9"/>
  <c r="R237" i="9" s="1"/>
  <c r="G64" i="22"/>
  <c r="DC17" i="9"/>
  <c r="BM49" i="9"/>
  <c r="DC16" i="9"/>
  <c r="BL49" i="9"/>
  <c r="AK236" i="9"/>
  <c r="AL236" i="9" s="1"/>
  <c r="AI237" i="9"/>
  <c r="AN236" i="9"/>
  <c r="H142" i="18"/>
  <c r="I21" i="3"/>
  <c r="H65" i="25"/>
  <c r="B53" i="9"/>
  <c r="AU53" i="9"/>
  <c r="C139" i="9"/>
  <c r="AR139" i="9"/>
  <c r="H139" i="9"/>
  <c r="Z63" i="9"/>
  <c r="W63" i="9"/>
  <c r="X63" i="9" s="1"/>
  <c r="U64" i="9"/>
  <c r="T156" i="11" l="1"/>
  <c r="V155" i="11"/>
  <c r="X155" i="11" s="1"/>
  <c r="U156" i="11"/>
  <c r="W156" i="11" s="1"/>
  <c r="Z156" i="11" s="1"/>
  <c r="Y156" i="11" s="1"/>
  <c r="T63" i="9"/>
  <c r="S64" i="9"/>
  <c r="P64" i="9" s="1"/>
  <c r="L139" i="9"/>
  <c r="AX139" i="9"/>
  <c r="I139" i="9"/>
  <c r="G140" i="9"/>
  <c r="AW140" i="9" s="1"/>
  <c r="H53" i="9"/>
  <c r="C53" i="9"/>
  <c r="AR53" i="9"/>
  <c r="AH236" i="9"/>
  <c r="AG237" i="9"/>
  <c r="AD237" i="9" s="1"/>
  <c r="G67" i="22"/>
  <c r="AN152" i="9"/>
  <c r="AI153" i="9"/>
  <c r="AK152" i="9"/>
  <c r="AL152" i="9" s="1"/>
  <c r="L157" i="11"/>
  <c r="N157" i="11" s="1"/>
  <c r="Q157" i="11" s="1"/>
  <c r="P157" i="11" s="1"/>
  <c r="M156" i="11"/>
  <c r="O156" i="11" s="1"/>
  <c r="K157" i="11"/>
  <c r="AS139" i="9"/>
  <c r="D139" i="9"/>
  <c r="AT139" i="9" s="1"/>
  <c r="DC18" i="9"/>
  <c r="Z237" i="9"/>
  <c r="W237" i="9"/>
  <c r="X237" i="9" s="1"/>
  <c r="U238" i="9"/>
  <c r="D158" i="11"/>
  <c r="F158" i="11" s="1"/>
  <c r="C159" i="11"/>
  <c r="E159" i="11" s="1"/>
  <c r="H159" i="11" s="1"/>
  <c r="G159" i="11" s="1"/>
  <c r="B159" i="11"/>
  <c r="Z151" i="9"/>
  <c r="U152" i="9"/>
  <c r="W151" i="9"/>
  <c r="X151" i="9" s="1"/>
  <c r="AR225" i="9"/>
  <c r="C225" i="9"/>
  <c r="H225" i="9"/>
  <c r="AE64" i="9"/>
  <c r="AF64" i="9" s="1"/>
  <c r="AJ64" i="9"/>
  <c r="DD12" i="9"/>
  <c r="BG50" i="9"/>
  <c r="BH50" i="9" s="1"/>
  <c r="H102" i="25"/>
  <c r="H144" i="18"/>
  <c r="T157" i="11" l="1"/>
  <c r="U157" i="11"/>
  <c r="W157" i="11" s="1"/>
  <c r="Z157" i="11" s="1"/>
  <c r="Y157" i="11" s="1"/>
  <c r="V156" i="11"/>
  <c r="X156" i="11" s="1"/>
  <c r="AE237" i="9"/>
  <c r="AF237" i="9" s="1"/>
  <c r="AJ237" i="9"/>
  <c r="H155" i="18"/>
  <c r="H104" i="25"/>
  <c r="H156" i="18"/>
  <c r="H146" i="18" s="1"/>
  <c r="H167" i="18"/>
  <c r="AK64" i="9"/>
  <c r="AL64" i="9" s="1"/>
  <c r="AI65" i="9"/>
  <c r="AN64" i="9"/>
  <c r="S238" i="9"/>
  <c r="P238" i="9" s="1"/>
  <c r="T237" i="9"/>
  <c r="G69" i="22"/>
  <c r="D53" i="9"/>
  <c r="AT53" i="9" s="1"/>
  <c r="AS53" i="9"/>
  <c r="M157" i="11"/>
  <c r="O157" i="11" s="1"/>
  <c r="K158" i="11"/>
  <c r="L158" i="11"/>
  <c r="N158" i="11" s="1"/>
  <c r="Q158" i="11" s="1"/>
  <c r="P158" i="11" s="1"/>
  <c r="L53" i="9"/>
  <c r="I53" i="9"/>
  <c r="G54" i="9"/>
  <c r="AW54" i="9" s="1"/>
  <c r="AX53" i="9"/>
  <c r="AG153" i="9"/>
  <c r="AD153" i="9" s="1"/>
  <c r="AH152" i="9"/>
  <c r="Q64" i="9"/>
  <c r="R64" i="9" s="1"/>
  <c r="V64" i="9"/>
  <c r="E140" i="9"/>
  <c r="F139" i="9"/>
  <c r="AV139" i="9" s="1"/>
  <c r="BB139" i="9"/>
  <c r="G226" i="9"/>
  <c r="AW226" i="9" s="1"/>
  <c r="AX225" i="9"/>
  <c r="I225" i="9"/>
  <c r="L225" i="9"/>
  <c r="AS225" i="9"/>
  <c r="D225" i="9"/>
  <c r="AT225" i="9" s="1"/>
  <c r="T151" i="9"/>
  <c r="S152" i="9"/>
  <c r="P152" i="9" s="1"/>
  <c r="C160" i="11"/>
  <c r="E160" i="11" s="1"/>
  <c r="H160" i="11" s="1"/>
  <c r="G160" i="11" s="1"/>
  <c r="D159" i="11"/>
  <c r="F159" i="11" s="1"/>
  <c r="B160" i="11"/>
  <c r="AY139" i="9"/>
  <c r="J139" i="9"/>
  <c r="AZ139" i="9" s="1"/>
  <c r="T158" i="11" l="1"/>
  <c r="V157" i="11"/>
  <c r="X157" i="11" s="1"/>
  <c r="U158" i="11"/>
  <c r="W158" i="11" s="1"/>
  <c r="Z158" i="11" s="1"/>
  <c r="Y158" i="11" s="1"/>
  <c r="Z64" i="9"/>
  <c r="U65" i="9"/>
  <c r="W64" i="9"/>
  <c r="X64" i="9" s="1"/>
  <c r="V238" i="9"/>
  <c r="Q238" i="9"/>
  <c r="R238" i="9" s="1"/>
  <c r="AH64" i="9"/>
  <c r="AG65" i="9"/>
  <c r="AD65" i="9" s="1"/>
  <c r="AI238" i="9"/>
  <c r="AN237" i="9"/>
  <c r="AK237" i="9"/>
  <c r="AL237" i="9" s="1"/>
  <c r="E226" i="9"/>
  <c r="BB225" i="9"/>
  <c r="F225" i="9"/>
  <c r="AV225" i="9" s="1"/>
  <c r="C161" i="11"/>
  <c r="E161" i="11" s="1"/>
  <c r="H161" i="11" s="1"/>
  <c r="G161" i="11" s="1"/>
  <c r="B161" i="11"/>
  <c r="D160" i="11"/>
  <c r="F160" i="11" s="1"/>
  <c r="AY225" i="9"/>
  <c r="J225" i="9"/>
  <c r="AZ225" i="9" s="1"/>
  <c r="AY53" i="9"/>
  <c r="J53" i="9"/>
  <c r="AZ53" i="9" s="1"/>
  <c r="AU140" i="9"/>
  <c r="B140" i="9"/>
  <c r="AJ153" i="9"/>
  <c r="AE153" i="9"/>
  <c r="AF153" i="9" s="1"/>
  <c r="E54" i="9"/>
  <c r="BB53" i="9"/>
  <c r="F53" i="9"/>
  <c r="AV53" i="9" s="1"/>
  <c r="DD14" i="9"/>
  <c r="BK50" i="9"/>
  <c r="H168" i="18"/>
  <c r="H169" i="18" s="1"/>
  <c r="I102" i="18" s="1"/>
  <c r="H56" i="22"/>
  <c r="H145" i="18"/>
  <c r="H158" i="18"/>
  <c r="H106" i="25"/>
  <c r="K21" i="3"/>
  <c r="L21" i="3" s="1"/>
  <c r="V152" i="9"/>
  <c r="Q152" i="9"/>
  <c r="R152" i="9" s="1"/>
  <c r="BI51" i="9"/>
  <c r="BJ51" i="9" s="1"/>
  <c r="DE13" i="9"/>
  <c r="L159" i="11"/>
  <c r="N159" i="11" s="1"/>
  <c r="Q159" i="11" s="1"/>
  <c r="P159" i="11" s="1"/>
  <c r="K159" i="11"/>
  <c r="M158" i="11"/>
  <c r="O158" i="11" s="1"/>
  <c r="U159" i="11" l="1"/>
  <c r="W159" i="11" s="1"/>
  <c r="Z159" i="11" s="1"/>
  <c r="Y159" i="11" s="1"/>
  <c r="V158" i="11"/>
  <c r="X158" i="11" s="1"/>
  <c r="T159" i="11"/>
  <c r="I62" i="25"/>
  <c r="I105" i="18"/>
  <c r="M159" i="11"/>
  <c r="O159" i="11" s="1"/>
  <c r="K160" i="11"/>
  <c r="L160" i="11"/>
  <c r="N160" i="11" s="1"/>
  <c r="Q160" i="11" s="1"/>
  <c r="P160" i="11" s="1"/>
  <c r="H147" i="18"/>
  <c r="H107" i="25" s="1"/>
  <c r="H157" i="18"/>
  <c r="H140" i="9"/>
  <c r="C140" i="9"/>
  <c r="AR140" i="9"/>
  <c r="BM50" i="9"/>
  <c r="DD17" i="9"/>
  <c r="W238" i="9"/>
  <c r="X238" i="9" s="1"/>
  <c r="U239" i="9"/>
  <c r="Z238" i="9"/>
  <c r="U153" i="9"/>
  <c r="Z152" i="9"/>
  <c r="W152" i="9"/>
  <c r="X152" i="9" s="1"/>
  <c r="H105" i="25"/>
  <c r="I141" i="18"/>
  <c r="B54" i="9"/>
  <c r="AU54" i="9"/>
  <c r="DD16" i="9"/>
  <c r="BL50" i="9"/>
  <c r="C162" i="11"/>
  <c r="E162" i="11" s="1"/>
  <c r="H162" i="11" s="1"/>
  <c r="G162" i="11" s="1"/>
  <c r="D161" i="11"/>
  <c r="F161" i="11" s="1"/>
  <c r="B162" i="11"/>
  <c r="B226" i="9"/>
  <c r="AU226" i="9"/>
  <c r="AJ65" i="9"/>
  <c r="AE65" i="9"/>
  <c r="AF65" i="9" s="1"/>
  <c r="H57" i="22"/>
  <c r="I56" i="22"/>
  <c r="AI154" i="9"/>
  <c r="AN153" i="9"/>
  <c r="AK153" i="9"/>
  <c r="AL153" i="9" s="1"/>
  <c r="AG238" i="9"/>
  <c r="AD238" i="9" s="1"/>
  <c r="AH237" i="9"/>
  <c r="S65" i="9"/>
  <c r="P65" i="9" s="1"/>
  <c r="T64" i="9"/>
  <c r="V159" i="11" l="1"/>
  <c r="X159" i="11" s="1"/>
  <c r="U160" i="11"/>
  <c r="W160" i="11" s="1"/>
  <c r="Z160" i="11" s="1"/>
  <c r="Y160" i="11" s="1"/>
  <c r="T160" i="11"/>
  <c r="V65" i="9"/>
  <c r="Q65" i="9"/>
  <c r="R65" i="9" s="1"/>
  <c r="G121" i="17"/>
  <c r="H61" i="22"/>
  <c r="C21" i="3"/>
  <c r="D21" i="3" s="1"/>
  <c r="I57" i="22"/>
  <c r="AR226" i="9"/>
  <c r="H226" i="9"/>
  <c r="C226" i="9"/>
  <c r="I101" i="25"/>
  <c r="T238" i="9"/>
  <c r="S239" i="9"/>
  <c r="P239" i="9" s="1"/>
  <c r="I136" i="18"/>
  <c r="K161" i="11"/>
  <c r="M160" i="11"/>
  <c r="O160" i="11" s="1"/>
  <c r="L161" i="11"/>
  <c r="N161" i="11" s="1"/>
  <c r="Q161" i="11" s="1"/>
  <c r="P161" i="11" s="1"/>
  <c r="AN65" i="9"/>
  <c r="AI66" i="9"/>
  <c r="AK65" i="9"/>
  <c r="AL65" i="9" s="1"/>
  <c r="DE12" i="9"/>
  <c r="BG51" i="9"/>
  <c r="BH51" i="9" s="1"/>
  <c r="D140" i="9"/>
  <c r="AT140" i="9" s="1"/>
  <c r="AS140" i="9"/>
  <c r="I65" i="25"/>
  <c r="I22" i="3"/>
  <c r="AG154" i="9"/>
  <c r="AD154" i="9" s="1"/>
  <c r="AH153" i="9"/>
  <c r="B163" i="11"/>
  <c r="D162" i="11"/>
  <c r="F162" i="11" s="1"/>
  <c r="C163" i="11"/>
  <c r="E163" i="11" s="1"/>
  <c r="H163" i="11" s="1"/>
  <c r="G163" i="11" s="1"/>
  <c r="AE238" i="9"/>
  <c r="AF238" i="9" s="1"/>
  <c r="AJ238" i="9"/>
  <c r="H54" i="9"/>
  <c r="AR54" i="9"/>
  <c r="C54" i="9"/>
  <c r="S153" i="9"/>
  <c r="P153" i="9" s="1"/>
  <c r="T152" i="9"/>
  <c r="DD18" i="9"/>
  <c r="G141" i="9"/>
  <c r="AW141" i="9" s="1"/>
  <c r="L140" i="9"/>
  <c r="I140" i="9"/>
  <c r="AX140" i="9"/>
  <c r="U161" i="11" l="1"/>
  <c r="W161" i="11" s="1"/>
  <c r="Z161" i="11" s="1"/>
  <c r="Y161" i="11" s="1"/>
  <c r="V160" i="11"/>
  <c r="X160" i="11" s="1"/>
  <c r="T161" i="11"/>
  <c r="AY140" i="9"/>
  <c r="J140" i="9"/>
  <c r="AZ140" i="9" s="1"/>
  <c r="I54" i="9"/>
  <c r="L54" i="9"/>
  <c r="AX54" i="9"/>
  <c r="G55" i="9"/>
  <c r="AW55" i="9" s="1"/>
  <c r="AE154" i="9"/>
  <c r="AF154" i="9" s="1"/>
  <c r="AJ154" i="9"/>
  <c r="L162" i="11"/>
  <c r="N162" i="11" s="1"/>
  <c r="Q162" i="11" s="1"/>
  <c r="P162" i="11" s="1"/>
  <c r="M161" i="11"/>
  <c r="O161" i="11" s="1"/>
  <c r="K162" i="11"/>
  <c r="I226" i="9"/>
  <c r="L226" i="9"/>
  <c r="G227" i="9"/>
  <c r="AW227" i="9" s="1"/>
  <c r="AX226" i="9"/>
  <c r="H64" i="22"/>
  <c r="I61" i="22"/>
  <c r="V153" i="9"/>
  <c r="Q153" i="9"/>
  <c r="R153" i="9" s="1"/>
  <c r="AN238" i="9"/>
  <c r="AI239" i="9"/>
  <c r="AK238" i="9"/>
  <c r="AL238" i="9" s="1"/>
  <c r="C164" i="11"/>
  <c r="E164" i="11" s="1"/>
  <c r="H164" i="11" s="1"/>
  <c r="G164" i="11" s="1"/>
  <c r="D163" i="11"/>
  <c r="F163" i="11" s="1"/>
  <c r="B164" i="11"/>
  <c r="I96" i="25"/>
  <c r="C91" i="22"/>
  <c r="I139" i="18"/>
  <c r="J70" i="22"/>
  <c r="J63" i="22"/>
  <c r="J64" i="22"/>
  <c r="J65" i="22"/>
  <c r="J53" i="22"/>
  <c r="J60" i="22"/>
  <c r="J55" i="22"/>
  <c r="J57" i="22"/>
  <c r="J66" i="22"/>
  <c r="J61" i="22"/>
  <c r="J62" i="22"/>
  <c r="J54" i="22"/>
  <c r="J67" i="22"/>
  <c r="J68" i="22"/>
  <c r="J56" i="22"/>
  <c r="J69" i="22"/>
  <c r="J59" i="22"/>
  <c r="E141" i="9"/>
  <c r="F140" i="9"/>
  <c r="AV140" i="9" s="1"/>
  <c r="BB140" i="9"/>
  <c r="AH65" i="9"/>
  <c r="AG66" i="9"/>
  <c r="AD66" i="9" s="1"/>
  <c r="AS54" i="9"/>
  <c r="D54" i="9"/>
  <c r="AT54" i="9" s="1"/>
  <c r="Q239" i="9"/>
  <c r="R239" i="9" s="1"/>
  <c r="V239" i="9"/>
  <c r="D226" i="9"/>
  <c r="AT226" i="9" s="1"/>
  <c r="AS226" i="9"/>
  <c r="W65" i="9"/>
  <c r="X65" i="9" s="1"/>
  <c r="Z65" i="9"/>
  <c r="U66" i="9"/>
  <c r="T162" i="11" l="1"/>
  <c r="U162" i="11"/>
  <c r="W162" i="11" s="1"/>
  <c r="Z162" i="11" s="1"/>
  <c r="Y162" i="11" s="1"/>
  <c r="V161" i="11"/>
  <c r="X161" i="11" s="1"/>
  <c r="U240" i="9"/>
  <c r="Z239" i="9"/>
  <c r="W239" i="9"/>
  <c r="X239" i="9" s="1"/>
  <c r="BK51" i="9"/>
  <c r="DE14" i="9"/>
  <c r="I99" i="25"/>
  <c r="J22" i="3"/>
  <c r="I142" i="18"/>
  <c r="M162" i="11"/>
  <c r="O162" i="11" s="1"/>
  <c r="L163" i="11"/>
  <c r="N163" i="11" s="1"/>
  <c r="Q163" i="11" s="1"/>
  <c r="P163" i="11" s="1"/>
  <c r="K163" i="11"/>
  <c r="AY54" i="9"/>
  <c r="J54" i="9"/>
  <c r="AZ54" i="9" s="1"/>
  <c r="S66" i="9"/>
  <c r="P66" i="9" s="1"/>
  <c r="T65" i="9"/>
  <c r="AU141" i="9"/>
  <c r="B141" i="9"/>
  <c r="W153" i="9"/>
  <c r="X153" i="9" s="1"/>
  <c r="Z153" i="9"/>
  <c r="U154" i="9"/>
  <c r="DF13" i="9"/>
  <c r="BI52" i="9"/>
  <c r="BJ52" i="9" s="1"/>
  <c r="B165" i="11"/>
  <c r="D164" i="11"/>
  <c r="F164" i="11" s="1"/>
  <c r="C165" i="11"/>
  <c r="E165" i="11" s="1"/>
  <c r="H165" i="11" s="1"/>
  <c r="G165" i="11" s="1"/>
  <c r="F226" i="9"/>
  <c r="AV226" i="9" s="1"/>
  <c r="BB226" i="9"/>
  <c r="E227" i="9"/>
  <c r="AJ66" i="9"/>
  <c r="AE66" i="9"/>
  <c r="AF66" i="9" s="1"/>
  <c r="H122" i="17"/>
  <c r="AG239" i="9"/>
  <c r="AD239" i="9" s="1"/>
  <c r="AH238" i="9"/>
  <c r="H67" i="22"/>
  <c r="I64" i="22"/>
  <c r="AY226" i="9"/>
  <c r="J226" i="9"/>
  <c r="AZ226" i="9" s="1"/>
  <c r="AK154" i="9"/>
  <c r="AL154" i="9" s="1"/>
  <c r="AI155" i="9"/>
  <c r="AN154" i="9"/>
  <c r="BB54" i="9"/>
  <c r="F54" i="9"/>
  <c r="AV54" i="9" s="1"/>
  <c r="E55" i="9"/>
  <c r="V162" i="11" l="1"/>
  <c r="X162" i="11" s="1"/>
  <c r="U163" i="11"/>
  <c r="W163" i="11" s="1"/>
  <c r="Z163" i="11" s="1"/>
  <c r="Y163" i="11" s="1"/>
  <c r="T163" i="11"/>
  <c r="V66" i="9"/>
  <c r="Q66" i="9"/>
  <c r="R66" i="9" s="1"/>
  <c r="B55" i="9"/>
  <c r="AU55" i="9"/>
  <c r="B227" i="9"/>
  <c r="AU227" i="9"/>
  <c r="BL51" i="9"/>
  <c r="DE16" i="9"/>
  <c r="I102" i="25"/>
  <c r="I144" i="18"/>
  <c r="D165" i="11"/>
  <c r="F165" i="11" s="1"/>
  <c r="B166" i="11"/>
  <c r="C166" i="11"/>
  <c r="E166" i="11" s="1"/>
  <c r="H166" i="11" s="1"/>
  <c r="G166" i="11" s="1"/>
  <c r="H69" i="22"/>
  <c r="I67" i="22"/>
  <c r="K164" i="11"/>
  <c r="M163" i="11"/>
  <c r="O163" i="11" s="1"/>
  <c r="L164" i="11"/>
  <c r="N164" i="11" s="1"/>
  <c r="Q164" i="11" s="1"/>
  <c r="P164" i="11" s="1"/>
  <c r="T153" i="9"/>
  <c r="S154" i="9"/>
  <c r="P154" i="9" s="1"/>
  <c r="T239" i="9"/>
  <c r="S240" i="9"/>
  <c r="P240" i="9" s="1"/>
  <c r="AH154" i="9"/>
  <c r="AG155" i="9"/>
  <c r="AD155" i="9" s="1"/>
  <c r="AE239" i="9"/>
  <c r="AF239" i="9" s="1"/>
  <c r="AJ239" i="9"/>
  <c r="AN66" i="9"/>
  <c r="AI67" i="9"/>
  <c r="AK66" i="9"/>
  <c r="AL66" i="9" s="1"/>
  <c r="AR141" i="9"/>
  <c r="C141" i="9"/>
  <c r="H141" i="9"/>
  <c r="BM51" i="9"/>
  <c r="DE17" i="9"/>
  <c r="DE18" i="9" s="1"/>
  <c r="V163" i="11" l="1"/>
  <c r="X163" i="11" s="1"/>
  <c r="U164" i="11"/>
  <c r="W164" i="11" s="1"/>
  <c r="Z164" i="11" s="1"/>
  <c r="Y164" i="11" s="1"/>
  <c r="T164" i="11"/>
  <c r="AI240" i="9"/>
  <c r="AN239" i="9"/>
  <c r="AK239" i="9"/>
  <c r="AL239" i="9" s="1"/>
  <c r="V240" i="9"/>
  <c r="Q240" i="9"/>
  <c r="R240" i="9" s="1"/>
  <c r="DF12" i="9"/>
  <c r="BG52" i="9"/>
  <c r="BH52" i="9" s="1"/>
  <c r="I69" i="22"/>
  <c r="AR227" i="9"/>
  <c r="H227" i="9"/>
  <c r="C227" i="9"/>
  <c r="I167" i="18"/>
  <c r="I155" i="18"/>
  <c r="I104" i="25"/>
  <c r="I156" i="18"/>
  <c r="I146" i="18" s="1"/>
  <c r="H55" i="9"/>
  <c r="C55" i="9"/>
  <c r="AR55" i="9"/>
  <c r="L141" i="9"/>
  <c r="AX141" i="9"/>
  <c r="I141" i="9"/>
  <c r="G142" i="9"/>
  <c r="AW142" i="9" s="1"/>
  <c r="AE155" i="9"/>
  <c r="AF155" i="9" s="1"/>
  <c r="AJ155" i="9"/>
  <c r="V154" i="9"/>
  <c r="Q154" i="9"/>
  <c r="R154" i="9" s="1"/>
  <c r="AS141" i="9"/>
  <c r="D141" i="9"/>
  <c r="AT141" i="9" s="1"/>
  <c r="AG67" i="9"/>
  <c r="AD67" i="9" s="1"/>
  <c r="AH66" i="9"/>
  <c r="K165" i="11"/>
  <c r="M164" i="11"/>
  <c r="O164" i="11" s="1"/>
  <c r="L165" i="11"/>
  <c r="N165" i="11" s="1"/>
  <c r="Q165" i="11" s="1"/>
  <c r="P165" i="11" s="1"/>
  <c r="D166" i="11"/>
  <c r="F166" i="11" s="1"/>
  <c r="C167" i="11"/>
  <c r="E167" i="11" s="1"/>
  <c r="H167" i="11" s="1"/>
  <c r="G167" i="11" s="1"/>
  <c r="B167" i="11"/>
  <c r="U67" i="9"/>
  <c r="W66" i="9"/>
  <c r="X66" i="9" s="1"/>
  <c r="Z66" i="9"/>
  <c r="T165" i="11" l="1"/>
  <c r="U165" i="11"/>
  <c r="W165" i="11" s="1"/>
  <c r="Z165" i="11" s="1"/>
  <c r="Y165" i="11" s="1"/>
  <c r="V164" i="11"/>
  <c r="X164" i="11" s="1"/>
  <c r="S67" i="9"/>
  <c r="P67" i="9" s="1"/>
  <c r="T66" i="9"/>
  <c r="M165" i="11"/>
  <c r="O165" i="11" s="1"/>
  <c r="L166" i="11"/>
  <c r="N166" i="11" s="1"/>
  <c r="Q166" i="11" s="1"/>
  <c r="P166" i="11" s="1"/>
  <c r="K166" i="11"/>
  <c r="AS227" i="9"/>
  <c r="D227" i="9"/>
  <c r="AT227" i="9" s="1"/>
  <c r="U241" i="9"/>
  <c r="W240" i="9"/>
  <c r="X240" i="9" s="1"/>
  <c r="Z240" i="9"/>
  <c r="AN155" i="9"/>
  <c r="AK155" i="9"/>
  <c r="AL155" i="9" s="1"/>
  <c r="AI156" i="9"/>
  <c r="L55" i="9"/>
  <c r="G56" i="9"/>
  <c r="AW56" i="9" s="1"/>
  <c r="I55" i="9"/>
  <c r="AX55" i="9"/>
  <c r="AH239" i="9"/>
  <c r="AG240" i="9"/>
  <c r="AD240" i="9" s="1"/>
  <c r="AJ67" i="9"/>
  <c r="AE67" i="9"/>
  <c r="AF67" i="9" s="1"/>
  <c r="U155" i="9"/>
  <c r="W154" i="9"/>
  <c r="X154" i="9" s="1"/>
  <c r="Z154" i="9"/>
  <c r="AY141" i="9"/>
  <c r="J141" i="9"/>
  <c r="AZ141" i="9" s="1"/>
  <c r="D55" i="9"/>
  <c r="AT55" i="9" s="1"/>
  <c r="AS55" i="9"/>
  <c r="L227" i="9"/>
  <c r="I227" i="9"/>
  <c r="AX227" i="9"/>
  <c r="G228" i="9"/>
  <c r="AW228" i="9" s="1"/>
  <c r="C168" i="11"/>
  <c r="E168" i="11" s="1"/>
  <c r="H168" i="11" s="1"/>
  <c r="G168" i="11" s="1"/>
  <c r="B168" i="11"/>
  <c r="D167" i="11"/>
  <c r="F167" i="11" s="1"/>
  <c r="I145" i="18"/>
  <c r="I158" i="18"/>
  <c r="E142" i="9"/>
  <c r="F141" i="9"/>
  <c r="AV141" i="9" s="1"/>
  <c r="BB141" i="9"/>
  <c r="I106" i="25"/>
  <c r="I168" i="18"/>
  <c r="C79" i="22"/>
  <c r="I169" i="18"/>
  <c r="J102" i="18" s="1"/>
  <c r="U166" i="11" l="1"/>
  <c r="W166" i="11" s="1"/>
  <c r="Z166" i="11" s="1"/>
  <c r="Y166" i="11" s="1"/>
  <c r="T166" i="11"/>
  <c r="V165" i="11"/>
  <c r="X165" i="11" s="1"/>
  <c r="C80" i="22"/>
  <c r="I105" i="25"/>
  <c r="J141" i="18"/>
  <c r="J62" i="25"/>
  <c r="J105" i="18"/>
  <c r="I147" i="18"/>
  <c r="I107" i="25" s="1"/>
  <c r="BK52" i="9"/>
  <c r="DF14" i="9"/>
  <c r="S155" i="9"/>
  <c r="P155" i="9" s="1"/>
  <c r="T154" i="9"/>
  <c r="AK67" i="9"/>
  <c r="AL67" i="9" s="1"/>
  <c r="AN67" i="9"/>
  <c r="AI68" i="9"/>
  <c r="AY55" i="9"/>
  <c r="J55" i="9"/>
  <c r="AZ55" i="9" s="1"/>
  <c r="DG13" i="9"/>
  <c r="BI53" i="9"/>
  <c r="BJ53" i="9" s="1"/>
  <c r="AY227" i="9"/>
  <c r="J227" i="9"/>
  <c r="AZ227" i="9" s="1"/>
  <c r="BB55" i="9"/>
  <c r="F55" i="9"/>
  <c r="AV55" i="9" s="1"/>
  <c r="E56" i="9"/>
  <c r="S241" i="9"/>
  <c r="P241" i="9" s="1"/>
  <c r="T240" i="9"/>
  <c r="AE240" i="9"/>
  <c r="AF240" i="9" s="1"/>
  <c r="AJ240" i="9"/>
  <c r="AG156" i="9"/>
  <c r="AD156" i="9" s="1"/>
  <c r="AH155" i="9"/>
  <c r="K22" i="3"/>
  <c r="L22" i="3" s="1"/>
  <c r="AU142" i="9"/>
  <c r="B142" i="9"/>
  <c r="C169" i="11"/>
  <c r="E169" i="11" s="1"/>
  <c r="H169" i="11" s="1"/>
  <c r="G169" i="11" s="1"/>
  <c r="D168" i="11"/>
  <c r="F168" i="11" s="1"/>
  <c r="B169" i="11"/>
  <c r="E228" i="9"/>
  <c r="BB227" i="9"/>
  <c r="F227" i="9"/>
  <c r="AV227" i="9" s="1"/>
  <c r="L167" i="11"/>
  <c r="N167" i="11" s="1"/>
  <c r="Q167" i="11" s="1"/>
  <c r="P167" i="11" s="1"/>
  <c r="K167" i="11"/>
  <c r="M166" i="11"/>
  <c r="O166" i="11" s="1"/>
  <c r="Q67" i="9"/>
  <c r="R67" i="9" s="1"/>
  <c r="V67" i="9"/>
  <c r="T167" i="11" l="1"/>
  <c r="U167" i="11"/>
  <c r="W167" i="11" s="1"/>
  <c r="Z167" i="11" s="1"/>
  <c r="Y167" i="11" s="1"/>
  <c r="V166" i="11"/>
  <c r="X166" i="11" s="1"/>
  <c r="AG68" i="9"/>
  <c r="AD68" i="9" s="1"/>
  <c r="AH67" i="9"/>
  <c r="W67" i="9"/>
  <c r="X67" i="9" s="1"/>
  <c r="U68" i="9"/>
  <c r="Z67" i="9"/>
  <c r="B170" i="11"/>
  <c r="D169" i="11"/>
  <c r="F169" i="11" s="1"/>
  <c r="C170" i="11"/>
  <c r="E170" i="11" s="1"/>
  <c r="H170" i="11" s="1"/>
  <c r="G170" i="11" s="1"/>
  <c r="AK240" i="9"/>
  <c r="AL240" i="9" s="1"/>
  <c r="AN240" i="9"/>
  <c r="AI241" i="9"/>
  <c r="Q155" i="9"/>
  <c r="R155" i="9" s="1"/>
  <c r="V155" i="9"/>
  <c r="J101" i="25"/>
  <c r="V241" i="9"/>
  <c r="Q241" i="9"/>
  <c r="R241" i="9" s="1"/>
  <c r="DF17" i="9"/>
  <c r="BM52" i="9"/>
  <c r="J142" i="18"/>
  <c r="J102" i="25" s="1"/>
  <c r="I23" i="3"/>
  <c r="J65" i="25"/>
  <c r="L168" i="11"/>
  <c r="N168" i="11" s="1"/>
  <c r="Q168" i="11" s="1"/>
  <c r="P168" i="11" s="1"/>
  <c r="M167" i="11"/>
  <c r="O167" i="11" s="1"/>
  <c r="K168" i="11"/>
  <c r="AU228" i="9"/>
  <c r="B228" i="9"/>
  <c r="C142" i="9"/>
  <c r="H142" i="9"/>
  <c r="AR142" i="9"/>
  <c r="AE156" i="9"/>
  <c r="AF156" i="9" s="1"/>
  <c r="AJ156" i="9"/>
  <c r="AU56" i="9"/>
  <c r="B56" i="9"/>
  <c r="DF16" i="9"/>
  <c r="BL52" i="9"/>
  <c r="C22" i="3"/>
  <c r="D22" i="3" s="1"/>
  <c r="C84" i="22"/>
  <c r="H121" i="17"/>
  <c r="U168" i="11" l="1"/>
  <c r="W168" i="11" s="1"/>
  <c r="Z168" i="11" s="1"/>
  <c r="Y168" i="11" s="1"/>
  <c r="T168" i="11"/>
  <c r="V167" i="11"/>
  <c r="X167" i="11" s="1"/>
  <c r="AG241" i="9"/>
  <c r="AD241" i="9" s="1"/>
  <c r="AH240" i="9"/>
  <c r="D142" i="9"/>
  <c r="AT142" i="9" s="1"/>
  <c r="AS142" i="9"/>
  <c r="W241" i="9"/>
  <c r="X241" i="9" s="1"/>
  <c r="U242" i="9"/>
  <c r="Z241" i="9"/>
  <c r="DG12" i="9"/>
  <c r="BG53" i="9"/>
  <c r="BH53" i="9" s="1"/>
  <c r="AK156" i="9"/>
  <c r="AL156" i="9" s="1"/>
  <c r="AN156" i="9"/>
  <c r="AI157" i="9"/>
  <c r="H228" i="9"/>
  <c r="C228" i="9"/>
  <c r="AR228" i="9"/>
  <c r="J144" i="18"/>
  <c r="DF18" i="9"/>
  <c r="C171" i="11"/>
  <c r="E171" i="11" s="1"/>
  <c r="H171" i="11" s="1"/>
  <c r="G171" i="11" s="1"/>
  <c r="D170" i="11"/>
  <c r="F170" i="11" s="1"/>
  <c r="B171" i="11"/>
  <c r="C87" i="22"/>
  <c r="H56" i="9"/>
  <c r="AR56" i="9"/>
  <c r="C56" i="9"/>
  <c r="G143" i="9"/>
  <c r="AW143" i="9" s="1"/>
  <c r="AX142" i="9"/>
  <c r="L142" i="9"/>
  <c r="I142" i="9"/>
  <c r="K169" i="11"/>
  <c r="L169" i="11"/>
  <c r="N169" i="11" s="1"/>
  <c r="Q169" i="11" s="1"/>
  <c r="P169" i="11" s="1"/>
  <c r="M168" i="11"/>
  <c r="O168" i="11" s="1"/>
  <c r="W155" i="9"/>
  <c r="X155" i="9" s="1"/>
  <c r="Z155" i="9"/>
  <c r="U156" i="9"/>
  <c r="S68" i="9"/>
  <c r="P68" i="9" s="1"/>
  <c r="T67" i="9"/>
  <c r="AJ68" i="9"/>
  <c r="AE68" i="9"/>
  <c r="AF68" i="9" s="1"/>
  <c r="V168" i="11" l="1"/>
  <c r="X168" i="11" s="1"/>
  <c r="T169" i="11"/>
  <c r="U169" i="11"/>
  <c r="W169" i="11" s="1"/>
  <c r="Z169" i="11" s="1"/>
  <c r="Y169" i="11" s="1"/>
  <c r="AK68" i="9"/>
  <c r="AL68" i="9" s="1"/>
  <c r="AI69" i="9"/>
  <c r="AN68" i="9"/>
  <c r="K170" i="11"/>
  <c r="L170" i="11"/>
  <c r="N170" i="11" s="1"/>
  <c r="Q170" i="11" s="1"/>
  <c r="P170" i="11" s="1"/>
  <c r="M169" i="11"/>
  <c r="O169" i="11" s="1"/>
  <c r="V68" i="9"/>
  <c r="Q68" i="9"/>
  <c r="R68" i="9" s="1"/>
  <c r="AY142" i="9"/>
  <c r="J142" i="9"/>
  <c r="AZ142" i="9" s="1"/>
  <c r="D56" i="9"/>
  <c r="AT56" i="9" s="1"/>
  <c r="AS56" i="9"/>
  <c r="C90" i="22"/>
  <c r="G229" i="9"/>
  <c r="AW229" i="9" s="1"/>
  <c r="L228" i="9"/>
  <c r="I228" i="9"/>
  <c r="AX228" i="9"/>
  <c r="I56" i="9"/>
  <c r="G57" i="9"/>
  <c r="AW57" i="9" s="1"/>
  <c r="L56" i="9"/>
  <c r="AX56" i="9"/>
  <c r="F142" i="9"/>
  <c r="AV142" i="9" s="1"/>
  <c r="BB142" i="9"/>
  <c r="E143" i="9"/>
  <c r="B172" i="11"/>
  <c r="D171" i="11"/>
  <c r="F171" i="11" s="1"/>
  <c r="C172" i="11"/>
  <c r="E172" i="11" s="1"/>
  <c r="H172" i="11" s="1"/>
  <c r="G172" i="11" s="1"/>
  <c r="J167" i="18"/>
  <c r="J155" i="18"/>
  <c r="J156" i="18"/>
  <c r="J146" i="18" s="1"/>
  <c r="J104" i="25"/>
  <c r="AH156" i="9"/>
  <c r="AG157" i="9"/>
  <c r="AD157" i="9" s="1"/>
  <c r="T241" i="9"/>
  <c r="S242" i="9"/>
  <c r="P242" i="9" s="1"/>
  <c r="T155" i="9"/>
  <c r="S156" i="9"/>
  <c r="P156" i="9" s="1"/>
  <c r="AS228" i="9"/>
  <c r="D228" i="9"/>
  <c r="AT228" i="9" s="1"/>
  <c r="AE241" i="9"/>
  <c r="AF241" i="9" s="1"/>
  <c r="AJ241" i="9"/>
  <c r="T170" i="11" l="1"/>
  <c r="V169" i="11"/>
  <c r="X169" i="11" s="1"/>
  <c r="U170" i="11"/>
  <c r="W170" i="11" s="1"/>
  <c r="Z170" i="11" s="1"/>
  <c r="Y170" i="11" s="1"/>
  <c r="AN241" i="9"/>
  <c r="AI242" i="9"/>
  <c r="AK241" i="9"/>
  <c r="AL241" i="9" s="1"/>
  <c r="J145" i="18"/>
  <c r="J158" i="18"/>
  <c r="DH13" i="9"/>
  <c r="BI54" i="9"/>
  <c r="BJ54" i="9" s="1"/>
  <c r="F228" i="9"/>
  <c r="AV228" i="9" s="1"/>
  <c r="E229" i="9"/>
  <c r="BB228" i="9"/>
  <c r="BK53" i="9"/>
  <c r="DG14" i="9"/>
  <c r="K171" i="11"/>
  <c r="M170" i="11"/>
  <c r="O170" i="11" s="1"/>
  <c r="L171" i="11"/>
  <c r="N171" i="11" s="1"/>
  <c r="Q171" i="11" s="1"/>
  <c r="P171" i="11" s="1"/>
  <c r="Q156" i="9"/>
  <c r="R156" i="9" s="1"/>
  <c r="V156" i="9"/>
  <c r="AE157" i="9"/>
  <c r="AF157" i="9" s="1"/>
  <c r="AJ157" i="9"/>
  <c r="J106" i="25"/>
  <c r="K23" i="3"/>
  <c r="L23" i="3" s="1"/>
  <c r="AY56" i="9"/>
  <c r="J56" i="9"/>
  <c r="AZ56" i="9" s="1"/>
  <c r="U69" i="9"/>
  <c r="W68" i="9"/>
  <c r="X68" i="9" s="1"/>
  <c r="Z68" i="9"/>
  <c r="AG69" i="9"/>
  <c r="AD69" i="9" s="1"/>
  <c r="AH68" i="9"/>
  <c r="D172" i="11"/>
  <c r="F172" i="11" s="1"/>
  <c r="C173" i="11"/>
  <c r="E173" i="11" s="1"/>
  <c r="H173" i="11" s="1"/>
  <c r="G173" i="11" s="1"/>
  <c r="B173" i="11"/>
  <c r="V242" i="9"/>
  <c r="Q242" i="9"/>
  <c r="R242" i="9" s="1"/>
  <c r="D79" i="22"/>
  <c r="J168" i="18"/>
  <c r="J169" i="18"/>
  <c r="K102" i="18" s="1"/>
  <c r="B143" i="9"/>
  <c r="AU143" i="9"/>
  <c r="BB56" i="9"/>
  <c r="E57" i="9"/>
  <c r="F56" i="9"/>
  <c r="AV56" i="9" s="1"/>
  <c r="AY228" i="9"/>
  <c r="J228" i="9"/>
  <c r="AZ228" i="9" s="1"/>
  <c r="C92" i="22"/>
  <c r="T171" i="11" l="1"/>
  <c r="U171" i="11"/>
  <c r="W171" i="11" s="1"/>
  <c r="Z171" i="11" s="1"/>
  <c r="Y171" i="11" s="1"/>
  <c r="V170" i="11"/>
  <c r="X170" i="11" s="1"/>
  <c r="K62" i="25"/>
  <c r="K105" i="18"/>
  <c r="H143" i="9"/>
  <c r="C143" i="9"/>
  <c r="AR143" i="9"/>
  <c r="Z156" i="9"/>
  <c r="U157" i="9"/>
  <c r="W156" i="9"/>
  <c r="X156" i="9" s="1"/>
  <c r="J105" i="25"/>
  <c r="K141" i="18"/>
  <c r="W242" i="9"/>
  <c r="X242" i="9" s="1"/>
  <c r="Z242" i="9"/>
  <c r="U243" i="9"/>
  <c r="AJ69" i="9"/>
  <c r="AE69" i="9"/>
  <c r="AF69" i="9" s="1"/>
  <c r="BM53" i="9"/>
  <c r="DG17" i="9"/>
  <c r="AK157" i="9"/>
  <c r="AL157" i="9" s="1"/>
  <c r="AI158" i="9"/>
  <c r="AN157" i="9"/>
  <c r="AU57" i="9"/>
  <c r="B57" i="9"/>
  <c r="D173" i="11"/>
  <c r="F173" i="11" s="1"/>
  <c r="B174" i="11"/>
  <c r="C174" i="11"/>
  <c r="E174" i="11" s="1"/>
  <c r="H174" i="11" s="1"/>
  <c r="G174" i="11" s="1"/>
  <c r="D80" i="22"/>
  <c r="S69" i="9"/>
  <c r="P69" i="9" s="1"/>
  <c r="T68" i="9"/>
  <c r="DG16" i="9"/>
  <c r="BL53" i="9"/>
  <c r="L172" i="11"/>
  <c r="N172" i="11" s="1"/>
  <c r="Q172" i="11" s="1"/>
  <c r="P172" i="11" s="1"/>
  <c r="M171" i="11"/>
  <c r="O171" i="11" s="1"/>
  <c r="K172" i="11"/>
  <c r="B229" i="9"/>
  <c r="AU229" i="9"/>
  <c r="J147" i="18"/>
  <c r="J107" i="25" s="1"/>
  <c r="AH241" i="9"/>
  <c r="AG242" i="9"/>
  <c r="AD242" i="9" s="1"/>
  <c r="U172" i="11" l="1"/>
  <c r="W172" i="11" s="1"/>
  <c r="Z172" i="11" s="1"/>
  <c r="Y172" i="11" s="1"/>
  <c r="V171" i="11"/>
  <c r="X171" i="11" s="1"/>
  <c r="T172" i="11"/>
  <c r="H229" i="9"/>
  <c r="C229" i="9"/>
  <c r="AR229" i="9"/>
  <c r="AK69" i="9"/>
  <c r="AL69" i="9" s="1"/>
  <c r="AN69" i="9"/>
  <c r="AI70" i="9"/>
  <c r="D143" i="9"/>
  <c r="AT143" i="9" s="1"/>
  <c r="AS143" i="9"/>
  <c r="BG54" i="9"/>
  <c r="BH54" i="9" s="1"/>
  <c r="DH12" i="9"/>
  <c r="AG158" i="9"/>
  <c r="AD158" i="9" s="1"/>
  <c r="AH157" i="9"/>
  <c r="T242" i="9"/>
  <c r="S243" i="9"/>
  <c r="P243" i="9" s="1"/>
  <c r="K101" i="25"/>
  <c r="S157" i="9"/>
  <c r="P157" i="9" s="1"/>
  <c r="T156" i="9"/>
  <c r="K142" i="18"/>
  <c r="K102" i="25" s="1"/>
  <c r="K65" i="25"/>
  <c r="I24" i="3"/>
  <c r="M172" i="11"/>
  <c r="O172" i="11" s="1"/>
  <c r="L173" i="11"/>
  <c r="N173" i="11" s="1"/>
  <c r="Q173" i="11" s="1"/>
  <c r="P173" i="11" s="1"/>
  <c r="K173" i="11"/>
  <c r="D84" i="22"/>
  <c r="C23" i="3"/>
  <c r="D23" i="3" s="1"/>
  <c r="I121" i="17"/>
  <c r="AR57" i="9"/>
  <c r="H57" i="9"/>
  <c r="C57" i="9"/>
  <c r="DG18" i="9"/>
  <c r="G144" i="9"/>
  <c r="AW144" i="9" s="1"/>
  <c r="L143" i="9"/>
  <c r="I143" i="9"/>
  <c r="AX143" i="9"/>
  <c r="AJ242" i="9"/>
  <c r="AE242" i="9"/>
  <c r="AF242" i="9" s="1"/>
  <c r="Q69" i="9"/>
  <c r="R69" i="9" s="1"/>
  <c r="V69" i="9"/>
  <c r="C175" i="11"/>
  <c r="E175" i="11" s="1"/>
  <c r="H175" i="11" s="1"/>
  <c r="G175" i="11" s="1"/>
  <c r="B175" i="11"/>
  <c r="D174" i="11"/>
  <c r="F174" i="11" s="1"/>
  <c r="V172" i="11" l="1"/>
  <c r="X172" i="11" s="1"/>
  <c r="U173" i="11"/>
  <c r="W173" i="11" s="1"/>
  <c r="Z173" i="11" s="1"/>
  <c r="Y173" i="11" s="1"/>
  <c r="T173" i="11"/>
  <c r="AI243" i="9"/>
  <c r="AN242" i="9"/>
  <c r="AK242" i="9"/>
  <c r="AL242" i="9" s="1"/>
  <c r="L174" i="11"/>
  <c r="N174" i="11" s="1"/>
  <c r="Q174" i="11" s="1"/>
  <c r="P174" i="11" s="1"/>
  <c r="K174" i="11"/>
  <c r="M173" i="11"/>
  <c r="O173" i="11" s="1"/>
  <c r="K144" i="18"/>
  <c r="V243" i="9"/>
  <c r="Q243" i="9"/>
  <c r="R243" i="9" s="1"/>
  <c r="AS229" i="9"/>
  <c r="D229" i="9"/>
  <c r="AT229" i="9" s="1"/>
  <c r="U70" i="9"/>
  <c r="W69" i="9"/>
  <c r="X69" i="9" s="1"/>
  <c r="Z69" i="9"/>
  <c r="AE158" i="9"/>
  <c r="AF158" i="9" s="1"/>
  <c r="AJ158" i="9"/>
  <c r="AY143" i="9"/>
  <c r="J143" i="9"/>
  <c r="AZ143" i="9" s="1"/>
  <c r="D57" i="9"/>
  <c r="AT57" i="9" s="1"/>
  <c r="AS57" i="9"/>
  <c r="C176" i="11"/>
  <c r="E176" i="11" s="1"/>
  <c r="H176" i="11" s="1"/>
  <c r="G176" i="11" s="1"/>
  <c r="D175" i="11"/>
  <c r="F175" i="11" s="1"/>
  <c r="B176" i="11"/>
  <c r="F143" i="9"/>
  <c r="AV143" i="9" s="1"/>
  <c r="BB143" i="9"/>
  <c r="E144" i="9"/>
  <c r="G58" i="9"/>
  <c r="AW58" i="9" s="1"/>
  <c r="AX57" i="9"/>
  <c r="L57" i="9"/>
  <c r="I57" i="9"/>
  <c r="D87" i="22"/>
  <c r="Q157" i="9"/>
  <c r="R157" i="9" s="1"/>
  <c r="V157" i="9"/>
  <c r="AH69" i="9"/>
  <c r="AG70" i="9"/>
  <c r="AD70" i="9" s="1"/>
  <c r="G230" i="9"/>
  <c r="AW230" i="9" s="1"/>
  <c r="I229" i="9"/>
  <c r="L229" i="9"/>
  <c r="AX229" i="9"/>
  <c r="T174" i="11" l="1"/>
  <c r="U174" i="11"/>
  <c r="W174" i="11" s="1"/>
  <c r="Z174" i="11" s="1"/>
  <c r="Y174" i="11" s="1"/>
  <c r="V173" i="11"/>
  <c r="X173" i="11" s="1"/>
  <c r="E230" i="9"/>
  <c r="F229" i="9"/>
  <c r="AV229" i="9" s="1"/>
  <c r="BB229" i="9"/>
  <c r="Z243" i="9"/>
  <c r="W243" i="9"/>
  <c r="X243" i="9" s="1"/>
  <c r="U244" i="9"/>
  <c r="AE70" i="9"/>
  <c r="AF70" i="9" s="1"/>
  <c r="AJ70" i="9"/>
  <c r="F57" i="9"/>
  <c r="AV57" i="9" s="1"/>
  <c r="BB57" i="9"/>
  <c r="E58" i="9"/>
  <c r="K175" i="11"/>
  <c r="M174" i="11"/>
  <c r="O174" i="11" s="1"/>
  <c r="L175" i="11"/>
  <c r="N175" i="11" s="1"/>
  <c r="Q175" i="11" s="1"/>
  <c r="P175" i="11" s="1"/>
  <c r="DH14" i="9"/>
  <c r="BK54" i="9"/>
  <c r="W157" i="9"/>
  <c r="X157" i="9" s="1"/>
  <c r="U158" i="9"/>
  <c r="Z157" i="9"/>
  <c r="D90" i="22"/>
  <c r="B177" i="11"/>
  <c r="D176" i="11"/>
  <c r="F176" i="11" s="1"/>
  <c r="C177" i="11"/>
  <c r="E177" i="11" s="1"/>
  <c r="H177" i="11" s="1"/>
  <c r="G177" i="11" s="1"/>
  <c r="K167" i="18"/>
  <c r="K156" i="18"/>
  <c r="K146" i="18" s="1"/>
  <c r="K155" i="18"/>
  <c r="K104" i="25"/>
  <c r="AN158" i="9"/>
  <c r="AI159" i="9"/>
  <c r="AK158" i="9"/>
  <c r="AL158" i="9" s="1"/>
  <c r="AY229" i="9"/>
  <c r="J229" i="9"/>
  <c r="AZ229" i="9" s="1"/>
  <c r="BI55" i="9"/>
  <c r="BJ55" i="9" s="1"/>
  <c r="DI13" i="9"/>
  <c r="AY57" i="9"/>
  <c r="J57" i="9"/>
  <c r="AZ57" i="9" s="1"/>
  <c r="B144" i="9"/>
  <c r="AU144" i="9"/>
  <c r="S70" i="9"/>
  <c r="P70" i="9" s="1"/>
  <c r="T69" i="9"/>
  <c r="AH242" i="9"/>
  <c r="AG243" i="9"/>
  <c r="AD243" i="9" s="1"/>
  <c r="V174" i="11" l="1"/>
  <c r="X174" i="11" s="1"/>
  <c r="T175" i="11"/>
  <c r="U175" i="11"/>
  <c r="W175" i="11" s="1"/>
  <c r="Z175" i="11" s="1"/>
  <c r="Y175" i="11" s="1"/>
  <c r="DH16" i="9"/>
  <c r="BL54" i="9"/>
  <c r="T243" i="9"/>
  <c r="S244" i="9"/>
  <c r="P244" i="9" s="1"/>
  <c r="AJ243" i="9"/>
  <c r="AE243" i="9"/>
  <c r="AF243" i="9" s="1"/>
  <c r="K145" i="18"/>
  <c r="K158" i="18"/>
  <c r="T157" i="9"/>
  <c r="S158" i="9"/>
  <c r="P158" i="9" s="1"/>
  <c r="AU58" i="9"/>
  <c r="B58" i="9"/>
  <c r="D92" i="22"/>
  <c r="K176" i="11"/>
  <c r="L176" i="11"/>
  <c r="N176" i="11" s="1"/>
  <c r="Q176" i="11" s="1"/>
  <c r="P176" i="11" s="1"/>
  <c r="M175" i="11"/>
  <c r="O175" i="11" s="1"/>
  <c r="AN70" i="9"/>
  <c r="AI71" i="9"/>
  <c r="AK70" i="9"/>
  <c r="AL70" i="9" s="1"/>
  <c r="H144" i="9"/>
  <c r="AR144" i="9"/>
  <c r="C144" i="9"/>
  <c r="K106" i="25"/>
  <c r="K24" i="3"/>
  <c r="L24" i="3" s="1"/>
  <c r="D177" i="11"/>
  <c r="F177" i="11" s="1"/>
  <c r="B178" i="11"/>
  <c r="C178" i="11"/>
  <c r="E178" i="11" s="1"/>
  <c r="H178" i="11" s="1"/>
  <c r="G178" i="11" s="1"/>
  <c r="V70" i="9"/>
  <c r="Q70" i="9"/>
  <c r="R70" i="9" s="1"/>
  <c r="BM54" i="9"/>
  <c r="DH17" i="9"/>
  <c r="DH18" i="9" s="1"/>
  <c r="AG159" i="9"/>
  <c r="AD159" i="9" s="1"/>
  <c r="AH158" i="9"/>
  <c r="K168" i="18"/>
  <c r="K169" i="18"/>
  <c r="L102" i="18" s="1"/>
  <c r="E79" i="22"/>
  <c r="B230" i="9"/>
  <c r="AU230" i="9"/>
  <c r="V175" i="11" l="1"/>
  <c r="X175" i="11" s="1"/>
  <c r="T176" i="11"/>
  <c r="U176" i="11"/>
  <c r="W176" i="11" s="1"/>
  <c r="Z176" i="11" s="1"/>
  <c r="Y176" i="11" s="1"/>
  <c r="L62" i="25"/>
  <c r="L105" i="18"/>
  <c r="E80" i="22"/>
  <c r="AE159" i="9"/>
  <c r="AF159" i="9" s="1"/>
  <c r="AJ159" i="9"/>
  <c r="Z70" i="9"/>
  <c r="W70" i="9"/>
  <c r="X70" i="9" s="1"/>
  <c r="U71" i="9"/>
  <c r="L144" i="9"/>
  <c r="G145" i="9"/>
  <c r="AW145" i="9" s="1"/>
  <c r="I144" i="9"/>
  <c r="AX144" i="9"/>
  <c r="Q244" i="9"/>
  <c r="R244" i="9" s="1"/>
  <c r="V244" i="9"/>
  <c r="C58" i="9"/>
  <c r="H58" i="9"/>
  <c r="AR58" i="9"/>
  <c r="AS144" i="9"/>
  <c r="D144" i="9"/>
  <c r="AT144" i="9" s="1"/>
  <c r="M176" i="11"/>
  <c r="O176" i="11" s="1"/>
  <c r="L177" i="11"/>
  <c r="N177" i="11" s="1"/>
  <c r="Q177" i="11" s="1"/>
  <c r="P177" i="11" s="1"/>
  <c r="K177" i="11"/>
  <c r="BG55" i="9"/>
  <c r="BH55" i="9" s="1"/>
  <c r="DI12" i="9"/>
  <c r="K105" i="25"/>
  <c r="L141" i="18"/>
  <c r="K147" i="18"/>
  <c r="K107" i="25" s="1"/>
  <c r="K157" i="18"/>
  <c r="C179" i="11"/>
  <c r="E179" i="11" s="1"/>
  <c r="H179" i="11" s="1"/>
  <c r="G179" i="11" s="1"/>
  <c r="D178" i="11"/>
  <c r="F178" i="11" s="1"/>
  <c r="B179" i="11"/>
  <c r="AR230" i="9"/>
  <c r="H230" i="9"/>
  <c r="C230" i="9"/>
  <c r="AH70" i="9"/>
  <c r="AG71" i="9"/>
  <c r="AD71" i="9" s="1"/>
  <c r="V158" i="9"/>
  <c r="Q158" i="9"/>
  <c r="R158" i="9" s="1"/>
  <c r="AN243" i="9"/>
  <c r="AK243" i="9"/>
  <c r="AL243" i="9" s="1"/>
  <c r="AI244" i="9"/>
  <c r="T177" i="11" l="1"/>
  <c r="U177" i="11"/>
  <c r="W177" i="11" s="1"/>
  <c r="Z177" i="11" s="1"/>
  <c r="Y177" i="11" s="1"/>
  <c r="V176" i="11"/>
  <c r="X176" i="11" s="1"/>
  <c r="Z158" i="9"/>
  <c r="U159" i="9"/>
  <c r="W158" i="9"/>
  <c r="X158" i="9" s="1"/>
  <c r="G231" i="9"/>
  <c r="AW231" i="9" s="1"/>
  <c r="AX230" i="9"/>
  <c r="I230" i="9"/>
  <c r="L230" i="9"/>
  <c r="L101" i="25"/>
  <c r="K178" i="11"/>
  <c r="M177" i="11"/>
  <c r="O177" i="11" s="1"/>
  <c r="L178" i="11"/>
  <c r="N178" i="11" s="1"/>
  <c r="Q178" i="11" s="1"/>
  <c r="P178" i="11" s="1"/>
  <c r="AY144" i="9"/>
  <c r="J144" i="9"/>
  <c r="AZ144" i="9" s="1"/>
  <c r="L136" i="18"/>
  <c r="T70" i="9"/>
  <c r="S71" i="9"/>
  <c r="P71" i="9" s="1"/>
  <c r="C180" i="11"/>
  <c r="E180" i="11" s="1"/>
  <c r="H180" i="11" s="1"/>
  <c r="G180" i="11" s="1"/>
  <c r="D179" i="11"/>
  <c r="F179" i="11" s="1"/>
  <c r="B180" i="11"/>
  <c r="D58" i="9"/>
  <c r="AT58" i="9" s="1"/>
  <c r="AS58" i="9"/>
  <c r="E145" i="9"/>
  <c r="BB144" i="9"/>
  <c r="F144" i="9"/>
  <c r="AV144" i="9" s="1"/>
  <c r="AI160" i="9"/>
  <c r="AN159" i="9"/>
  <c r="AK159" i="9"/>
  <c r="AL159" i="9" s="1"/>
  <c r="I25" i="3"/>
  <c r="L65" i="25"/>
  <c r="AJ71" i="9"/>
  <c r="AE71" i="9"/>
  <c r="AF71" i="9" s="1"/>
  <c r="AX58" i="9"/>
  <c r="L58" i="9"/>
  <c r="I58" i="9"/>
  <c r="G59" i="9"/>
  <c r="AW59" i="9" s="1"/>
  <c r="C24" i="3"/>
  <c r="D24" i="3" s="1"/>
  <c r="E84" i="22"/>
  <c r="J121" i="17"/>
  <c r="AG244" i="9"/>
  <c r="AD244" i="9" s="1"/>
  <c r="AH243" i="9"/>
  <c r="AS230" i="9"/>
  <c r="D230" i="9"/>
  <c r="AT230" i="9" s="1"/>
  <c r="W244" i="9"/>
  <c r="X244" i="9" s="1"/>
  <c r="U245" i="9"/>
  <c r="Z244" i="9"/>
  <c r="U178" i="11" l="1"/>
  <c r="W178" i="11" s="1"/>
  <c r="Z178" i="11" s="1"/>
  <c r="Y178" i="11" s="1"/>
  <c r="V177" i="11"/>
  <c r="X177" i="11" s="1"/>
  <c r="T178" i="11"/>
  <c r="K179" i="11"/>
  <c r="M178" i="11"/>
  <c r="O178" i="11" s="1"/>
  <c r="L179" i="11"/>
  <c r="N179" i="11" s="1"/>
  <c r="Q179" i="11" s="1"/>
  <c r="P179" i="11" s="1"/>
  <c r="AY230" i="9"/>
  <c r="J230" i="9"/>
  <c r="AZ230" i="9" s="1"/>
  <c r="AY58" i="9"/>
  <c r="J58" i="9"/>
  <c r="AZ58" i="9" s="1"/>
  <c r="AN71" i="9"/>
  <c r="AI72" i="9"/>
  <c r="AK71" i="9"/>
  <c r="AL71" i="9" s="1"/>
  <c r="C181" i="11"/>
  <c r="E181" i="11" s="1"/>
  <c r="H181" i="11" s="1"/>
  <c r="G181" i="11" s="1"/>
  <c r="B181" i="11"/>
  <c r="D180" i="11"/>
  <c r="F180" i="11" s="1"/>
  <c r="S245" i="9"/>
  <c r="P245" i="9" s="1"/>
  <c r="T244" i="9"/>
  <c r="E87" i="22"/>
  <c r="E59" i="9"/>
  <c r="BB58" i="9"/>
  <c r="F58" i="9"/>
  <c r="AV58" i="9" s="1"/>
  <c r="AG160" i="9"/>
  <c r="AD160" i="9" s="1"/>
  <c r="AH159" i="9"/>
  <c r="B145" i="9"/>
  <c r="AU145" i="9"/>
  <c r="F91" i="22"/>
  <c r="L96" i="25"/>
  <c r="L139" i="18"/>
  <c r="O136" i="18"/>
  <c r="BB230" i="9"/>
  <c r="F230" i="9"/>
  <c r="AV230" i="9" s="1"/>
  <c r="E231" i="9"/>
  <c r="DI14" i="9"/>
  <c r="BK55" i="9"/>
  <c r="AE244" i="9"/>
  <c r="AF244" i="9" s="1"/>
  <c r="AJ244" i="9"/>
  <c r="BI56" i="9"/>
  <c r="BJ56" i="9" s="1"/>
  <c r="DJ13" i="9"/>
  <c r="Q71" i="9"/>
  <c r="R71" i="9" s="1"/>
  <c r="V71" i="9"/>
  <c r="T158" i="9"/>
  <c r="S159" i="9"/>
  <c r="P159" i="9" s="1"/>
  <c r="T179" i="11" l="1"/>
  <c r="U179" i="11"/>
  <c r="W179" i="11" s="1"/>
  <c r="Z179" i="11" s="1"/>
  <c r="Y179" i="11" s="1"/>
  <c r="V178" i="11"/>
  <c r="X178" i="11" s="1"/>
  <c r="J25" i="3"/>
  <c r="L99" i="25"/>
  <c r="L142" i="18"/>
  <c r="H145" i="9"/>
  <c r="AR145" i="9"/>
  <c r="C145" i="9"/>
  <c r="DI17" i="9"/>
  <c r="BM55" i="9"/>
  <c r="Z71" i="9"/>
  <c r="U72" i="9"/>
  <c r="W71" i="9"/>
  <c r="X71" i="9" s="1"/>
  <c r="C37" i="23"/>
  <c r="O96" i="25"/>
  <c r="O139" i="18"/>
  <c r="E90" i="22"/>
  <c r="C182" i="11"/>
  <c r="E182" i="11" s="1"/>
  <c r="H182" i="11" s="1"/>
  <c r="G182" i="11" s="1"/>
  <c r="D181" i="11"/>
  <c r="F181" i="11" s="1"/>
  <c r="B182" i="11"/>
  <c r="AH71" i="9"/>
  <c r="AG72" i="9"/>
  <c r="AD72" i="9" s="1"/>
  <c r="AU231" i="9"/>
  <c r="B231" i="9"/>
  <c r="B59" i="9"/>
  <c r="AU59" i="9"/>
  <c r="V245" i="9"/>
  <c r="Q245" i="9"/>
  <c r="R245" i="9" s="1"/>
  <c r="BL55" i="9"/>
  <c r="DI16" i="9"/>
  <c r="AI245" i="9"/>
  <c r="AN244" i="9"/>
  <c r="AK244" i="9"/>
  <c r="AL244" i="9" s="1"/>
  <c r="V159" i="9"/>
  <c r="Q159" i="9"/>
  <c r="R159" i="9" s="1"/>
  <c r="K122" i="17"/>
  <c r="N122" i="17" s="1"/>
  <c r="I91" i="22"/>
  <c r="AE160" i="9"/>
  <c r="AF160" i="9" s="1"/>
  <c r="AJ160" i="9"/>
  <c r="M179" i="11"/>
  <c r="O179" i="11" s="1"/>
  <c r="L180" i="11"/>
  <c r="N180" i="11" s="1"/>
  <c r="Q180" i="11" s="1"/>
  <c r="P180" i="11" s="1"/>
  <c r="K180" i="11"/>
  <c r="DI18" i="9" l="1"/>
  <c r="U180" i="11"/>
  <c r="W180" i="11" s="1"/>
  <c r="Z180" i="11" s="1"/>
  <c r="Y180" i="11" s="1"/>
  <c r="V179" i="11"/>
  <c r="X179" i="11" s="1"/>
  <c r="T180" i="11"/>
  <c r="AH244" i="9"/>
  <c r="AG245" i="9"/>
  <c r="AD245" i="9" s="1"/>
  <c r="B183" i="11"/>
  <c r="D182" i="11"/>
  <c r="F182" i="11" s="1"/>
  <c r="C183" i="11"/>
  <c r="E183" i="11" s="1"/>
  <c r="H183" i="11" s="1"/>
  <c r="G183" i="11" s="1"/>
  <c r="L181" i="11"/>
  <c r="N181" i="11" s="1"/>
  <c r="Q181" i="11" s="1"/>
  <c r="P181" i="11" s="1"/>
  <c r="K181" i="11"/>
  <c r="M180" i="11"/>
  <c r="O180" i="11" s="1"/>
  <c r="W159" i="9"/>
  <c r="X159" i="9" s="1"/>
  <c r="U160" i="9"/>
  <c r="Z159" i="9"/>
  <c r="AJ72" i="9"/>
  <c r="AE72" i="9"/>
  <c r="AF72" i="9" s="1"/>
  <c r="T71" i="9"/>
  <c r="S72" i="9"/>
  <c r="P72" i="9" s="1"/>
  <c r="E92" i="22"/>
  <c r="L102" i="25"/>
  <c r="L144" i="18"/>
  <c r="DJ12" i="9"/>
  <c r="BG56" i="9"/>
  <c r="BH56" i="9" s="1"/>
  <c r="B107" i="28"/>
  <c r="C190" i="31"/>
  <c r="D21" i="21"/>
  <c r="AR59" i="9"/>
  <c r="H59" i="9"/>
  <c r="C59" i="9"/>
  <c r="I145" i="9"/>
  <c r="L145" i="9"/>
  <c r="AX145" i="9"/>
  <c r="G146" i="9"/>
  <c r="AW146" i="9" s="1"/>
  <c r="AR231" i="9"/>
  <c r="C231" i="9"/>
  <c r="H231" i="9"/>
  <c r="AI161" i="9"/>
  <c r="AK160" i="9"/>
  <c r="AL160" i="9" s="1"/>
  <c r="AN160" i="9"/>
  <c r="U246" i="9"/>
  <c r="W245" i="9"/>
  <c r="X245" i="9" s="1"/>
  <c r="Z245" i="9"/>
  <c r="O99" i="25"/>
  <c r="C40" i="23"/>
  <c r="D145" i="9"/>
  <c r="AT145" i="9" s="1"/>
  <c r="AS145" i="9"/>
  <c r="T181" i="11" l="1"/>
  <c r="V180" i="11"/>
  <c r="X180" i="11" s="1"/>
  <c r="U181" i="11"/>
  <c r="W181" i="11" s="1"/>
  <c r="Z181" i="11" s="1"/>
  <c r="Y181" i="11" s="1"/>
  <c r="G60" i="9"/>
  <c r="AW60" i="9" s="1"/>
  <c r="I59" i="9"/>
  <c r="AX59" i="9"/>
  <c r="L59" i="9"/>
  <c r="T159" i="9"/>
  <c r="S160" i="9"/>
  <c r="P160" i="9" s="1"/>
  <c r="T245" i="9"/>
  <c r="S246" i="9"/>
  <c r="P246" i="9" s="1"/>
  <c r="D59" i="9"/>
  <c r="AT59" i="9" s="1"/>
  <c r="AS59" i="9"/>
  <c r="C42" i="31"/>
  <c r="C44" i="31" s="1"/>
  <c r="C67" i="31"/>
  <c r="C65" i="31"/>
  <c r="C66" i="31"/>
  <c r="L155" i="18"/>
  <c r="L167" i="18"/>
  <c r="L156" i="18"/>
  <c r="L146" i="18" s="1"/>
  <c r="L104" i="25"/>
  <c r="AK72" i="9"/>
  <c r="AL72" i="9" s="1"/>
  <c r="AI73" i="9"/>
  <c r="AN72" i="9"/>
  <c r="V72" i="9"/>
  <c r="Q72" i="9"/>
  <c r="R72" i="9" s="1"/>
  <c r="L182" i="11"/>
  <c r="N182" i="11" s="1"/>
  <c r="Q182" i="11" s="1"/>
  <c r="P182" i="11" s="1"/>
  <c r="M181" i="11"/>
  <c r="O181" i="11" s="1"/>
  <c r="K182" i="11"/>
  <c r="AE245" i="9"/>
  <c r="AF245" i="9" s="1"/>
  <c r="AJ245" i="9"/>
  <c r="AX231" i="9"/>
  <c r="G232" i="9"/>
  <c r="AW232" i="9" s="1"/>
  <c r="I231" i="9"/>
  <c r="L231" i="9"/>
  <c r="M107" i="28"/>
  <c r="I107" i="28"/>
  <c r="J107" i="28"/>
  <c r="L107" i="28"/>
  <c r="B109" i="28"/>
  <c r="C9" i="29" s="1"/>
  <c r="B184" i="11"/>
  <c r="C184" i="11"/>
  <c r="E184" i="11" s="1"/>
  <c r="H184" i="11" s="1"/>
  <c r="G184" i="11" s="1"/>
  <c r="D183" i="11"/>
  <c r="F183" i="11" s="1"/>
  <c r="AS231" i="9"/>
  <c r="D231" i="9"/>
  <c r="AT231" i="9" s="1"/>
  <c r="E146" i="9"/>
  <c r="F145" i="9"/>
  <c r="AV145" i="9" s="1"/>
  <c r="BB145" i="9"/>
  <c r="AG161" i="9"/>
  <c r="AD161" i="9" s="1"/>
  <c r="AH160" i="9"/>
  <c r="AY145" i="9"/>
  <c r="J145" i="9"/>
  <c r="AZ145" i="9" s="1"/>
  <c r="V181" i="11" l="1"/>
  <c r="X181" i="11" s="1"/>
  <c r="U182" i="11"/>
  <c r="W182" i="11" s="1"/>
  <c r="Z182" i="11" s="1"/>
  <c r="Y182" i="11" s="1"/>
  <c r="T182" i="11"/>
  <c r="B146" i="9"/>
  <c r="AU146" i="9"/>
  <c r="AY231" i="9"/>
  <c r="J231" i="9"/>
  <c r="AZ231" i="9" s="1"/>
  <c r="L183" i="11"/>
  <c r="N183" i="11" s="1"/>
  <c r="Q183" i="11" s="1"/>
  <c r="P183" i="11" s="1"/>
  <c r="M182" i="11"/>
  <c r="O182" i="11" s="1"/>
  <c r="K183" i="11"/>
  <c r="U73" i="9"/>
  <c r="W72" i="9"/>
  <c r="X72" i="9" s="1"/>
  <c r="Z72" i="9"/>
  <c r="L145" i="18"/>
  <c r="L158" i="18"/>
  <c r="Q246" i="9"/>
  <c r="R246" i="9" s="1"/>
  <c r="V246" i="9"/>
  <c r="E60" i="9"/>
  <c r="F59" i="9"/>
  <c r="AV59" i="9" s="1"/>
  <c r="BB59" i="9"/>
  <c r="AE161" i="9"/>
  <c r="AF161" i="9" s="1"/>
  <c r="AJ161" i="9"/>
  <c r="AG73" i="9"/>
  <c r="AD73" i="9" s="1"/>
  <c r="AH72" i="9"/>
  <c r="L168" i="18"/>
  <c r="L169" i="18" s="1"/>
  <c r="M102" i="18" s="1"/>
  <c r="F79" i="22"/>
  <c r="F80" i="22" s="1"/>
  <c r="DJ14" i="9"/>
  <c r="BK56" i="9"/>
  <c r="V160" i="9"/>
  <c r="Q160" i="9"/>
  <c r="R160" i="9" s="1"/>
  <c r="AY59" i="9"/>
  <c r="J59" i="9"/>
  <c r="AZ59" i="9" s="1"/>
  <c r="B185" i="11"/>
  <c r="C185" i="11"/>
  <c r="E185" i="11" s="1"/>
  <c r="H185" i="11" s="1"/>
  <c r="G185" i="11" s="1"/>
  <c r="D184" i="11"/>
  <c r="F184" i="11" s="1"/>
  <c r="L106" i="25"/>
  <c r="K25" i="3"/>
  <c r="L25" i="3" s="1"/>
  <c r="F50" i="29"/>
  <c r="F54" i="29" s="1"/>
  <c r="F36" i="29"/>
  <c r="C50" i="29"/>
  <c r="C54" i="29" s="1"/>
  <c r="C205" i="31"/>
  <c r="C206" i="31" s="1"/>
  <c r="E36" i="29"/>
  <c r="C36" i="29"/>
  <c r="E50" i="29"/>
  <c r="E54" i="29" s="1"/>
  <c r="D50" i="29"/>
  <c r="D54" i="29" s="1"/>
  <c r="D36" i="29"/>
  <c r="B36" i="29"/>
  <c r="B65" i="29"/>
  <c r="B50" i="29"/>
  <c r="B54" i="29" s="1"/>
  <c r="BB231" i="9"/>
  <c r="F231" i="9"/>
  <c r="AV231" i="9" s="1"/>
  <c r="E232" i="9"/>
  <c r="AN245" i="9"/>
  <c r="AI246" i="9"/>
  <c r="AK245" i="9"/>
  <c r="AL245" i="9" s="1"/>
  <c r="DK13" i="9"/>
  <c r="BI57" i="9"/>
  <c r="BJ57" i="9" s="1"/>
  <c r="T183" i="11" l="1"/>
  <c r="V182" i="11"/>
  <c r="X182" i="11" s="1"/>
  <c r="U183" i="11"/>
  <c r="W183" i="11" s="1"/>
  <c r="Z183" i="11" s="1"/>
  <c r="Y183" i="11" s="1"/>
  <c r="F84" i="22"/>
  <c r="F87" i="22" s="1"/>
  <c r="F90" i="22" s="1"/>
  <c r="F92" i="22" s="1"/>
  <c r="C25" i="3"/>
  <c r="D25" i="3" s="1"/>
  <c r="K121" i="17"/>
  <c r="AJ73" i="9"/>
  <c r="AE73" i="9"/>
  <c r="AF73" i="9" s="1"/>
  <c r="L147" i="18"/>
  <c r="L107" i="25" s="1"/>
  <c r="M62" i="25"/>
  <c r="M105" i="18"/>
  <c r="B60" i="9"/>
  <c r="AU60" i="9"/>
  <c r="L105" i="25"/>
  <c r="M141" i="18"/>
  <c r="K184" i="11"/>
  <c r="L184" i="11"/>
  <c r="N184" i="11" s="1"/>
  <c r="Q184" i="11" s="1"/>
  <c r="P184" i="11" s="1"/>
  <c r="M183" i="11"/>
  <c r="O183" i="11" s="1"/>
  <c r="BM56" i="9"/>
  <c r="DJ17" i="9"/>
  <c r="U247" i="9"/>
  <c r="W246" i="9"/>
  <c r="X246" i="9" s="1"/>
  <c r="Z246" i="9"/>
  <c r="T72" i="9"/>
  <c r="S73" i="9"/>
  <c r="P73" i="9" s="1"/>
  <c r="C186" i="11"/>
  <c r="E186" i="11" s="1"/>
  <c r="H186" i="11" s="1"/>
  <c r="G186" i="11" s="1"/>
  <c r="D185" i="11"/>
  <c r="F185" i="11" s="1"/>
  <c r="B186" i="11"/>
  <c r="Z160" i="9"/>
  <c r="W160" i="9"/>
  <c r="X160" i="9" s="1"/>
  <c r="U161" i="9"/>
  <c r="AI162" i="9"/>
  <c r="AN161" i="9"/>
  <c r="AK161" i="9"/>
  <c r="AL161" i="9" s="1"/>
  <c r="AG246" i="9"/>
  <c r="AD246" i="9" s="1"/>
  <c r="AH245" i="9"/>
  <c r="C65" i="29"/>
  <c r="B232" i="9"/>
  <c r="AU232" i="9"/>
  <c r="DJ16" i="9"/>
  <c r="BL56" i="9"/>
  <c r="AR146" i="9"/>
  <c r="C146" i="9"/>
  <c r="H146" i="9"/>
  <c r="V183" i="11" l="1"/>
  <c r="X183" i="11" s="1"/>
  <c r="U184" i="11"/>
  <c r="W184" i="11" s="1"/>
  <c r="Z184" i="11" s="1"/>
  <c r="Y184" i="11" s="1"/>
  <c r="T184" i="11"/>
  <c r="AG162" i="9"/>
  <c r="AD162" i="9" s="1"/>
  <c r="AH161" i="9"/>
  <c r="AS146" i="9"/>
  <c r="D146" i="9"/>
  <c r="AT146" i="9" s="1"/>
  <c r="AR232" i="9"/>
  <c r="C232" i="9"/>
  <c r="H232" i="9"/>
  <c r="T246" i="9"/>
  <c r="S247" i="9"/>
  <c r="P247" i="9" s="1"/>
  <c r="M101" i="25"/>
  <c r="I26" i="3"/>
  <c r="M65" i="25"/>
  <c r="M142" i="18"/>
  <c r="M102" i="25" s="1"/>
  <c r="V73" i="9"/>
  <c r="Q73" i="9"/>
  <c r="R73" i="9" s="1"/>
  <c r="DK12" i="9"/>
  <c r="BG57" i="9"/>
  <c r="BH57" i="9" s="1"/>
  <c r="AI74" i="9"/>
  <c r="AN73" i="9"/>
  <c r="AK73" i="9"/>
  <c r="AL73" i="9" s="1"/>
  <c r="D65" i="29"/>
  <c r="T160" i="9"/>
  <c r="S161" i="9"/>
  <c r="P161" i="9" s="1"/>
  <c r="D186" i="11"/>
  <c r="F186" i="11" s="1"/>
  <c r="B187" i="11"/>
  <c r="C187" i="11"/>
  <c r="E187" i="11" s="1"/>
  <c r="H187" i="11" s="1"/>
  <c r="G187" i="11" s="1"/>
  <c r="G147" i="9"/>
  <c r="AW147" i="9" s="1"/>
  <c r="L146" i="9"/>
  <c r="AX146" i="9"/>
  <c r="I146" i="9"/>
  <c r="AE246" i="9"/>
  <c r="AF246" i="9" s="1"/>
  <c r="AJ246" i="9"/>
  <c r="DJ18" i="9"/>
  <c r="K185" i="11"/>
  <c r="L185" i="11"/>
  <c r="N185" i="11" s="1"/>
  <c r="Q185" i="11" s="1"/>
  <c r="P185" i="11" s="1"/>
  <c r="M184" i="11"/>
  <c r="O184" i="11" s="1"/>
  <c r="AR60" i="9"/>
  <c r="H60" i="9"/>
  <c r="C60" i="9"/>
  <c r="V184" i="11" l="1"/>
  <c r="X184" i="11" s="1"/>
  <c r="T185" i="11"/>
  <c r="U185" i="11"/>
  <c r="W185" i="11" s="1"/>
  <c r="Z185" i="11" s="1"/>
  <c r="Y185" i="11" s="1"/>
  <c r="AI247" i="9"/>
  <c r="AN246" i="9"/>
  <c r="AK246" i="9"/>
  <c r="AL246" i="9" s="1"/>
  <c r="E65" i="29"/>
  <c r="BB146" i="9"/>
  <c r="E147" i="9"/>
  <c r="F146" i="9"/>
  <c r="AV146" i="9" s="1"/>
  <c r="D232" i="9"/>
  <c r="AT232" i="9" s="1"/>
  <c r="AS232" i="9"/>
  <c r="AX60" i="9"/>
  <c r="G61" i="9"/>
  <c r="AW61" i="9" s="1"/>
  <c r="I60" i="9"/>
  <c r="L60" i="9"/>
  <c r="M185" i="11"/>
  <c r="O185" i="11" s="1"/>
  <c r="L186" i="11"/>
  <c r="N186" i="11" s="1"/>
  <c r="Q186" i="11" s="1"/>
  <c r="P186" i="11" s="1"/>
  <c r="K186" i="11"/>
  <c r="AY146" i="9"/>
  <c r="J146" i="9"/>
  <c r="AZ146" i="9" s="1"/>
  <c r="V161" i="9"/>
  <c r="Q161" i="9"/>
  <c r="R161" i="9" s="1"/>
  <c r="B188" i="11"/>
  <c r="D187" i="11"/>
  <c r="F187" i="11" s="1"/>
  <c r="C188" i="11"/>
  <c r="E188" i="11" s="1"/>
  <c r="H188" i="11" s="1"/>
  <c r="G188" i="11" s="1"/>
  <c r="AH73" i="9"/>
  <c r="AG74" i="9"/>
  <c r="AD74" i="9" s="1"/>
  <c r="M144" i="18"/>
  <c r="G233" i="9"/>
  <c r="AW233" i="9" s="1"/>
  <c r="AX232" i="9"/>
  <c r="L232" i="9"/>
  <c r="I232" i="9"/>
  <c r="Z73" i="9"/>
  <c r="U74" i="9"/>
  <c r="W73" i="9"/>
  <c r="X73" i="9" s="1"/>
  <c r="D60" i="9"/>
  <c r="AT60" i="9" s="1"/>
  <c r="AS60" i="9"/>
  <c r="V247" i="9"/>
  <c r="Q247" i="9"/>
  <c r="R247" i="9" s="1"/>
  <c r="AJ162" i="9"/>
  <c r="AE162" i="9"/>
  <c r="AF162" i="9" s="1"/>
  <c r="T186" i="11" l="1"/>
  <c r="U186" i="11"/>
  <c r="W186" i="11" s="1"/>
  <c r="Z186" i="11" s="1"/>
  <c r="Y186" i="11" s="1"/>
  <c r="V185" i="11"/>
  <c r="X185" i="11" s="1"/>
  <c r="AY232" i="9"/>
  <c r="J232" i="9"/>
  <c r="AZ232" i="9" s="1"/>
  <c r="M155" i="18"/>
  <c r="M156" i="18"/>
  <c r="M146" i="18" s="1"/>
  <c r="M167" i="18"/>
  <c r="M104" i="25"/>
  <c r="AU147" i="9"/>
  <c r="B147" i="9"/>
  <c r="F65" i="29"/>
  <c r="M186" i="11"/>
  <c r="O186" i="11" s="1"/>
  <c r="K187" i="11"/>
  <c r="L187" i="11"/>
  <c r="N187" i="11" s="1"/>
  <c r="Q187" i="11" s="1"/>
  <c r="P187" i="11" s="1"/>
  <c r="AH246" i="9"/>
  <c r="AG247" i="9"/>
  <c r="AD247" i="9" s="1"/>
  <c r="DK14" i="9"/>
  <c r="BK57" i="9"/>
  <c r="AK162" i="9"/>
  <c r="AL162" i="9" s="1"/>
  <c r="AI163" i="9"/>
  <c r="AN162" i="9"/>
  <c r="BB232" i="9"/>
  <c r="F232" i="9"/>
  <c r="AV232" i="9" s="1"/>
  <c r="E233" i="9"/>
  <c r="AJ74" i="9"/>
  <c r="AE74" i="9"/>
  <c r="AF74" i="9" s="1"/>
  <c r="C189" i="11"/>
  <c r="E189" i="11" s="1"/>
  <c r="H189" i="11" s="1"/>
  <c r="G189" i="11" s="1"/>
  <c r="D188" i="11"/>
  <c r="F188" i="11" s="1"/>
  <c r="B189" i="11"/>
  <c r="BB60" i="9"/>
  <c r="F60" i="9"/>
  <c r="AV60" i="9" s="1"/>
  <c r="E61" i="9"/>
  <c r="AY60" i="9"/>
  <c r="J60" i="9"/>
  <c r="AZ60" i="9" s="1"/>
  <c r="U248" i="9"/>
  <c r="Z247" i="9"/>
  <c r="W247" i="9"/>
  <c r="X247" i="9" s="1"/>
  <c r="S74" i="9"/>
  <c r="P74" i="9" s="1"/>
  <c r="T73" i="9"/>
  <c r="Z161" i="9"/>
  <c r="U162" i="9"/>
  <c r="W161" i="9"/>
  <c r="X161" i="9" s="1"/>
  <c r="DL13" i="9"/>
  <c r="BI58" i="9"/>
  <c r="BJ58" i="9" s="1"/>
  <c r="T187" i="11" l="1"/>
  <c r="U187" i="11"/>
  <c r="W187" i="11" s="1"/>
  <c r="Z187" i="11" s="1"/>
  <c r="Y187" i="11" s="1"/>
  <c r="V186" i="11"/>
  <c r="X186" i="11" s="1"/>
  <c r="AE247" i="9"/>
  <c r="AF247" i="9" s="1"/>
  <c r="AJ247" i="9"/>
  <c r="M168" i="18"/>
  <c r="M169" i="18" s="1"/>
  <c r="N102" i="18" s="1"/>
  <c r="G79" i="22"/>
  <c r="G80" i="22" s="1"/>
  <c r="Q74" i="9"/>
  <c r="R74" i="9" s="1"/>
  <c r="V74" i="9"/>
  <c r="DK16" i="9"/>
  <c r="BL57" i="9"/>
  <c r="D189" i="11"/>
  <c r="F189" i="11" s="1"/>
  <c r="B190" i="11"/>
  <c r="C190" i="11"/>
  <c r="E190" i="11" s="1"/>
  <c r="H190" i="11" s="1"/>
  <c r="G190" i="11" s="1"/>
  <c r="AK74" i="9"/>
  <c r="AL74" i="9" s="1"/>
  <c r="AN74" i="9"/>
  <c r="AI75" i="9"/>
  <c r="T161" i="9"/>
  <c r="S162" i="9"/>
  <c r="P162" i="9" s="1"/>
  <c r="T247" i="9"/>
  <c r="S248" i="9"/>
  <c r="P248" i="9" s="1"/>
  <c r="B61" i="9"/>
  <c r="AU61" i="9"/>
  <c r="AU233" i="9"/>
  <c r="B233" i="9"/>
  <c r="M145" i="18"/>
  <c r="M158" i="18"/>
  <c r="BM57" i="9"/>
  <c r="DK17" i="9"/>
  <c r="DK18" i="9" s="1"/>
  <c r="AH162" i="9"/>
  <c r="AG163" i="9"/>
  <c r="AD163" i="9" s="1"/>
  <c r="K188" i="11"/>
  <c r="L188" i="11"/>
  <c r="N188" i="11" s="1"/>
  <c r="Q188" i="11" s="1"/>
  <c r="P188" i="11" s="1"/>
  <c r="M187" i="11"/>
  <c r="O187" i="11" s="1"/>
  <c r="H147" i="9"/>
  <c r="C147" i="9"/>
  <c r="AR147" i="9"/>
  <c r="M106" i="25"/>
  <c r="K26" i="3"/>
  <c r="L26" i="3" s="1"/>
  <c r="U188" i="11" l="1"/>
  <c r="W188" i="11" s="1"/>
  <c r="Z188" i="11" s="1"/>
  <c r="Y188" i="11" s="1"/>
  <c r="V187" i="11"/>
  <c r="X187" i="11" s="1"/>
  <c r="T188" i="11"/>
  <c r="N62" i="25"/>
  <c r="N105" i="18"/>
  <c r="O102" i="18"/>
  <c r="AS147" i="9"/>
  <c r="D147" i="9"/>
  <c r="AT147" i="9" s="1"/>
  <c r="AG75" i="9"/>
  <c r="AD75" i="9" s="1"/>
  <c r="AH74" i="9"/>
  <c r="AK247" i="9"/>
  <c r="AL247" i="9" s="1"/>
  <c r="AN247" i="9"/>
  <c r="AI248" i="9"/>
  <c r="M105" i="25"/>
  <c r="N141" i="18"/>
  <c r="AR61" i="9"/>
  <c r="H61" i="9"/>
  <c r="C61" i="9"/>
  <c r="L189" i="11"/>
  <c r="N189" i="11" s="1"/>
  <c r="Q189" i="11" s="1"/>
  <c r="P189" i="11" s="1"/>
  <c r="K189" i="11"/>
  <c r="M188" i="11"/>
  <c r="O188" i="11" s="1"/>
  <c r="H233" i="9"/>
  <c r="C233" i="9"/>
  <c r="AR233" i="9"/>
  <c r="V248" i="9"/>
  <c r="Q248" i="9"/>
  <c r="R248" i="9" s="1"/>
  <c r="C191" i="11"/>
  <c r="E191" i="11" s="1"/>
  <c r="H191" i="11" s="1"/>
  <c r="G191" i="11" s="1"/>
  <c r="B191" i="11"/>
  <c r="D190" i="11"/>
  <c r="F190" i="11" s="1"/>
  <c r="U75" i="9"/>
  <c r="Z74" i="9"/>
  <c r="W74" i="9"/>
  <c r="X74" i="9" s="1"/>
  <c r="AX147" i="9"/>
  <c r="L147" i="9"/>
  <c r="G148" i="9"/>
  <c r="AW148" i="9" s="1"/>
  <c r="I147" i="9"/>
  <c r="AJ163" i="9"/>
  <c r="AE163" i="9"/>
  <c r="AF163" i="9" s="1"/>
  <c r="M147" i="18"/>
  <c r="M107" i="25" s="1"/>
  <c r="DL12" i="9"/>
  <c r="BG58" i="9"/>
  <c r="BH58" i="9" s="1"/>
  <c r="Q162" i="9"/>
  <c r="R162" i="9" s="1"/>
  <c r="V162" i="9"/>
  <c r="C26" i="3"/>
  <c r="D26" i="3" s="1"/>
  <c r="G84" i="22"/>
  <c r="G87" i="22" s="1"/>
  <c r="G90" i="22" s="1"/>
  <c r="G92" i="22" s="1"/>
  <c r="L121" i="17"/>
  <c r="V188" i="11" l="1"/>
  <c r="X188" i="11" s="1"/>
  <c r="T189" i="11"/>
  <c r="U189" i="11"/>
  <c r="W189" i="11" s="1"/>
  <c r="Z189" i="11" s="1"/>
  <c r="Y189" i="11" s="1"/>
  <c r="AI164" i="9"/>
  <c r="AN163" i="9"/>
  <c r="AK163" i="9"/>
  <c r="AL163" i="9" s="1"/>
  <c r="AS233" i="9"/>
  <c r="D233" i="9"/>
  <c r="AT233" i="9" s="1"/>
  <c r="N101" i="25"/>
  <c r="W248" i="9"/>
  <c r="X248" i="9" s="1"/>
  <c r="U249" i="9"/>
  <c r="Z248" i="9"/>
  <c r="S75" i="9"/>
  <c r="P75" i="9" s="1"/>
  <c r="T74" i="9"/>
  <c r="E148" i="9"/>
  <c r="BB147" i="9"/>
  <c r="F147" i="9"/>
  <c r="AV147" i="9" s="1"/>
  <c r="G234" i="9"/>
  <c r="AW234" i="9" s="1"/>
  <c r="L233" i="9"/>
  <c r="I233" i="9"/>
  <c r="AX233" i="9"/>
  <c r="D61" i="9"/>
  <c r="AT61" i="9" s="1"/>
  <c r="AS61" i="9"/>
  <c r="C6" i="23"/>
  <c r="O62" i="25"/>
  <c r="O105" i="18"/>
  <c r="I61" i="9"/>
  <c r="L61" i="9"/>
  <c r="AX61" i="9"/>
  <c r="G62" i="9"/>
  <c r="AW62" i="9" s="1"/>
  <c r="AE75" i="9"/>
  <c r="AF75" i="9" s="1"/>
  <c r="AJ75" i="9"/>
  <c r="N142" i="18"/>
  <c r="N102" i="25" s="1"/>
  <c r="N65" i="25"/>
  <c r="I27" i="3"/>
  <c r="Z162" i="9"/>
  <c r="U163" i="9"/>
  <c r="W162" i="9"/>
  <c r="X162" i="9" s="1"/>
  <c r="AY147" i="9"/>
  <c r="J147" i="9"/>
  <c r="AZ147" i="9" s="1"/>
  <c r="D191" i="11"/>
  <c r="F191" i="11" s="1"/>
  <c r="B192" i="11"/>
  <c r="C192" i="11"/>
  <c r="E192" i="11" s="1"/>
  <c r="H192" i="11" s="1"/>
  <c r="G192" i="11" s="1"/>
  <c r="K190" i="11"/>
  <c r="L190" i="11"/>
  <c r="N190" i="11" s="1"/>
  <c r="Q190" i="11" s="1"/>
  <c r="P190" i="11" s="1"/>
  <c r="M189" i="11"/>
  <c r="O189" i="11" s="1"/>
  <c r="AH247" i="9"/>
  <c r="AG248" i="9"/>
  <c r="AD248" i="9" s="1"/>
  <c r="U190" i="11" l="1"/>
  <c r="W190" i="11" s="1"/>
  <c r="Z190" i="11" s="1"/>
  <c r="Y190" i="11" s="1"/>
  <c r="T190" i="11"/>
  <c r="V189" i="11"/>
  <c r="X189" i="11" s="1"/>
  <c r="S163" i="9"/>
  <c r="P163" i="9" s="1"/>
  <c r="T162" i="9"/>
  <c r="V75" i="9"/>
  <c r="Q75" i="9"/>
  <c r="R75" i="9" s="1"/>
  <c r="D192" i="11"/>
  <c r="F192" i="11" s="1"/>
  <c r="B193" i="11"/>
  <c r="D193" i="11" s="1"/>
  <c r="F193" i="11" s="1"/>
  <c r="C193" i="11"/>
  <c r="BI59" i="9"/>
  <c r="BJ59" i="9" s="1"/>
  <c r="DM13" i="9"/>
  <c r="C8" i="23"/>
  <c r="O65" i="25"/>
  <c r="O142" i="18"/>
  <c r="AJ248" i="9"/>
  <c r="AE248" i="9"/>
  <c r="AF248" i="9" s="1"/>
  <c r="K191" i="11"/>
  <c r="L191" i="11"/>
  <c r="N191" i="11" s="1"/>
  <c r="Q191" i="11" s="1"/>
  <c r="P191" i="11" s="1"/>
  <c r="M190" i="11"/>
  <c r="O190" i="11" s="1"/>
  <c r="AN75" i="9"/>
  <c r="AI76" i="9"/>
  <c r="AK75" i="9"/>
  <c r="AL75" i="9" s="1"/>
  <c r="AY233" i="9"/>
  <c r="J233" i="9"/>
  <c r="AZ233" i="9" s="1"/>
  <c r="S249" i="9"/>
  <c r="P249" i="9" s="1"/>
  <c r="T248" i="9"/>
  <c r="N144" i="18"/>
  <c r="E62" i="9"/>
  <c r="F61" i="9"/>
  <c r="AV61" i="9" s="1"/>
  <c r="BB61" i="9"/>
  <c r="AG164" i="9"/>
  <c r="AD164" i="9" s="1"/>
  <c r="AH163" i="9"/>
  <c r="AY61" i="9"/>
  <c r="J61" i="9"/>
  <c r="AZ61" i="9" s="1"/>
  <c r="DL14" i="9"/>
  <c r="BK58" i="9"/>
  <c r="E234" i="9"/>
  <c r="F233" i="9"/>
  <c r="AV233" i="9" s="1"/>
  <c r="BB233" i="9"/>
  <c r="B148" i="9"/>
  <c r="AU148" i="9"/>
  <c r="U191" i="11" l="1"/>
  <c r="T191" i="11"/>
  <c r="V190" i="11"/>
  <c r="X190" i="11" s="1"/>
  <c r="B62" i="9"/>
  <c r="AU62" i="9"/>
  <c r="AU234" i="9"/>
  <c r="B234" i="9"/>
  <c r="DL16" i="9"/>
  <c r="BL58" i="9"/>
  <c r="O102" i="25"/>
  <c r="C43" i="23"/>
  <c r="AR148" i="9"/>
  <c r="H148" i="9"/>
  <c r="C148" i="9"/>
  <c r="V249" i="9"/>
  <c r="Q249" i="9"/>
  <c r="R249" i="9" s="1"/>
  <c r="K192" i="11"/>
  <c r="L192" i="11"/>
  <c r="N192" i="11" s="1"/>
  <c r="Q192" i="11" s="1"/>
  <c r="P192" i="11" s="1"/>
  <c r="M191" i="11"/>
  <c r="O191" i="11" s="1"/>
  <c r="E193" i="11"/>
  <c r="G193" i="11"/>
  <c r="C194" i="11"/>
  <c r="Z75" i="9"/>
  <c r="W75" i="9"/>
  <c r="X75" i="9" s="1"/>
  <c r="U76" i="9"/>
  <c r="AG76" i="9"/>
  <c r="AD76" i="9" s="1"/>
  <c r="AH75" i="9"/>
  <c r="BM58" i="9"/>
  <c r="DL17" i="9"/>
  <c r="AE164" i="9"/>
  <c r="AF164" i="9" s="1"/>
  <c r="AJ164" i="9"/>
  <c r="N104" i="25"/>
  <c r="N155" i="18"/>
  <c r="N156" i="18"/>
  <c r="N167" i="18"/>
  <c r="AN248" i="9"/>
  <c r="AK248" i="9"/>
  <c r="AL248" i="9" s="1"/>
  <c r="AI249" i="9"/>
  <c r="Q163" i="9"/>
  <c r="R163" i="9" s="1"/>
  <c r="V163" i="9"/>
  <c r="DL18" i="9" l="1"/>
  <c r="T192" i="11"/>
  <c r="U192" i="11"/>
  <c r="W192" i="11" s="1"/>
  <c r="Z192" i="11" s="1"/>
  <c r="Y192" i="11" s="1"/>
  <c r="V191" i="11"/>
  <c r="X191" i="11" s="1"/>
  <c r="W191" i="11"/>
  <c r="G149" i="9"/>
  <c r="AW149" i="9" s="1"/>
  <c r="AX148" i="9"/>
  <c r="I148" i="9"/>
  <c r="L148" i="9"/>
  <c r="Z163" i="9"/>
  <c r="W163" i="9"/>
  <c r="X163" i="9" s="1"/>
  <c r="U164" i="9"/>
  <c r="AH248" i="9"/>
  <c r="AG249" i="9"/>
  <c r="AD249" i="9" s="1"/>
  <c r="N145" i="18"/>
  <c r="O155" i="18"/>
  <c r="N158" i="18"/>
  <c r="S76" i="9"/>
  <c r="P76" i="9" s="1"/>
  <c r="T75" i="9"/>
  <c r="Z249" i="9"/>
  <c r="W249" i="9"/>
  <c r="X249" i="9" s="1"/>
  <c r="U250" i="9"/>
  <c r="H234" i="9"/>
  <c r="AR234" i="9"/>
  <c r="C234" i="9"/>
  <c r="AJ76" i="9"/>
  <c r="AE76" i="9"/>
  <c r="AF76" i="9" s="1"/>
  <c r="D148" i="9"/>
  <c r="AT148" i="9" s="1"/>
  <c r="AS148" i="9"/>
  <c r="N168" i="18"/>
  <c r="O168" i="18" s="1"/>
  <c r="E32" i="2" s="1"/>
  <c r="N169" i="18"/>
  <c r="H79" i="22"/>
  <c r="O167" i="18"/>
  <c r="N146" i="18"/>
  <c r="O156" i="18"/>
  <c r="AI165" i="9"/>
  <c r="AK164" i="9"/>
  <c r="AL164" i="9" s="1"/>
  <c r="AN164" i="9"/>
  <c r="K193" i="11"/>
  <c r="M193" i="11" s="1"/>
  <c r="O193" i="11" s="1"/>
  <c r="M192" i="11"/>
  <c r="O192" i="11" s="1"/>
  <c r="L193" i="11"/>
  <c r="BG59" i="9"/>
  <c r="BH59" i="9" s="1"/>
  <c r="DM12" i="9"/>
  <c r="H193" i="11"/>
  <c r="E194" i="11"/>
  <c r="G194" i="11" s="1"/>
  <c r="H62" i="9"/>
  <c r="AR62" i="9"/>
  <c r="C62" i="9"/>
  <c r="T193" i="11" l="1"/>
  <c r="V193" i="11" s="1"/>
  <c r="X193" i="11" s="1"/>
  <c r="V192" i="11"/>
  <c r="X192" i="11" s="1"/>
  <c r="U193" i="11"/>
  <c r="Z191" i="11"/>
  <c r="Y191" i="11" s="1"/>
  <c r="C187" i="18"/>
  <c r="O169" i="18"/>
  <c r="E33" i="2" s="1"/>
  <c r="G235" i="9"/>
  <c r="AW235" i="9" s="1"/>
  <c r="L234" i="9"/>
  <c r="I234" i="9"/>
  <c r="AX234" i="9"/>
  <c r="I62" i="9"/>
  <c r="G63" i="9"/>
  <c r="AW63" i="9" s="1"/>
  <c r="L62" i="9"/>
  <c r="AX62" i="9"/>
  <c r="P193" i="11"/>
  <c r="N193" i="11"/>
  <c r="L194" i="11"/>
  <c r="AS234" i="9"/>
  <c r="D234" i="9"/>
  <c r="AT234" i="9" s="1"/>
  <c r="N147" i="18"/>
  <c r="O158" i="18"/>
  <c r="F66" i="26" s="1"/>
  <c r="C163" i="31" s="1"/>
  <c r="N157" i="18"/>
  <c r="E149" i="9"/>
  <c r="BB148" i="9"/>
  <c r="F148" i="9"/>
  <c r="AV148" i="9" s="1"/>
  <c r="D62" i="9"/>
  <c r="AT62" i="9" s="1"/>
  <c r="AS62" i="9"/>
  <c r="H80" i="22"/>
  <c r="I79" i="22"/>
  <c r="S250" i="9"/>
  <c r="P250" i="9" s="1"/>
  <c r="T249" i="9"/>
  <c r="AY148" i="9"/>
  <c r="J148" i="9"/>
  <c r="AZ148" i="9" s="1"/>
  <c r="N105" i="25"/>
  <c r="O145" i="18"/>
  <c r="O144" i="18"/>
  <c r="AH164" i="9"/>
  <c r="AG165" i="9"/>
  <c r="AD165" i="9" s="1"/>
  <c r="N106" i="25"/>
  <c r="K27" i="3"/>
  <c r="L27" i="3" s="1"/>
  <c r="O146" i="18"/>
  <c r="E29" i="2"/>
  <c r="AI77" i="9"/>
  <c r="AN76" i="9"/>
  <c r="AK76" i="9"/>
  <c r="AL76" i="9" s="1"/>
  <c r="Q76" i="9"/>
  <c r="R76" i="9" s="1"/>
  <c r="V76" i="9"/>
  <c r="AE249" i="9"/>
  <c r="AF249" i="9" s="1"/>
  <c r="AJ249" i="9"/>
  <c r="T163" i="9"/>
  <c r="S164" i="9"/>
  <c r="P164" i="9" s="1"/>
  <c r="W193" i="11" l="1"/>
  <c r="Y193" i="11"/>
  <c r="U194" i="11"/>
  <c r="C221" i="18"/>
  <c r="O157" i="18"/>
  <c r="D221" i="18" s="1"/>
  <c r="Z76" i="9"/>
  <c r="U77" i="9"/>
  <c r="W76" i="9"/>
  <c r="X76" i="9" s="1"/>
  <c r="F36" i="26"/>
  <c r="O104" i="25"/>
  <c r="C45" i="23"/>
  <c r="C12" i="29" s="1"/>
  <c r="D20" i="29" s="1"/>
  <c r="C226" i="18"/>
  <c r="M121" i="17"/>
  <c r="N121" i="17" s="1"/>
  <c r="N123" i="17" s="1"/>
  <c r="C27" i="3"/>
  <c r="D27" i="3" s="1"/>
  <c r="H84" i="22"/>
  <c r="N107" i="25"/>
  <c r="O147" i="18"/>
  <c r="Q193" i="11"/>
  <c r="N194" i="11"/>
  <c r="P194" i="11" s="1"/>
  <c r="DN13" i="9"/>
  <c r="BI60" i="9"/>
  <c r="BJ60" i="9" s="1"/>
  <c r="E235" i="9"/>
  <c r="BB234" i="9"/>
  <c r="F234" i="9"/>
  <c r="AV234" i="9" s="1"/>
  <c r="AI250" i="9"/>
  <c r="AK249" i="9"/>
  <c r="AL249" i="9" s="1"/>
  <c r="AN249" i="9"/>
  <c r="AE165" i="9"/>
  <c r="AF165" i="9" s="1"/>
  <c r="AJ165" i="9"/>
  <c r="V250" i="9"/>
  <c r="Q250" i="9"/>
  <c r="R250" i="9" s="1"/>
  <c r="F33" i="26"/>
  <c r="E80" i="2"/>
  <c r="O106" i="25"/>
  <c r="B34" i="2"/>
  <c r="B29" i="2" s="1"/>
  <c r="C47" i="23"/>
  <c r="Q164" i="9"/>
  <c r="R164" i="9" s="1"/>
  <c r="V164" i="9"/>
  <c r="C46" i="23"/>
  <c r="E45" i="2"/>
  <c r="E44" i="2" s="1"/>
  <c r="O105" i="25"/>
  <c r="DM14" i="9"/>
  <c r="BK59" i="9"/>
  <c r="AU149" i="9"/>
  <c r="B149" i="9"/>
  <c r="AY62" i="9"/>
  <c r="J62" i="9"/>
  <c r="AZ62" i="9" s="1"/>
  <c r="AG77" i="9"/>
  <c r="AD77" i="9" s="1"/>
  <c r="AH76" i="9"/>
  <c r="C182" i="31"/>
  <c r="D9" i="21"/>
  <c r="I80" i="22"/>
  <c r="BB62" i="9"/>
  <c r="F62" i="9"/>
  <c r="AV62" i="9" s="1"/>
  <c r="E63" i="9"/>
  <c r="AY234" i="9"/>
  <c r="J234" i="9"/>
  <c r="AZ234" i="9" s="1"/>
  <c r="C116" i="25"/>
  <c r="Z193" i="11" l="1"/>
  <c r="W194" i="11"/>
  <c r="Y194" i="11" s="1"/>
  <c r="D150" i="25"/>
  <c r="D115" i="22"/>
  <c r="C188" i="17" s="1"/>
  <c r="D224" i="18"/>
  <c r="H149" i="9"/>
  <c r="C149" i="9"/>
  <c r="AR149" i="9"/>
  <c r="Z250" i="9"/>
  <c r="W250" i="9"/>
  <c r="X250" i="9" s="1"/>
  <c r="U251" i="9"/>
  <c r="B235" i="9"/>
  <c r="AU235" i="9"/>
  <c r="D22" i="29"/>
  <c r="DM17" i="9"/>
  <c r="BM59" i="9"/>
  <c r="E75" i="2"/>
  <c r="C155" i="25"/>
  <c r="O226" i="18"/>
  <c r="C207" i="31"/>
  <c r="C208" i="31" s="1"/>
  <c r="C183" i="31"/>
  <c r="J82" i="22"/>
  <c r="J77" i="22"/>
  <c r="D10" i="21"/>
  <c r="J91" i="22"/>
  <c r="J93" i="22"/>
  <c r="J79" i="22"/>
  <c r="J80" i="22"/>
  <c r="J86" i="22"/>
  <c r="J84" i="22"/>
  <c r="J94" i="22"/>
  <c r="J90" i="22"/>
  <c r="J88" i="22"/>
  <c r="J78" i="22"/>
  <c r="J92" i="22"/>
  <c r="J87" i="22"/>
  <c r="J89" i="22"/>
  <c r="J85" i="22"/>
  <c r="C5" i="29"/>
  <c r="J76" i="22"/>
  <c r="J83" i="22"/>
  <c r="AE77" i="9"/>
  <c r="AF77" i="9" s="1"/>
  <c r="AJ77" i="9"/>
  <c r="F32" i="26"/>
  <c r="C131" i="31"/>
  <c r="C130" i="31" s="1"/>
  <c r="AN165" i="9"/>
  <c r="AK165" i="9"/>
  <c r="AL165" i="9" s="1"/>
  <c r="AI166" i="9"/>
  <c r="C48" i="23"/>
  <c r="O107" i="25"/>
  <c r="C70" i="22"/>
  <c r="N127" i="17"/>
  <c r="N126" i="17"/>
  <c r="C183" i="18"/>
  <c r="E189" i="17"/>
  <c r="D183" i="18"/>
  <c r="G183" i="18"/>
  <c r="E183" i="18"/>
  <c r="F183" i="18"/>
  <c r="H183" i="18"/>
  <c r="K189" i="17"/>
  <c r="I183" i="18"/>
  <c r="M189" i="17"/>
  <c r="J183" i="18"/>
  <c r="K183" i="18"/>
  <c r="L183" i="18"/>
  <c r="N183" i="18"/>
  <c r="M183" i="18"/>
  <c r="S77" i="9"/>
  <c r="P77" i="9" s="1"/>
  <c r="T76" i="9"/>
  <c r="AU63" i="9"/>
  <c r="B63" i="9"/>
  <c r="C134" i="31"/>
  <c r="F34" i="26"/>
  <c r="DM16" i="9"/>
  <c r="BL59" i="9"/>
  <c r="U165" i="9"/>
  <c r="W164" i="9"/>
  <c r="X164" i="9" s="1"/>
  <c r="Z164" i="9"/>
  <c r="AH249" i="9"/>
  <c r="AG250" i="9"/>
  <c r="AD250" i="9" s="1"/>
  <c r="H87" i="22"/>
  <c r="I84" i="22"/>
  <c r="C115" i="22"/>
  <c r="C150" i="25"/>
  <c r="C224" i="18"/>
  <c r="H63" i="9" l="1"/>
  <c r="C63" i="9"/>
  <c r="AR63" i="9"/>
  <c r="H112" i="25"/>
  <c r="AS149" i="9"/>
  <c r="D149" i="9"/>
  <c r="AT149" i="9" s="1"/>
  <c r="L112" i="25"/>
  <c r="I112" i="25"/>
  <c r="E112" i="25"/>
  <c r="C190" i="18"/>
  <c r="C112" i="25"/>
  <c r="O183" i="18"/>
  <c r="AN77" i="9"/>
  <c r="AK77" i="9"/>
  <c r="AL77" i="9" s="1"/>
  <c r="AI78" i="9"/>
  <c r="F33" i="29"/>
  <c r="C17" i="29"/>
  <c r="C33" i="29"/>
  <c r="B33" i="29"/>
  <c r="E33" i="29"/>
  <c r="C7" i="29"/>
  <c r="C10" i="29" s="1"/>
  <c r="C16" i="29" s="1"/>
  <c r="B47" i="29"/>
  <c r="C8" i="29"/>
  <c r="B62" i="29"/>
  <c r="D33" i="29"/>
  <c r="T250" i="9"/>
  <c r="S251" i="9"/>
  <c r="P251" i="9" s="1"/>
  <c r="J29" i="3"/>
  <c r="D153" i="25"/>
  <c r="B188" i="17"/>
  <c r="J112" i="25"/>
  <c r="B192" i="17"/>
  <c r="B53" i="2"/>
  <c r="F30" i="26"/>
  <c r="S165" i="9"/>
  <c r="P165" i="9" s="1"/>
  <c r="T164" i="9"/>
  <c r="H90" i="22"/>
  <c r="I87" i="22"/>
  <c r="AE250" i="9"/>
  <c r="AF250" i="9" s="1"/>
  <c r="AJ250" i="9"/>
  <c r="C132" i="31"/>
  <c r="C91" i="31"/>
  <c r="Q77" i="9"/>
  <c r="R77" i="9" s="1"/>
  <c r="V77" i="9"/>
  <c r="K112" i="25"/>
  <c r="G112" i="25"/>
  <c r="B52" i="2"/>
  <c r="H189" i="17"/>
  <c r="AH165" i="9"/>
  <c r="AG166" i="9"/>
  <c r="AD166" i="9" s="1"/>
  <c r="D42" i="23"/>
  <c r="O155" i="25"/>
  <c r="DM18" i="9"/>
  <c r="H235" i="9"/>
  <c r="C235" i="9"/>
  <c r="AR235" i="9"/>
  <c r="M112" i="25"/>
  <c r="D112" i="25"/>
  <c r="C153" i="25"/>
  <c r="J28" i="3"/>
  <c r="BG60" i="9"/>
  <c r="BH60" i="9" s="1"/>
  <c r="DN12" i="9"/>
  <c r="N112" i="25"/>
  <c r="M191" i="17"/>
  <c r="M190" i="17"/>
  <c r="N219" i="18" s="1"/>
  <c r="F112" i="25"/>
  <c r="E190" i="17"/>
  <c r="E191" i="17"/>
  <c r="D70" i="22"/>
  <c r="C71" i="22"/>
  <c r="E22" i="21"/>
  <c r="E6" i="21"/>
  <c r="E20" i="21"/>
  <c r="E19" i="21"/>
  <c r="E8" i="21"/>
  <c r="E9" i="21"/>
  <c r="D14" i="21"/>
  <c r="D17" i="21" s="1"/>
  <c r="D20" i="21" s="1"/>
  <c r="D22" i="21" s="1"/>
  <c r="E23" i="21"/>
  <c r="E18" i="21"/>
  <c r="E10" i="21"/>
  <c r="E13" i="21"/>
  <c r="E21" i="21"/>
  <c r="E12" i="21"/>
  <c r="E16" i="21"/>
  <c r="E15" i="21"/>
  <c r="E24" i="21"/>
  <c r="E14" i="21"/>
  <c r="E7" i="21"/>
  <c r="E17" i="21"/>
  <c r="C209" i="31"/>
  <c r="C210" i="31" s="1"/>
  <c r="D23" i="29"/>
  <c r="AX149" i="9"/>
  <c r="I149" i="9"/>
  <c r="G150" i="9"/>
  <c r="AW150" i="9" s="1"/>
  <c r="L149" i="9"/>
  <c r="AE166" i="9" l="1"/>
  <c r="AF166" i="9" s="1"/>
  <c r="AJ166" i="9"/>
  <c r="AH77" i="9"/>
  <c r="AG78" i="9"/>
  <c r="AD78" i="9" s="1"/>
  <c r="N148" i="25"/>
  <c r="N216" i="18"/>
  <c r="H191" i="17"/>
  <c r="H190" i="17"/>
  <c r="I219" i="18" s="1"/>
  <c r="W77" i="9"/>
  <c r="X77" i="9" s="1"/>
  <c r="Z77" i="9"/>
  <c r="U78" i="9"/>
  <c r="AI251" i="9"/>
  <c r="AK250" i="9"/>
  <c r="AL250" i="9" s="1"/>
  <c r="AN250" i="9"/>
  <c r="B39" i="29"/>
  <c r="B34" i="29"/>
  <c r="B40" i="29" s="1"/>
  <c r="I235" i="9"/>
  <c r="L235" i="9"/>
  <c r="AX235" i="9"/>
  <c r="G236" i="9"/>
  <c r="AW236" i="9" s="1"/>
  <c r="C128" i="31"/>
  <c r="C122" i="31" s="1"/>
  <c r="C137" i="31" s="1"/>
  <c r="F24" i="26"/>
  <c r="F39" i="26" s="1"/>
  <c r="AY149" i="9"/>
  <c r="J149" i="9"/>
  <c r="AZ149" i="9" s="1"/>
  <c r="G16" i="3"/>
  <c r="H16" i="3" s="1"/>
  <c r="F219" i="18"/>
  <c r="D235" i="9"/>
  <c r="AT235" i="9" s="1"/>
  <c r="AS235" i="9"/>
  <c r="B70" i="2"/>
  <c r="F60" i="26"/>
  <c r="Q165" i="9"/>
  <c r="R165" i="9" s="1"/>
  <c r="V165" i="9"/>
  <c r="D34" i="29"/>
  <c r="D40" i="29" s="1"/>
  <c r="D39" i="29"/>
  <c r="B49" i="29"/>
  <c r="B51" i="29" s="1"/>
  <c r="C47" i="29"/>
  <c r="B53" i="29"/>
  <c r="C39" i="29"/>
  <c r="C34" i="29"/>
  <c r="C40" i="29" s="1"/>
  <c r="C227" i="18"/>
  <c r="I28" i="3"/>
  <c r="C119" i="25"/>
  <c r="BB149" i="9"/>
  <c r="F149" i="9"/>
  <c r="AV149" i="9" s="1"/>
  <c r="E150" i="9"/>
  <c r="C62" i="29"/>
  <c r="B68" i="29"/>
  <c r="B63" i="29"/>
  <c r="B69" i="29" s="1"/>
  <c r="D63" i="9"/>
  <c r="AT63" i="9" s="1"/>
  <c r="AS63" i="9"/>
  <c r="E70" i="22"/>
  <c r="D71" i="22"/>
  <c r="G17" i="3" s="1"/>
  <c r="H17" i="3" s="1"/>
  <c r="C168" i="31"/>
  <c r="H92" i="22"/>
  <c r="I90" i="22"/>
  <c r="B44" i="2"/>
  <c r="Q251" i="9"/>
  <c r="R251" i="9" s="1"/>
  <c r="V251" i="9"/>
  <c r="E34" i="29"/>
  <c r="E40" i="29" s="1"/>
  <c r="E39" i="29"/>
  <c r="F34" i="29"/>
  <c r="F40" i="29" s="1"/>
  <c r="F39" i="29"/>
  <c r="D4" i="23"/>
  <c r="O112" i="25"/>
  <c r="AX63" i="9"/>
  <c r="G64" i="9"/>
  <c r="AW64" i="9" s="1"/>
  <c r="I63" i="9"/>
  <c r="L63" i="9"/>
  <c r="F35" i="29" l="1"/>
  <c r="F37" i="29" s="1"/>
  <c r="E35" i="29"/>
  <c r="E37" i="29" s="1"/>
  <c r="C35" i="29"/>
  <c r="C37" i="29" s="1"/>
  <c r="D35" i="29"/>
  <c r="D37" i="29" s="1"/>
  <c r="BB63" i="9"/>
  <c r="F63" i="9"/>
  <c r="AV63" i="9" s="1"/>
  <c r="E64" i="9"/>
  <c r="N145" i="25"/>
  <c r="N224" i="18"/>
  <c r="DO13" i="9"/>
  <c r="BI61" i="9"/>
  <c r="BJ61" i="9" s="1"/>
  <c r="DN14" i="9"/>
  <c r="BK60" i="9"/>
  <c r="C49" i="29"/>
  <c r="C51" i="29" s="1"/>
  <c r="C53" i="29"/>
  <c r="D47" i="29"/>
  <c r="F148" i="25"/>
  <c r="F216" i="18"/>
  <c r="I148" i="25"/>
  <c r="I216" i="18"/>
  <c r="AE78" i="9"/>
  <c r="AF78" i="9" s="1"/>
  <c r="AJ78" i="9"/>
  <c r="AN166" i="9"/>
  <c r="AK166" i="9"/>
  <c r="AL166" i="9" s="1"/>
  <c r="AI167" i="9"/>
  <c r="I92" i="22"/>
  <c r="B64" i="29"/>
  <c r="B66" i="29" s="1"/>
  <c r="C23" i="31"/>
  <c r="C20" i="31"/>
  <c r="D62" i="29"/>
  <c r="C64" i="29"/>
  <c r="C66" i="29" s="1"/>
  <c r="C63" i="29"/>
  <c r="C69" i="29" s="1"/>
  <c r="C68" i="29"/>
  <c r="U166" i="9"/>
  <c r="W165" i="9"/>
  <c r="X165" i="9" s="1"/>
  <c r="Z165" i="9"/>
  <c r="K190" i="17"/>
  <c r="K191" i="17"/>
  <c r="N191" i="17" s="1"/>
  <c r="AU150" i="9"/>
  <c r="B150" i="9"/>
  <c r="G15" i="26"/>
  <c r="G28" i="26"/>
  <c r="G31" i="26"/>
  <c r="G13" i="26"/>
  <c r="G9" i="26"/>
  <c r="G22" i="26"/>
  <c r="G33" i="26"/>
  <c r="G34" i="26"/>
  <c r="G7" i="26"/>
  <c r="G38" i="26"/>
  <c r="G24" i="26"/>
  <c r="G10" i="26"/>
  <c r="G4" i="26"/>
  <c r="G11" i="26"/>
  <c r="G25" i="26"/>
  <c r="G6" i="26"/>
  <c r="G12" i="26"/>
  <c r="G30" i="26"/>
  <c r="G17" i="26"/>
  <c r="G32" i="26"/>
  <c r="G21" i="26"/>
  <c r="G36" i="26"/>
  <c r="G8" i="26"/>
  <c r="G27" i="26"/>
  <c r="G18" i="26"/>
  <c r="G23" i="26"/>
  <c r="G16" i="26"/>
  <c r="G19" i="26"/>
  <c r="G35" i="26"/>
  <c r="G29" i="26"/>
  <c r="G14" i="26"/>
  <c r="G5" i="26"/>
  <c r="G3" i="26"/>
  <c r="G37" i="26"/>
  <c r="G26" i="26"/>
  <c r="G20" i="26"/>
  <c r="E236" i="9"/>
  <c r="BB235" i="9"/>
  <c r="F235" i="9"/>
  <c r="AV235" i="9" s="1"/>
  <c r="AG251" i="9"/>
  <c r="AD251" i="9" s="1"/>
  <c r="AH250" i="9"/>
  <c r="S78" i="9"/>
  <c r="P78" i="9" s="1"/>
  <c r="T77" i="9"/>
  <c r="AY63" i="9"/>
  <c r="J63" i="9"/>
  <c r="AZ63" i="9" s="1"/>
  <c r="Z251" i="9"/>
  <c r="W251" i="9"/>
  <c r="X251" i="9" s="1"/>
  <c r="U252" i="9"/>
  <c r="F70" i="22"/>
  <c r="E71" i="22"/>
  <c r="G18" i="3" s="1"/>
  <c r="H18" i="3" s="1"/>
  <c r="C156" i="25"/>
  <c r="C229" i="18"/>
  <c r="C157" i="31"/>
  <c r="C156" i="31" s="1"/>
  <c r="C151" i="31" s="1"/>
  <c r="C169" i="31" s="1"/>
  <c r="C24" i="31" s="1"/>
  <c r="C4" i="31" s="1"/>
  <c r="F59" i="26"/>
  <c r="F54" i="26" s="1"/>
  <c r="C73" i="31"/>
  <c r="C170" i="31"/>
  <c r="C81" i="31"/>
  <c r="C8" i="31" s="1"/>
  <c r="C45" i="31"/>
  <c r="C48" i="31" s="1"/>
  <c r="AY235" i="9"/>
  <c r="J235" i="9"/>
  <c r="AZ235" i="9" s="1"/>
  <c r="B35" i="29"/>
  <c r="B37" i="29" s="1"/>
  <c r="C64" i="31" l="1"/>
  <c r="C241" i="18"/>
  <c r="C240" i="18"/>
  <c r="C252" i="18"/>
  <c r="C158" i="25"/>
  <c r="G70" i="22"/>
  <c r="F71" i="22"/>
  <c r="B236" i="9"/>
  <c r="AU236" i="9"/>
  <c r="D53" i="29"/>
  <c r="E47" i="29"/>
  <c r="D49" i="29"/>
  <c r="D51" i="29" s="1"/>
  <c r="C21" i="31"/>
  <c r="C6" i="31" s="1"/>
  <c r="C19" i="31"/>
  <c r="C5" i="31" s="1"/>
  <c r="C22" i="31"/>
  <c r="C57" i="31"/>
  <c r="DN17" i="9"/>
  <c r="BM60" i="9"/>
  <c r="BL60" i="9"/>
  <c r="DN16" i="9"/>
  <c r="AE251" i="9"/>
  <c r="AF251" i="9" s="1"/>
  <c r="AJ251" i="9"/>
  <c r="C150" i="9"/>
  <c r="AR150" i="9"/>
  <c r="H150" i="9"/>
  <c r="L219" i="18"/>
  <c r="N190" i="17"/>
  <c r="E62" i="29"/>
  <c r="D63" i="29"/>
  <c r="D69" i="29" s="1"/>
  <c r="D68" i="29"/>
  <c r="AI79" i="9"/>
  <c r="AK78" i="9"/>
  <c r="AL78" i="9" s="1"/>
  <c r="AN78" i="9"/>
  <c r="F145" i="25"/>
  <c r="B64" i="9"/>
  <c r="AU64" i="9"/>
  <c r="T251" i="9"/>
  <c r="S252" i="9"/>
  <c r="P252" i="9" s="1"/>
  <c r="V78" i="9"/>
  <c r="Q78" i="9"/>
  <c r="R78" i="9" s="1"/>
  <c r="S166" i="9"/>
  <c r="P166" i="9" s="1"/>
  <c r="T165" i="9"/>
  <c r="AH166" i="9"/>
  <c r="AG167" i="9"/>
  <c r="AD167" i="9" s="1"/>
  <c r="I145" i="25"/>
  <c r="J39" i="3"/>
  <c r="N153" i="25"/>
  <c r="DN18" i="9" l="1"/>
  <c r="Z78" i="9"/>
  <c r="W78" i="9"/>
  <c r="X78" i="9" s="1"/>
  <c r="U79" i="9"/>
  <c r="L148" i="25"/>
  <c r="L216" i="18"/>
  <c r="O219" i="18"/>
  <c r="H70" i="22"/>
  <c r="I70" i="22" s="1"/>
  <c r="G71" i="22"/>
  <c r="G20" i="3" s="1"/>
  <c r="V252" i="9"/>
  <c r="Q252" i="9"/>
  <c r="R252" i="9" s="1"/>
  <c r="Q166" i="9"/>
  <c r="R166" i="9" s="1"/>
  <c r="V166" i="9"/>
  <c r="E68" i="29"/>
  <c r="E63" i="29"/>
  <c r="E69" i="29" s="1"/>
  <c r="F62" i="29"/>
  <c r="AR236" i="9"/>
  <c r="H236" i="9"/>
  <c r="C236" i="9"/>
  <c r="H64" i="9"/>
  <c r="AR64" i="9"/>
  <c r="C64" i="9"/>
  <c r="AN251" i="9"/>
  <c r="AI252" i="9"/>
  <c r="AK251" i="9"/>
  <c r="AL251" i="9" s="1"/>
  <c r="C230" i="18"/>
  <c r="C243" i="18"/>
  <c r="AJ167" i="9"/>
  <c r="AE167" i="9"/>
  <c r="AF167" i="9" s="1"/>
  <c r="BG61" i="9"/>
  <c r="BH61" i="9" s="1"/>
  <c r="DO12" i="9"/>
  <c r="D64" i="29"/>
  <c r="D66" i="29" s="1"/>
  <c r="D150" i="9"/>
  <c r="AT150" i="9" s="1"/>
  <c r="AS150" i="9"/>
  <c r="F47" i="29"/>
  <c r="E53" i="29"/>
  <c r="E49" i="29"/>
  <c r="E51" i="29" s="1"/>
  <c r="G19" i="3"/>
  <c r="H19" i="3" s="1"/>
  <c r="C103" i="22"/>
  <c r="C253" i="18"/>
  <c r="C254" i="18" s="1"/>
  <c r="AG79" i="9"/>
  <c r="AD79" i="9" s="1"/>
  <c r="AH78" i="9"/>
  <c r="AX150" i="9"/>
  <c r="I150" i="9"/>
  <c r="L150" i="9"/>
  <c r="G151" i="9"/>
  <c r="AW151" i="9" s="1"/>
  <c r="C231" i="18"/>
  <c r="D226" i="18" s="1"/>
  <c r="E64" i="29" l="1"/>
  <c r="E66" i="29" s="1"/>
  <c r="D155" i="25"/>
  <c r="BB150" i="9"/>
  <c r="F150" i="9"/>
  <c r="AV150" i="9" s="1"/>
  <c r="E151" i="9"/>
  <c r="AI168" i="9"/>
  <c r="AK167" i="9"/>
  <c r="AL167" i="9" s="1"/>
  <c r="AN167" i="9"/>
  <c r="AH251" i="9"/>
  <c r="AG252" i="9"/>
  <c r="AD252" i="9" s="1"/>
  <c r="AS236" i="9"/>
  <c r="D236" i="9"/>
  <c r="AT236" i="9" s="1"/>
  <c r="F68" i="29"/>
  <c r="F63" i="29"/>
  <c r="F69" i="29" s="1"/>
  <c r="F64" i="29"/>
  <c r="F66" i="29" s="1"/>
  <c r="H20" i="3"/>
  <c r="AE79" i="9"/>
  <c r="AF79" i="9" s="1"/>
  <c r="AJ79" i="9"/>
  <c r="C104" i="22"/>
  <c r="C159" i="25"/>
  <c r="AS64" i="9"/>
  <c r="D64" i="9"/>
  <c r="AT64" i="9" s="1"/>
  <c r="G237" i="9"/>
  <c r="AW237" i="9" s="1"/>
  <c r="I236" i="9"/>
  <c r="AX236" i="9"/>
  <c r="L236" i="9"/>
  <c r="C93" i="22"/>
  <c r="H71" i="22"/>
  <c r="K28" i="3"/>
  <c r="L28" i="3" s="1"/>
  <c r="C160" i="25"/>
  <c r="D187" i="18"/>
  <c r="U253" i="9"/>
  <c r="W252" i="9"/>
  <c r="X252" i="9" s="1"/>
  <c r="Z252" i="9"/>
  <c r="D35" i="23"/>
  <c r="O148" i="25"/>
  <c r="AY150" i="9"/>
  <c r="J150" i="9"/>
  <c r="AZ150" i="9" s="1"/>
  <c r="F49" i="29"/>
  <c r="F51" i="29" s="1"/>
  <c r="F53" i="29"/>
  <c r="C232" i="18"/>
  <c r="C161" i="25" s="1"/>
  <c r="I64" i="9"/>
  <c r="G65" i="9"/>
  <c r="AW65" i="9" s="1"/>
  <c r="L64" i="9"/>
  <c r="AX64" i="9"/>
  <c r="W166" i="9"/>
  <c r="X166" i="9" s="1"/>
  <c r="U167" i="9"/>
  <c r="Z166" i="9"/>
  <c r="L145" i="25"/>
  <c r="O216" i="18"/>
  <c r="T78" i="9"/>
  <c r="S79" i="9"/>
  <c r="P79" i="9" s="1"/>
  <c r="BK61" i="9" l="1"/>
  <c r="DO14" i="9"/>
  <c r="AH167" i="9"/>
  <c r="AG168" i="9"/>
  <c r="AD168" i="9" s="1"/>
  <c r="BI62" i="9"/>
  <c r="BJ62" i="9" s="1"/>
  <c r="DP13" i="9"/>
  <c r="D93" i="22"/>
  <c r="C94" i="22"/>
  <c r="G22" i="3" s="1"/>
  <c r="O145" i="25"/>
  <c r="D32" i="23"/>
  <c r="T166" i="9"/>
  <c r="S167" i="9"/>
  <c r="P167" i="9" s="1"/>
  <c r="E65" i="9"/>
  <c r="F64" i="9"/>
  <c r="AV64" i="9" s="1"/>
  <c r="BB64" i="9"/>
  <c r="S253" i="9"/>
  <c r="P253" i="9" s="1"/>
  <c r="T252" i="9"/>
  <c r="D116" i="25"/>
  <c r="D190" i="18"/>
  <c r="G21" i="3"/>
  <c r="H21" i="3" s="1"/>
  <c r="I71" i="22"/>
  <c r="AY236" i="9"/>
  <c r="J236" i="9"/>
  <c r="AZ236" i="9" s="1"/>
  <c r="AK79" i="9"/>
  <c r="AL79" i="9" s="1"/>
  <c r="AI80" i="9"/>
  <c r="AN79" i="9"/>
  <c r="AJ252" i="9"/>
  <c r="AE252" i="9"/>
  <c r="AF252" i="9" s="1"/>
  <c r="V79" i="9"/>
  <c r="Q79" i="9"/>
  <c r="R79" i="9" s="1"/>
  <c r="AY64" i="9"/>
  <c r="J64" i="9"/>
  <c r="AZ64" i="9" s="1"/>
  <c r="F236" i="9"/>
  <c r="AV236" i="9" s="1"/>
  <c r="BB236" i="9"/>
  <c r="E237" i="9"/>
  <c r="B187" i="17"/>
  <c r="C28" i="3"/>
  <c r="D28" i="3" s="1"/>
  <c r="C108" i="22"/>
  <c r="B151" i="9"/>
  <c r="AU151" i="9"/>
  <c r="H22" i="3" l="1"/>
  <c r="AJ168" i="9"/>
  <c r="AE168" i="9"/>
  <c r="AF168" i="9" s="1"/>
  <c r="DO16" i="9"/>
  <c r="BL61" i="9"/>
  <c r="V253" i="9"/>
  <c r="Q253" i="9"/>
  <c r="R253" i="9" s="1"/>
  <c r="W79" i="9"/>
  <c r="X79" i="9" s="1"/>
  <c r="U80" i="9"/>
  <c r="Z79" i="9"/>
  <c r="H151" i="9"/>
  <c r="C151" i="9"/>
  <c r="AR151" i="9"/>
  <c r="BM61" i="9"/>
  <c r="DO17" i="9"/>
  <c r="DO18" i="9" s="1"/>
  <c r="AU65" i="9"/>
  <c r="B65" i="9"/>
  <c r="E93" i="22"/>
  <c r="D94" i="22"/>
  <c r="AU237" i="9"/>
  <c r="B237" i="9"/>
  <c r="AI253" i="9"/>
  <c r="AK252" i="9"/>
  <c r="AL252" i="9" s="1"/>
  <c r="AN252" i="9"/>
  <c r="I29" i="3"/>
  <c r="D119" i="25"/>
  <c r="D227" i="18"/>
  <c r="V167" i="9"/>
  <c r="Q167" i="9"/>
  <c r="R167" i="9" s="1"/>
  <c r="C111" i="22"/>
  <c r="AH79" i="9"/>
  <c r="AG80" i="9"/>
  <c r="AD80" i="9" s="1"/>
  <c r="AE80" i="9" l="1"/>
  <c r="AF80" i="9" s="1"/>
  <c r="AJ80" i="9"/>
  <c r="H237" i="9"/>
  <c r="C237" i="9"/>
  <c r="AR237" i="9"/>
  <c r="AS151" i="9"/>
  <c r="D151" i="9"/>
  <c r="AT151" i="9" s="1"/>
  <c r="C114" i="22"/>
  <c r="D156" i="25"/>
  <c r="D229" i="18"/>
  <c r="F93" i="22"/>
  <c r="E94" i="22"/>
  <c r="G152" i="9"/>
  <c r="AW152" i="9" s="1"/>
  <c r="L151" i="9"/>
  <c r="I151" i="9"/>
  <c r="AX151" i="9"/>
  <c r="C65" i="9"/>
  <c r="H65" i="9"/>
  <c r="AR65" i="9"/>
  <c r="T79" i="9"/>
  <c r="S80" i="9"/>
  <c r="P80" i="9" s="1"/>
  <c r="U254" i="9"/>
  <c r="W253" i="9"/>
  <c r="X253" i="9" s="1"/>
  <c r="Z253" i="9"/>
  <c r="AI169" i="9"/>
  <c r="AK168" i="9"/>
  <c r="AL168" i="9" s="1"/>
  <c r="AN168" i="9"/>
  <c r="Z167" i="9"/>
  <c r="U168" i="9"/>
  <c r="W167" i="9"/>
  <c r="X167" i="9" s="1"/>
  <c r="AG253" i="9"/>
  <c r="AD253" i="9" s="1"/>
  <c r="AH252" i="9"/>
  <c r="DP12" i="9"/>
  <c r="BG62" i="9"/>
  <c r="BH62" i="9" s="1"/>
  <c r="L65" i="9" l="1"/>
  <c r="AX65" i="9"/>
  <c r="G66" i="9"/>
  <c r="AW66" i="9" s="1"/>
  <c r="I65" i="9"/>
  <c r="T167" i="9"/>
  <c r="S168" i="9"/>
  <c r="P168" i="9" s="1"/>
  <c r="D158" i="25"/>
  <c r="D241" i="18"/>
  <c r="D252" i="18"/>
  <c r="D240" i="18"/>
  <c r="L237" i="9"/>
  <c r="G238" i="9"/>
  <c r="AW238" i="9" s="1"/>
  <c r="AX237" i="9"/>
  <c r="I237" i="9"/>
  <c r="AY151" i="9"/>
  <c r="J151" i="9"/>
  <c r="AZ151" i="9" s="1"/>
  <c r="S254" i="9"/>
  <c r="P254" i="9" s="1"/>
  <c r="T253" i="9"/>
  <c r="AJ253" i="9"/>
  <c r="AE253" i="9"/>
  <c r="AF253" i="9" s="1"/>
  <c r="AH168" i="9"/>
  <c r="AG169" i="9"/>
  <c r="AD169" i="9" s="1"/>
  <c r="AI81" i="9"/>
  <c r="AK80" i="9"/>
  <c r="AL80" i="9" s="1"/>
  <c r="AN80" i="9"/>
  <c r="G24" i="3"/>
  <c r="G23" i="3"/>
  <c r="H23" i="3" s="1"/>
  <c r="V80" i="9"/>
  <c r="Q80" i="9"/>
  <c r="R80" i="9" s="1"/>
  <c r="AS65" i="9"/>
  <c r="D65" i="9"/>
  <c r="AT65" i="9" s="1"/>
  <c r="E152" i="9"/>
  <c r="F151" i="9"/>
  <c r="AV151" i="9" s="1"/>
  <c r="BB151" i="9"/>
  <c r="G93" i="22"/>
  <c r="F94" i="22"/>
  <c r="G25" i="3" s="1"/>
  <c r="C116" i="22"/>
  <c r="AS237" i="9"/>
  <c r="D237" i="9"/>
  <c r="AT237" i="9" s="1"/>
  <c r="H24" i="3" l="1"/>
  <c r="H25" i="3" s="1"/>
  <c r="DP14" i="9"/>
  <c r="BK62" i="9"/>
  <c r="AE169" i="9"/>
  <c r="AF169" i="9" s="1"/>
  <c r="AJ169" i="9"/>
  <c r="AY237" i="9"/>
  <c r="J237" i="9"/>
  <c r="AZ237" i="9" s="1"/>
  <c r="D230" i="18"/>
  <c r="D243" i="18"/>
  <c r="BI63" i="9"/>
  <c r="BJ63" i="9" s="1"/>
  <c r="DQ13" i="9"/>
  <c r="AU152" i="9"/>
  <c r="B152" i="9"/>
  <c r="AH80" i="9"/>
  <c r="AG81" i="9"/>
  <c r="AD81" i="9" s="1"/>
  <c r="V254" i="9"/>
  <c r="Q254" i="9"/>
  <c r="R254" i="9" s="1"/>
  <c r="D253" i="18"/>
  <c r="D103" i="22"/>
  <c r="V168" i="9"/>
  <c r="Q168" i="9"/>
  <c r="R168" i="9" s="1"/>
  <c r="W80" i="9"/>
  <c r="X80" i="9" s="1"/>
  <c r="U81" i="9"/>
  <c r="Z80" i="9"/>
  <c r="D231" i="18"/>
  <c r="BB65" i="9"/>
  <c r="F65" i="9"/>
  <c r="AV65" i="9" s="1"/>
  <c r="E66" i="9"/>
  <c r="H93" i="22"/>
  <c r="G94" i="22"/>
  <c r="G26" i="3" s="1"/>
  <c r="AN253" i="9"/>
  <c r="AI254" i="9"/>
  <c r="AK253" i="9"/>
  <c r="AL253" i="9" s="1"/>
  <c r="F237" i="9"/>
  <c r="AV237" i="9" s="1"/>
  <c r="BB237" i="9"/>
  <c r="E238" i="9"/>
  <c r="AY65" i="9"/>
  <c r="J65" i="9"/>
  <c r="AZ65" i="9" s="1"/>
  <c r="H26" i="3" l="1"/>
  <c r="DP16" i="9"/>
  <c r="BL62" i="9"/>
  <c r="Z254" i="9"/>
  <c r="W254" i="9"/>
  <c r="X254" i="9" s="1"/>
  <c r="U255" i="9"/>
  <c r="AH253" i="9"/>
  <c r="AG254" i="9"/>
  <c r="AD254" i="9" s="1"/>
  <c r="S81" i="9"/>
  <c r="P81" i="9" s="1"/>
  <c r="T80" i="9"/>
  <c r="Z168" i="9"/>
  <c r="U169" i="9"/>
  <c r="W168" i="9"/>
  <c r="X168" i="9" s="1"/>
  <c r="AN169" i="9"/>
  <c r="AK169" i="9"/>
  <c r="AL169" i="9" s="1"/>
  <c r="AI170" i="9"/>
  <c r="H94" i="22"/>
  <c r="I93" i="22"/>
  <c r="DP17" i="9"/>
  <c r="BM62" i="9"/>
  <c r="D159" i="25"/>
  <c r="E226" i="18"/>
  <c r="D104" i="22"/>
  <c r="AU238" i="9"/>
  <c r="B238" i="9"/>
  <c r="AU66" i="9"/>
  <c r="B66" i="9"/>
  <c r="D160" i="25"/>
  <c r="K29" i="3"/>
  <c r="L29" i="3" s="1"/>
  <c r="D254" i="18"/>
  <c r="AJ81" i="9"/>
  <c r="AE81" i="9"/>
  <c r="AF81" i="9" s="1"/>
  <c r="H152" i="9"/>
  <c r="C152" i="9"/>
  <c r="AR152" i="9"/>
  <c r="D232" i="18"/>
  <c r="D161" i="25" s="1"/>
  <c r="DP18" i="9" l="1"/>
  <c r="AK81" i="9"/>
  <c r="AL81" i="9" s="1"/>
  <c r="AI82" i="9"/>
  <c r="AN81" i="9"/>
  <c r="D23" i="21"/>
  <c r="B105" i="28"/>
  <c r="C188" i="31"/>
  <c r="C193" i="31" s="1"/>
  <c r="BG63" i="9"/>
  <c r="BH63" i="9" s="1"/>
  <c r="DQ12" i="9"/>
  <c r="D108" i="22"/>
  <c r="C29" i="3"/>
  <c r="D29" i="3" s="1"/>
  <c r="C187" i="17"/>
  <c r="Q81" i="9"/>
  <c r="R81" i="9" s="1"/>
  <c r="V81" i="9"/>
  <c r="I152" i="9"/>
  <c r="G153" i="9"/>
  <c r="AW153" i="9" s="1"/>
  <c r="AX152" i="9"/>
  <c r="L152" i="9"/>
  <c r="H238" i="9"/>
  <c r="C238" i="9"/>
  <c r="AR238" i="9"/>
  <c r="E155" i="25"/>
  <c r="AJ254" i="9"/>
  <c r="AE254" i="9"/>
  <c r="AF254" i="9" s="1"/>
  <c r="S255" i="9"/>
  <c r="P255" i="9" s="1"/>
  <c r="T254" i="9"/>
  <c r="AG170" i="9"/>
  <c r="AD170" i="9" s="1"/>
  <c r="AH169" i="9"/>
  <c r="T168" i="9"/>
  <c r="S169" i="9"/>
  <c r="P169" i="9" s="1"/>
  <c r="D152" i="9"/>
  <c r="AT152" i="9" s="1"/>
  <c r="AS152" i="9"/>
  <c r="E187" i="18"/>
  <c r="C66" i="9"/>
  <c r="H66" i="9"/>
  <c r="AR66" i="9"/>
  <c r="G27" i="3"/>
  <c r="H27" i="3" s="1"/>
  <c r="I94" i="22"/>
  <c r="E116" i="25" l="1"/>
  <c r="E190" i="18"/>
  <c r="Z81" i="9"/>
  <c r="W81" i="9"/>
  <c r="X81" i="9" s="1"/>
  <c r="U82" i="9"/>
  <c r="D66" i="9"/>
  <c r="AT66" i="9" s="1"/>
  <c r="AS66" i="9"/>
  <c r="AE170" i="9"/>
  <c r="AF170" i="9" s="1"/>
  <c r="AJ170" i="9"/>
  <c r="AI255" i="9"/>
  <c r="AK254" i="9"/>
  <c r="AL254" i="9" s="1"/>
  <c r="AN254" i="9"/>
  <c r="AS238" i="9"/>
  <c r="D238" i="9"/>
  <c r="AT238" i="9" s="1"/>
  <c r="F49" i="26"/>
  <c r="D24" i="21"/>
  <c r="R92" i="18"/>
  <c r="E5" i="4" s="1"/>
  <c r="Q169" i="9"/>
  <c r="R169" i="9" s="1"/>
  <c r="V169" i="9"/>
  <c r="I238" i="9"/>
  <c r="G239" i="9"/>
  <c r="AW239" i="9" s="1"/>
  <c r="L238" i="9"/>
  <c r="AX238" i="9"/>
  <c r="AY152" i="9"/>
  <c r="J152" i="9"/>
  <c r="AZ152" i="9" s="1"/>
  <c r="AG82" i="9"/>
  <c r="AD82" i="9" s="1"/>
  <c r="AH81" i="9"/>
  <c r="Q255" i="9"/>
  <c r="R255" i="9" s="1"/>
  <c r="V255" i="9"/>
  <c r="F152" i="9"/>
  <c r="AV152" i="9" s="1"/>
  <c r="BB152" i="9"/>
  <c r="E153" i="9"/>
  <c r="C10" i="31"/>
  <c r="C11" i="31"/>
  <c r="C194" i="31"/>
  <c r="I66" i="9"/>
  <c r="G67" i="9"/>
  <c r="AW67" i="9" s="1"/>
  <c r="L66" i="9"/>
  <c r="AX66" i="9"/>
  <c r="D111" i="22"/>
  <c r="L105" i="28"/>
  <c r="L109" i="28" s="1"/>
  <c r="L113" i="28" s="1"/>
  <c r="B114" i="28" s="1"/>
  <c r="M105" i="28"/>
  <c r="M109" i="28" s="1"/>
  <c r="I105" i="28"/>
  <c r="I109" i="28" s="1"/>
  <c r="I113" i="28" s="1"/>
  <c r="B113" i="28" s="1"/>
  <c r="J105" i="28"/>
  <c r="J109" i="28" s="1"/>
  <c r="C18" i="29" l="1"/>
  <c r="B111" i="28"/>
  <c r="AU153" i="9"/>
  <c r="B153" i="9"/>
  <c r="F66" i="9"/>
  <c r="AV66" i="9" s="1"/>
  <c r="E67" i="9"/>
  <c r="BB66" i="9"/>
  <c r="AJ82" i="9"/>
  <c r="AE82" i="9"/>
  <c r="AF82" i="9" s="1"/>
  <c r="W169" i="9"/>
  <c r="X169" i="9" s="1"/>
  <c r="U170" i="9"/>
  <c r="Z169" i="9"/>
  <c r="C146" i="31"/>
  <c r="C141" i="31" s="1"/>
  <c r="H46" i="26"/>
  <c r="H47" i="26"/>
  <c r="D144" i="31" s="1"/>
  <c r="H48" i="26"/>
  <c r="D145" i="31" s="1"/>
  <c r="F44" i="26"/>
  <c r="F68" i="26" s="1"/>
  <c r="BK63" i="9"/>
  <c r="DQ14" i="9"/>
  <c r="S82" i="9"/>
  <c r="P82" i="9" s="1"/>
  <c r="T81" i="9"/>
  <c r="D114" i="22"/>
  <c r="AI171" i="9"/>
  <c r="AK170" i="9"/>
  <c r="AL170" i="9" s="1"/>
  <c r="AN170" i="9"/>
  <c r="BI64" i="9"/>
  <c r="BJ64" i="9" s="1"/>
  <c r="DR13" i="9"/>
  <c r="Z255" i="9"/>
  <c r="U256" i="9"/>
  <c r="W255" i="9"/>
  <c r="X255" i="9" s="1"/>
  <c r="BB238" i="9"/>
  <c r="F238" i="9"/>
  <c r="AV238" i="9" s="1"/>
  <c r="E239" i="9"/>
  <c r="AY66" i="9"/>
  <c r="J66" i="9"/>
  <c r="AZ66" i="9" s="1"/>
  <c r="E119" i="25"/>
  <c r="I30" i="3"/>
  <c r="E227" i="18"/>
  <c r="C195" i="31"/>
  <c r="C196" i="31" s="1"/>
  <c r="AY238" i="9"/>
  <c r="J238" i="9"/>
  <c r="AZ238" i="9" s="1"/>
  <c r="AH254" i="9"/>
  <c r="AG255" i="9"/>
  <c r="AD255" i="9" s="1"/>
  <c r="D116" i="22" l="1"/>
  <c r="DQ17" i="9"/>
  <c r="BM63" i="9"/>
  <c r="V82" i="9"/>
  <c r="Q82" i="9"/>
  <c r="R82" i="9" s="1"/>
  <c r="S170" i="9"/>
  <c r="P170" i="9" s="1"/>
  <c r="T169" i="9"/>
  <c r="AK82" i="9"/>
  <c r="AL82" i="9" s="1"/>
  <c r="AI83" i="9"/>
  <c r="AN82" i="9"/>
  <c r="C153" i="9"/>
  <c r="AR153" i="9"/>
  <c r="H153" i="9"/>
  <c r="AU239" i="9"/>
  <c r="B239" i="9"/>
  <c r="AG171" i="9"/>
  <c r="AD171" i="9" s="1"/>
  <c r="AH170" i="9"/>
  <c r="B67" i="9"/>
  <c r="AU67" i="9"/>
  <c r="E156" i="25"/>
  <c r="E229" i="18"/>
  <c r="DQ16" i="9"/>
  <c r="BL63" i="9"/>
  <c r="D143" i="31"/>
  <c r="AJ255" i="9"/>
  <c r="AE255" i="9"/>
  <c r="AF255" i="9" s="1"/>
  <c r="T255" i="9"/>
  <c r="S256" i="9"/>
  <c r="P256" i="9" s="1"/>
  <c r="G62" i="26"/>
  <c r="G48" i="26"/>
  <c r="E4" i="4"/>
  <c r="G54" i="26"/>
  <c r="G58" i="26"/>
  <c r="G53" i="26"/>
  <c r="G59" i="26"/>
  <c r="G50" i="26"/>
  <c r="G60" i="26"/>
  <c r="G45" i="26"/>
  <c r="G47" i="26"/>
  <c r="G61" i="26"/>
  <c r="G66" i="26"/>
  <c r="G67" i="26"/>
  <c r="G55" i="26"/>
  <c r="G44" i="26"/>
  <c r="G64" i="26"/>
  <c r="G57" i="26"/>
  <c r="G52" i="26"/>
  <c r="G51" i="26"/>
  <c r="G56" i="26"/>
  <c r="G65" i="26"/>
  <c r="G63" i="26"/>
  <c r="G49" i="26"/>
  <c r="G46" i="26"/>
  <c r="C172" i="31"/>
  <c r="C165" i="31"/>
  <c r="C49" i="31"/>
  <c r="AJ171" i="9" l="1"/>
  <c r="AE171" i="9"/>
  <c r="AF171" i="9" s="1"/>
  <c r="AN255" i="9"/>
  <c r="AK255" i="9"/>
  <c r="AL255" i="9" s="1"/>
  <c r="AI256" i="9"/>
  <c r="C67" i="9"/>
  <c r="H67" i="9"/>
  <c r="AR67" i="9"/>
  <c r="AG83" i="9"/>
  <c r="AD83" i="9" s="1"/>
  <c r="AH82" i="9"/>
  <c r="V170" i="9"/>
  <c r="Q170" i="9"/>
  <c r="R170" i="9" s="1"/>
  <c r="DQ18" i="9"/>
  <c r="V256" i="9"/>
  <c r="Q256" i="9"/>
  <c r="R256" i="9" s="1"/>
  <c r="E241" i="18"/>
  <c r="E158" i="25"/>
  <c r="E252" i="18"/>
  <c r="E240" i="18"/>
  <c r="AX153" i="9"/>
  <c r="I153" i="9"/>
  <c r="G154" i="9"/>
  <c r="AW154" i="9" s="1"/>
  <c r="L153" i="9"/>
  <c r="Z82" i="9"/>
  <c r="U83" i="9"/>
  <c r="W82" i="9"/>
  <c r="X82" i="9" s="1"/>
  <c r="C82" i="31"/>
  <c r="C54" i="31"/>
  <c r="C55" i="31" s="1"/>
  <c r="C12" i="31" s="1"/>
  <c r="C75" i="31"/>
  <c r="C46" i="31"/>
  <c r="C47" i="31" s="1"/>
  <c r="C86" i="31"/>
  <c r="C9" i="31" s="1"/>
  <c r="C62" i="31"/>
  <c r="C173" i="31"/>
  <c r="C74" i="31" s="1"/>
  <c r="C96" i="31"/>
  <c r="C56" i="31"/>
  <c r="BG64" i="9"/>
  <c r="BH64" i="9" s="1"/>
  <c r="DR12" i="9"/>
  <c r="C239" i="9"/>
  <c r="H239" i="9"/>
  <c r="AR239" i="9"/>
  <c r="AS153" i="9"/>
  <c r="D153" i="9"/>
  <c r="AT153" i="9" s="1"/>
  <c r="E154" i="9" l="1"/>
  <c r="BB153" i="9"/>
  <c r="F153" i="9"/>
  <c r="AV153" i="9" s="1"/>
  <c r="E230" i="18"/>
  <c r="E243" i="18"/>
  <c r="E231" i="18"/>
  <c r="D239" i="9"/>
  <c r="AT239" i="9" s="1"/>
  <c r="AS239" i="9"/>
  <c r="AY153" i="9"/>
  <c r="J153" i="9"/>
  <c r="AZ153" i="9" s="1"/>
  <c r="L239" i="9"/>
  <c r="G240" i="9"/>
  <c r="AW240" i="9" s="1"/>
  <c r="AX239" i="9"/>
  <c r="I239" i="9"/>
  <c r="E253" i="18"/>
  <c r="E254" i="18" s="1"/>
  <c r="E103" i="22"/>
  <c r="U171" i="9"/>
  <c r="W170" i="9"/>
  <c r="X170" i="9" s="1"/>
  <c r="Z170" i="9"/>
  <c r="G68" i="9"/>
  <c r="AW68" i="9" s="1"/>
  <c r="L67" i="9"/>
  <c r="I67" i="9"/>
  <c r="AX67" i="9"/>
  <c r="AH255" i="9"/>
  <c r="AG256" i="9"/>
  <c r="AD256" i="9" s="1"/>
  <c r="T82" i="9"/>
  <c r="S83" i="9"/>
  <c r="P83" i="9" s="1"/>
  <c r="Z256" i="9"/>
  <c r="W256" i="9"/>
  <c r="X256" i="9" s="1"/>
  <c r="U257" i="9"/>
  <c r="AS67" i="9"/>
  <c r="D67" i="9"/>
  <c r="AT67" i="9" s="1"/>
  <c r="AE83" i="9"/>
  <c r="AF83" i="9" s="1"/>
  <c r="AJ83" i="9"/>
  <c r="AI172" i="9"/>
  <c r="AK171" i="9"/>
  <c r="AL171" i="9" s="1"/>
  <c r="AN171" i="9"/>
  <c r="F187" i="18" l="1"/>
  <c r="DS13" i="9"/>
  <c r="BI65" i="9"/>
  <c r="BJ65" i="9" s="1"/>
  <c r="AY239" i="9"/>
  <c r="J239" i="9"/>
  <c r="AZ239" i="9" s="1"/>
  <c r="E159" i="25"/>
  <c r="F226" i="18"/>
  <c r="E232" i="18"/>
  <c r="E161" i="25" s="1"/>
  <c r="E242" i="18"/>
  <c r="S257" i="9"/>
  <c r="P257" i="9" s="1"/>
  <c r="T256" i="9"/>
  <c r="DR14" i="9"/>
  <c r="BK64" i="9"/>
  <c r="Q83" i="9"/>
  <c r="R83" i="9" s="1"/>
  <c r="V83" i="9"/>
  <c r="T170" i="9"/>
  <c r="S171" i="9"/>
  <c r="P171" i="9" s="1"/>
  <c r="E104" i="22"/>
  <c r="K30" i="3"/>
  <c r="L30" i="3" s="1"/>
  <c r="E160" i="25"/>
  <c r="AK83" i="9"/>
  <c r="AL83" i="9" s="1"/>
  <c r="AI84" i="9"/>
  <c r="AN83" i="9"/>
  <c r="AY67" i="9"/>
  <c r="J67" i="9"/>
  <c r="AZ67" i="9" s="1"/>
  <c r="AG172" i="9"/>
  <c r="AD172" i="9" s="1"/>
  <c r="AH171" i="9"/>
  <c r="AE256" i="9"/>
  <c r="AF256" i="9" s="1"/>
  <c r="AJ256" i="9"/>
  <c r="F67" i="9"/>
  <c r="AV67" i="9" s="1"/>
  <c r="BB67" i="9"/>
  <c r="E68" i="9"/>
  <c r="E240" i="9"/>
  <c r="BB239" i="9"/>
  <c r="F239" i="9"/>
  <c r="AV239" i="9" s="1"/>
  <c r="AU154" i="9"/>
  <c r="B154" i="9"/>
  <c r="AN256" i="9" l="1"/>
  <c r="AK256" i="9"/>
  <c r="AL256" i="9" s="1"/>
  <c r="AI257" i="9"/>
  <c r="F221" i="18"/>
  <c r="Z83" i="9"/>
  <c r="W83" i="9"/>
  <c r="X83" i="9" s="1"/>
  <c r="U84" i="9"/>
  <c r="AG84" i="9"/>
  <c r="AD84" i="9" s="1"/>
  <c r="AH83" i="9"/>
  <c r="Q171" i="9"/>
  <c r="R171" i="9" s="1"/>
  <c r="V171" i="9"/>
  <c r="AR154" i="9"/>
  <c r="C154" i="9"/>
  <c r="H154" i="9"/>
  <c r="B240" i="9"/>
  <c r="AU240" i="9"/>
  <c r="AJ172" i="9"/>
  <c r="AE172" i="9"/>
  <c r="AF172" i="9" s="1"/>
  <c r="BM64" i="9"/>
  <c r="DR17" i="9"/>
  <c r="AU68" i="9"/>
  <c r="B68" i="9"/>
  <c r="DR16" i="9"/>
  <c r="BL64" i="9"/>
  <c r="E108" i="22"/>
  <c r="C30" i="3"/>
  <c r="D30" i="3" s="1"/>
  <c r="D187" i="17"/>
  <c r="V257" i="9"/>
  <c r="Q257" i="9"/>
  <c r="R257" i="9" s="1"/>
  <c r="F155" i="25"/>
  <c r="F116" i="25"/>
  <c r="F190" i="18"/>
  <c r="Z257" i="9" l="1"/>
  <c r="U258" i="9"/>
  <c r="W257" i="9"/>
  <c r="X257" i="9" s="1"/>
  <c r="AR240" i="9"/>
  <c r="C240" i="9"/>
  <c r="H240" i="9"/>
  <c r="W171" i="9"/>
  <c r="X171" i="9" s="1"/>
  <c r="U172" i="9"/>
  <c r="Z171" i="9"/>
  <c r="F115" i="22"/>
  <c r="F150" i="25"/>
  <c r="F224" i="18"/>
  <c r="E111" i="22"/>
  <c r="I31" i="3"/>
  <c r="F119" i="25"/>
  <c r="AR68" i="9"/>
  <c r="C68" i="9"/>
  <c r="H68" i="9"/>
  <c r="L154" i="9"/>
  <c r="I154" i="9"/>
  <c r="G155" i="9"/>
  <c r="AW155" i="9" s="1"/>
  <c r="AX154" i="9"/>
  <c r="BG65" i="9"/>
  <c r="BH65" i="9" s="1"/>
  <c r="DS12" i="9"/>
  <c r="AI173" i="9"/>
  <c r="AI174" i="9" s="1"/>
  <c r="AK172" i="9"/>
  <c r="AL172" i="9" s="1"/>
  <c r="AN172" i="9"/>
  <c r="AS154" i="9"/>
  <c r="D154" i="9"/>
  <c r="AT154" i="9" s="1"/>
  <c r="S84" i="9"/>
  <c r="P84" i="9" s="1"/>
  <c r="T83" i="9"/>
  <c r="DR18" i="9"/>
  <c r="AJ84" i="9"/>
  <c r="AE84" i="9"/>
  <c r="AF84" i="9" s="1"/>
  <c r="AG257" i="9"/>
  <c r="AD257" i="9" s="1"/>
  <c r="AH256" i="9"/>
  <c r="AX68" i="9" l="1"/>
  <c r="G69" i="9"/>
  <c r="AW69" i="9" s="1"/>
  <c r="L68" i="9"/>
  <c r="I68" i="9"/>
  <c r="AS240" i="9"/>
  <c r="D240" i="9"/>
  <c r="AT240" i="9" s="1"/>
  <c r="AN84" i="9"/>
  <c r="AI85" i="9"/>
  <c r="AK84" i="9"/>
  <c r="AL84" i="9" s="1"/>
  <c r="F153" i="25"/>
  <c r="J31" i="3"/>
  <c r="AY154" i="9"/>
  <c r="J154" i="9"/>
  <c r="AZ154" i="9" s="1"/>
  <c r="AE257" i="9"/>
  <c r="AF257" i="9" s="1"/>
  <c r="AJ257" i="9"/>
  <c r="AH172" i="9"/>
  <c r="AG173" i="9"/>
  <c r="E155" i="9"/>
  <c r="F154" i="9"/>
  <c r="AV154" i="9" s="1"/>
  <c r="BB154" i="9"/>
  <c r="E114" i="22"/>
  <c r="E188" i="17"/>
  <c r="I115" i="22"/>
  <c r="G241" i="9"/>
  <c r="AW241" i="9" s="1"/>
  <c r="I240" i="9"/>
  <c r="AX240" i="9"/>
  <c r="L240" i="9"/>
  <c r="Q84" i="9"/>
  <c r="R84" i="9" s="1"/>
  <c r="V84" i="9"/>
  <c r="T171" i="9"/>
  <c r="S172" i="9"/>
  <c r="P172" i="9" s="1"/>
  <c r="AS68" i="9"/>
  <c r="D68" i="9"/>
  <c r="AT68" i="9" s="1"/>
  <c r="F227" i="18"/>
  <c r="S258" i="9"/>
  <c r="P258" i="9" s="1"/>
  <c r="T257" i="9"/>
  <c r="V258" i="9" l="1"/>
  <c r="Q258" i="9"/>
  <c r="R258" i="9" s="1"/>
  <c r="F156" i="25"/>
  <c r="F229" i="18"/>
  <c r="F240" i="9"/>
  <c r="AV240" i="9" s="1"/>
  <c r="BB240" i="9"/>
  <c r="E241" i="9"/>
  <c r="AY68" i="9"/>
  <c r="J68" i="9"/>
  <c r="AZ68" i="9" s="1"/>
  <c r="DS14" i="9"/>
  <c r="BK65" i="9"/>
  <c r="AY240" i="9"/>
  <c r="J240" i="9"/>
  <c r="AZ240" i="9" s="1"/>
  <c r="BI66" i="9"/>
  <c r="BJ66" i="9" s="1"/>
  <c r="DT13" i="9"/>
  <c r="AN257" i="9"/>
  <c r="AK257" i="9"/>
  <c r="AL257" i="9" s="1"/>
  <c r="AI258" i="9"/>
  <c r="AG85" i="9"/>
  <c r="AD85" i="9" s="1"/>
  <c r="AH84" i="9"/>
  <c r="E69" i="9"/>
  <c r="BB68" i="9"/>
  <c r="F68" i="9"/>
  <c r="AV68" i="9" s="1"/>
  <c r="U85" i="9"/>
  <c r="W84" i="9"/>
  <c r="X84" i="9" s="1"/>
  <c r="Z84" i="9"/>
  <c r="AU155" i="9"/>
  <c r="B155" i="9"/>
  <c r="Q172" i="9"/>
  <c r="R172" i="9" s="1"/>
  <c r="V172" i="9"/>
  <c r="E116" i="22"/>
  <c r="AD173" i="9"/>
  <c r="AG174" i="9"/>
  <c r="AD174" i="9" l="1"/>
  <c r="AO102" i="9"/>
  <c r="AO103" i="9" s="1"/>
  <c r="AO104" i="9" s="1"/>
  <c r="AO105" i="9" s="1"/>
  <c r="AO106" i="9" s="1"/>
  <c r="AO107" i="9" s="1"/>
  <c r="AO108" i="9" s="1"/>
  <c r="AO109" i="9" s="1"/>
  <c r="AO110" i="9" s="1"/>
  <c r="AO111" i="9" s="1"/>
  <c r="AO112" i="9" s="1"/>
  <c r="AO113" i="9" s="1"/>
  <c r="AO114" i="9" s="1"/>
  <c r="AO115" i="9" s="1"/>
  <c r="AO116" i="9" s="1"/>
  <c r="AO117" i="9" s="1"/>
  <c r="AO118" i="9" s="1"/>
  <c r="AO119" i="9" s="1"/>
  <c r="AO120" i="9" s="1"/>
  <c r="AO121" i="9" s="1"/>
  <c r="AO122" i="9" s="1"/>
  <c r="AO123" i="9" s="1"/>
  <c r="AO124" i="9" s="1"/>
  <c r="AO125" i="9" s="1"/>
  <c r="AO126" i="9" s="1"/>
  <c r="AO127" i="9" s="1"/>
  <c r="AO128" i="9" s="1"/>
  <c r="AO129" i="9" s="1"/>
  <c r="AO130" i="9" s="1"/>
  <c r="AO131" i="9" s="1"/>
  <c r="AO132" i="9" s="1"/>
  <c r="AO133" i="9" s="1"/>
  <c r="AO134" i="9" s="1"/>
  <c r="AO135" i="9" s="1"/>
  <c r="AO136" i="9" s="1"/>
  <c r="AO137" i="9" s="1"/>
  <c r="AO138" i="9" s="1"/>
  <c r="AO139" i="9" s="1"/>
  <c r="AO140" i="9" s="1"/>
  <c r="AO141" i="9" s="1"/>
  <c r="AO142" i="9" s="1"/>
  <c r="AO143" i="9" s="1"/>
  <c r="AO144" i="9" s="1"/>
  <c r="AO145" i="9" s="1"/>
  <c r="AO146" i="9" s="1"/>
  <c r="AO147" i="9" s="1"/>
  <c r="AO148" i="9" s="1"/>
  <c r="AO149" i="9" s="1"/>
  <c r="AO150" i="9" s="1"/>
  <c r="AO151" i="9" s="1"/>
  <c r="AO152" i="9" s="1"/>
  <c r="AO153" i="9" s="1"/>
  <c r="AO154" i="9" s="1"/>
  <c r="AO155" i="9" s="1"/>
  <c r="AO156" i="9" s="1"/>
  <c r="AO157" i="9" s="1"/>
  <c r="AO158" i="9" s="1"/>
  <c r="AO159" i="9" s="1"/>
  <c r="AO160" i="9" s="1"/>
  <c r="AO161" i="9" s="1"/>
  <c r="AO162" i="9" s="1"/>
  <c r="AO163" i="9" s="1"/>
  <c r="AO164" i="9" s="1"/>
  <c r="AO165" i="9" s="1"/>
  <c r="AO166" i="9" s="1"/>
  <c r="AO167" i="9" s="1"/>
  <c r="AO168" i="9" s="1"/>
  <c r="AO169" i="9" s="1"/>
  <c r="AO170" i="9" s="1"/>
  <c r="AO171" i="9" s="1"/>
  <c r="AO172" i="9" s="1"/>
  <c r="AO173" i="9" s="1"/>
  <c r="U173" i="9"/>
  <c r="U174" i="9" s="1"/>
  <c r="W172" i="9"/>
  <c r="X172" i="9" s="1"/>
  <c r="Z172" i="9"/>
  <c r="T84" i="9"/>
  <c r="S85" i="9"/>
  <c r="P85" i="9" s="1"/>
  <c r="F158" i="25"/>
  <c r="F240" i="18"/>
  <c r="F241" i="18"/>
  <c r="F252" i="18"/>
  <c r="C155" i="9"/>
  <c r="AR155" i="9"/>
  <c r="H155" i="9"/>
  <c r="AJ173" i="9"/>
  <c r="AE173" i="9"/>
  <c r="AU69" i="9"/>
  <c r="B69" i="9"/>
  <c r="AU241" i="9"/>
  <c r="B241" i="9"/>
  <c r="AH257" i="9"/>
  <c r="AG258" i="9"/>
  <c r="AD258" i="9" s="1"/>
  <c r="DS17" i="9"/>
  <c r="BM65" i="9"/>
  <c r="AE85" i="9"/>
  <c r="AF85" i="9" s="1"/>
  <c r="AJ85" i="9"/>
  <c r="DS16" i="9"/>
  <c r="BL65" i="9"/>
  <c r="W258" i="9"/>
  <c r="X258" i="9" s="1"/>
  <c r="U259" i="9"/>
  <c r="U260" i="9" s="1"/>
  <c r="Z258" i="9"/>
  <c r="DT12" i="9" l="1"/>
  <c r="BG66" i="9"/>
  <c r="BH66" i="9" s="1"/>
  <c r="DS18" i="9"/>
  <c r="AK173" i="9"/>
  <c r="AL173" i="9" s="1"/>
  <c r="AN173" i="9"/>
  <c r="AH173" i="9" s="1"/>
  <c r="F253" i="18"/>
  <c r="F254" i="18" s="1"/>
  <c r="F103" i="22"/>
  <c r="T258" i="9"/>
  <c r="S259" i="9"/>
  <c r="AJ258" i="9"/>
  <c r="AE258" i="9"/>
  <c r="AF258" i="9" s="1"/>
  <c r="C69" i="9"/>
  <c r="H69" i="9"/>
  <c r="AR69" i="9"/>
  <c r="AX155" i="9"/>
  <c r="I155" i="9"/>
  <c r="G156" i="9"/>
  <c r="AW156" i="9" s="1"/>
  <c r="L155" i="9"/>
  <c r="F231" i="18"/>
  <c r="V85" i="9"/>
  <c r="Q85" i="9"/>
  <c r="R85" i="9" s="1"/>
  <c r="AK85" i="9"/>
  <c r="AL85" i="9" s="1"/>
  <c r="AI86" i="9"/>
  <c r="AN85" i="9"/>
  <c r="AR241" i="9"/>
  <c r="C241" i="9"/>
  <c r="H241" i="9"/>
  <c r="AF173" i="9"/>
  <c r="AE174" i="9"/>
  <c r="D155" i="9"/>
  <c r="AT155" i="9" s="1"/>
  <c r="AS155" i="9"/>
  <c r="F230" i="18"/>
  <c r="F243" i="18"/>
  <c r="S173" i="9"/>
  <c r="T172" i="9"/>
  <c r="G187" i="18" l="1"/>
  <c r="P173" i="9"/>
  <c r="S174" i="9"/>
  <c r="G242" i="9"/>
  <c r="AW242" i="9" s="1"/>
  <c r="L241" i="9"/>
  <c r="AX241" i="9"/>
  <c r="I241" i="9"/>
  <c r="E156" i="9"/>
  <c r="BB155" i="9"/>
  <c r="F155" i="9"/>
  <c r="AV155" i="9" s="1"/>
  <c r="AK258" i="9"/>
  <c r="AL258" i="9" s="1"/>
  <c r="AI259" i="9"/>
  <c r="AI260" i="9" s="1"/>
  <c r="AN258" i="9"/>
  <c r="AY155" i="9"/>
  <c r="J155" i="9"/>
  <c r="AZ155" i="9" s="1"/>
  <c r="F159" i="25"/>
  <c r="G226" i="18"/>
  <c r="AG86" i="9"/>
  <c r="AD86" i="9" s="1"/>
  <c r="AH85" i="9"/>
  <c r="W85" i="9"/>
  <c r="X85" i="9" s="1"/>
  <c r="U86" i="9"/>
  <c r="Z85" i="9"/>
  <c r="I69" i="9"/>
  <c r="AX69" i="9"/>
  <c r="L69" i="9"/>
  <c r="G70" i="9"/>
  <c r="AW70" i="9" s="1"/>
  <c r="P259" i="9"/>
  <c r="S260" i="9"/>
  <c r="F104" i="22"/>
  <c r="D69" i="9"/>
  <c r="AT69" i="9" s="1"/>
  <c r="AS69" i="9"/>
  <c r="F232" i="18"/>
  <c r="F161" i="25" s="1"/>
  <c r="AS241" i="9"/>
  <c r="D241" i="9"/>
  <c r="AT241" i="9" s="1"/>
  <c r="K31" i="3"/>
  <c r="L31" i="3" s="1"/>
  <c r="F160" i="25"/>
  <c r="DT14" i="9" l="1"/>
  <c r="BK66" i="9"/>
  <c r="S86" i="9"/>
  <c r="P86" i="9" s="1"/>
  <c r="T85" i="9"/>
  <c r="AY241" i="9"/>
  <c r="J241" i="9"/>
  <c r="AZ241" i="9" s="1"/>
  <c r="AA102" i="9"/>
  <c r="AA103" i="9" s="1"/>
  <c r="AA104" i="9" s="1"/>
  <c r="AA105" i="9" s="1"/>
  <c r="AA106" i="9" s="1"/>
  <c r="AA107" i="9" s="1"/>
  <c r="AA108" i="9" s="1"/>
  <c r="AA109" i="9" s="1"/>
  <c r="AA110" i="9" s="1"/>
  <c r="AA111" i="9" s="1"/>
  <c r="AA112" i="9" s="1"/>
  <c r="AA113" i="9" s="1"/>
  <c r="AA114" i="9" s="1"/>
  <c r="AA115" i="9" s="1"/>
  <c r="AA116" i="9" s="1"/>
  <c r="AA117" i="9" s="1"/>
  <c r="AA118" i="9" s="1"/>
  <c r="AA119" i="9" s="1"/>
  <c r="AA120" i="9" s="1"/>
  <c r="AA121" i="9" s="1"/>
  <c r="AA122" i="9" s="1"/>
  <c r="AA123" i="9" s="1"/>
  <c r="AA124" i="9" s="1"/>
  <c r="AA125" i="9" s="1"/>
  <c r="AA126" i="9" s="1"/>
  <c r="AA127" i="9" s="1"/>
  <c r="AA128" i="9" s="1"/>
  <c r="AA129" i="9" s="1"/>
  <c r="AA130" i="9" s="1"/>
  <c r="AA131" i="9" s="1"/>
  <c r="AA132" i="9" s="1"/>
  <c r="AA133" i="9" s="1"/>
  <c r="AA134" i="9" s="1"/>
  <c r="AA135" i="9" s="1"/>
  <c r="AA136" i="9" s="1"/>
  <c r="AA137" i="9" s="1"/>
  <c r="AA138" i="9" s="1"/>
  <c r="AA139" i="9" s="1"/>
  <c r="AA140" i="9" s="1"/>
  <c r="AA141" i="9" s="1"/>
  <c r="AA142" i="9" s="1"/>
  <c r="AA143" i="9" s="1"/>
  <c r="AA144" i="9" s="1"/>
  <c r="AA145" i="9" s="1"/>
  <c r="AA146" i="9" s="1"/>
  <c r="AA147" i="9" s="1"/>
  <c r="AA148" i="9" s="1"/>
  <c r="AA149" i="9" s="1"/>
  <c r="AA150" i="9" s="1"/>
  <c r="AA151" i="9" s="1"/>
  <c r="AA152" i="9" s="1"/>
  <c r="AA153" i="9" s="1"/>
  <c r="AA154" i="9" s="1"/>
  <c r="AA155" i="9" s="1"/>
  <c r="AA156" i="9" s="1"/>
  <c r="AA157" i="9" s="1"/>
  <c r="AA158" i="9" s="1"/>
  <c r="AA159" i="9" s="1"/>
  <c r="AA160" i="9" s="1"/>
  <c r="AA161" i="9" s="1"/>
  <c r="AA162" i="9" s="1"/>
  <c r="AA163" i="9" s="1"/>
  <c r="AA164" i="9" s="1"/>
  <c r="AA165" i="9" s="1"/>
  <c r="AA166" i="9" s="1"/>
  <c r="AA167" i="9" s="1"/>
  <c r="AA168" i="9" s="1"/>
  <c r="AA169" i="9" s="1"/>
  <c r="AA170" i="9" s="1"/>
  <c r="AA171" i="9" s="1"/>
  <c r="AA172" i="9" s="1"/>
  <c r="AA173" i="9" s="1"/>
  <c r="P174" i="9"/>
  <c r="DU13" i="9"/>
  <c r="BI67" i="9"/>
  <c r="BJ67" i="9" s="1"/>
  <c r="AE86" i="9"/>
  <c r="AF86" i="9" s="1"/>
  <c r="AJ86" i="9"/>
  <c r="E187" i="17"/>
  <c r="C31" i="3"/>
  <c r="D31" i="3" s="1"/>
  <c r="F108" i="22"/>
  <c r="E70" i="9"/>
  <c r="F69" i="9"/>
  <c r="AV69" i="9" s="1"/>
  <c r="BB69" i="9"/>
  <c r="G155" i="25"/>
  <c r="Q173" i="9"/>
  <c r="V173" i="9"/>
  <c r="AA188" i="9"/>
  <c r="AA189" i="9" s="1"/>
  <c r="AA190" i="9" s="1"/>
  <c r="AA191" i="9" s="1"/>
  <c r="AA192" i="9" s="1"/>
  <c r="AA193" i="9" s="1"/>
  <c r="AA194" i="9" s="1"/>
  <c r="AA195" i="9" s="1"/>
  <c r="AA196" i="9" s="1"/>
  <c r="AA197" i="9" s="1"/>
  <c r="AA198" i="9" s="1"/>
  <c r="AA199" i="9" s="1"/>
  <c r="AA200" i="9" s="1"/>
  <c r="AA201" i="9" s="1"/>
  <c r="AA202" i="9" s="1"/>
  <c r="AA203" i="9" s="1"/>
  <c r="AA204" i="9" s="1"/>
  <c r="AA205" i="9" s="1"/>
  <c r="AA206" i="9" s="1"/>
  <c r="AA207" i="9" s="1"/>
  <c r="AA208" i="9" s="1"/>
  <c r="AA209" i="9" s="1"/>
  <c r="AA210" i="9" s="1"/>
  <c r="AA211" i="9" s="1"/>
  <c r="AA212" i="9" s="1"/>
  <c r="AA213" i="9" s="1"/>
  <c r="AA214" i="9" s="1"/>
  <c r="AA215" i="9" s="1"/>
  <c r="AA216" i="9" s="1"/>
  <c r="AA217" i="9" s="1"/>
  <c r="AA218" i="9" s="1"/>
  <c r="AA219" i="9" s="1"/>
  <c r="AA220" i="9" s="1"/>
  <c r="AA221" i="9" s="1"/>
  <c r="AA222" i="9" s="1"/>
  <c r="AA223" i="9" s="1"/>
  <c r="AA224" i="9" s="1"/>
  <c r="AA225" i="9" s="1"/>
  <c r="AA226" i="9" s="1"/>
  <c r="AA227" i="9" s="1"/>
  <c r="AA228" i="9" s="1"/>
  <c r="AA229" i="9" s="1"/>
  <c r="AA230" i="9" s="1"/>
  <c r="AA231" i="9" s="1"/>
  <c r="AA232" i="9" s="1"/>
  <c r="AA233" i="9" s="1"/>
  <c r="AA234" i="9" s="1"/>
  <c r="AA235" i="9" s="1"/>
  <c r="AA236" i="9" s="1"/>
  <c r="AA237" i="9" s="1"/>
  <c r="AA238" i="9" s="1"/>
  <c r="AA239" i="9" s="1"/>
  <c r="AA240" i="9" s="1"/>
  <c r="AA241" i="9" s="1"/>
  <c r="AA242" i="9" s="1"/>
  <c r="AA243" i="9" s="1"/>
  <c r="AA244" i="9" s="1"/>
  <c r="AA245" i="9" s="1"/>
  <c r="AA246" i="9" s="1"/>
  <c r="AA247" i="9" s="1"/>
  <c r="AA248" i="9" s="1"/>
  <c r="AA249" i="9" s="1"/>
  <c r="AA250" i="9" s="1"/>
  <c r="AA251" i="9" s="1"/>
  <c r="AA252" i="9" s="1"/>
  <c r="AA253" i="9" s="1"/>
  <c r="AA254" i="9" s="1"/>
  <c r="AA255" i="9" s="1"/>
  <c r="AA256" i="9" s="1"/>
  <c r="AA257" i="9" s="1"/>
  <c r="AA258" i="9" s="1"/>
  <c r="AA259" i="9" s="1"/>
  <c r="P260" i="9"/>
  <c r="AH258" i="9"/>
  <c r="AG259" i="9"/>
  <c r="BB241" i="9"/>
  <c r="F241" i="9"/>
  <c r="AV241" i="9" s="1"/>
  <c r="E242" i="9"/>
  <c r="Q259" i="9"/>
  <c r="V259" i="9"/>
  <c r="AY69" i="9"/>
  <c r="J69" i="9"/>
  <c r="AZ69" i="9" s="1"/>
  <c r="AU156" i="9"/>
  <c r="B156" i="9"/>
  <c r="G116" i="25"/>
  <c r="G190" i="18"/>
  <c r="AN86" i="9" l="1"/>
  <c r="AI87" i="9"/>
  <c r="AI88" i="9" s="1"/>
  <c r="AK86" i="9"/>
  <c r="AL86" i="9" s="1"/>
  <c r="V86" i="9"/>
  <c r="Q86" i="9"/>
  <c r="R86" i="9" s="1"/>
  <c r="AR156" i="9"/>
  <c r="C156" i="9"/>
  <c r="H156" i="9"/>
  <c r="Z259" i="9"/>
  <c r="T259" i="9" s="1"/>
  <c r="W259" i="9"/>
  <c r="X259" i="9" s="1"/>
  <c r="R259" i="9"/>
  <c r="Q260" i="9"/>
  <c r="AD259" i="9"/>
  <c r="AG260" i="9"/>
  <c r="Z173" i="9"/>
  <c r="T173" i="9" s="1"/>
  <c r="W173" i="9"/>
  <c r="X173" i="9" s="1"/>
  <c r="F111" i="22"/>
  <c r="G227" i="18"/>
  <c r="I32" i="3"/>
  <c r="G119" i="25"/>
  <c r="BM66" i="9"/>
  <c r="DT17" i="9"/>
  <c r="DT18" i="9" s="1"/>
  <c r="B242" i="9"/>
  <c r="AU242" i="9"/>
  <c r="R173" i="9"/>
  <c r="Q174" i="9"/>
  <c r="BL66" i="9"/>
  <c r="DT16" i="9"/>
  <c r="AU70" i="9"/>
  <c r="B70" i="9"/>
  <c r="G156" i="25" l="1"/>
  <c r="G229" i="18"/>
  <c r="AS156" i="9"/>
  <c r="D156" i="9"/>
  <c r="AT156" i="9" s="1"/>
  <c r="W86" i="9"/>
  <c r="X86" i="9" s="1"/>
  <c r="U87" i="9"/>
  <c r="U88" i="9" s="1"/>
  <c r="Z86" i="9"/>
  <c r="DU12" i="9"/>
  <c r="BG67" i="9"/>
  <c r="BH67" i="9" s="1"/>
  <c r="H242" i="9"/>
  <c r="C242" i="9"/>
  <c r="AR242" i="9"/>
  <c r="L156" i="9"/>
  <c r="I156" i="9"/>
  <c r="G157" i="9"/>
  <c r="AW157" i="9" s="1"/>
  <c r="AX156" i="9"/>
  <c r="AR70" i="9"/>
  <c r="C70" i="9"/>
  <c r="H70" i="9"/>
  <c r="AO188" i="9"/>
  <c r="AO189" i="9" s="1"/>
  <c r="AO190" i="9" s="1"/>
  <c r="AO191" i="9" s="1"/>
  <c r="AO192" i="9" s="1"/>
  <c r="AO193" i="9" s="1"/>
  <c r="AO194" i="9" s="1"/>
  <c r="AO195" i="9" s="1"/>
  <c r="AO196" i="9" s="1"/>
  <c r="AO197" i="9" s="1"/>
  <c r="AO198" i="9" s="1"/>
  <c r="AO199" i="9" s="1"/>
  <c r="AO200" i="9" s="1"/>
  <c r="AO201" i="9" s="1"/>
  <c r="AO202" i="9" s="1"/>
  <c r="AO203" i="9" s="1"/>
  <c r="AO204" i="9" s="1"/>
  <c r="AO205" i="9" s="1"/>
  <c r="AO206" i="9" s="1"/>
  <c r="AO207" i="9" s="1"/>
  <c r="AO208" i="9" s="1"/>
  <c r="AO209" i="9" s="1"/>
  <c r="AO210" i="9" s="1"/>
  <c r="AO211" i="9" s="1"/>
  <c r="AO212" i="9" s="1"/>
  <c r="AO213" i="9" s="1"/>
  <c r="AO214" i="9" s="1"/>
  <c r="AO215" i="9" s="1"/>
  <c r="AO216" i="9" s="1"/>
  <c r="AO217" i="9" s="1"/>
  <c r="AO218" i="9" s="1"/>
  <c r="AO219" i="9" s="1"/>
  <c r="AO220" i="9" s="1"/>
  <c r="AO221" i="9" s="1"/>
  <c r="AO222" i="9" s="1"/>
  <c r="AO223" i="9" s="1"/>
  <c r="AO224" i="9" s="1"/>
  <c r="AO225" i="9" s="1"/>
  <c r="AO226" i="9" s="1"/>
  <c r="AO227" i="9" s="1"/>
  <c r="AO228" i="9" s="1"/>
  <c r="AO229" i="9" s="1"/>
  <c r="AO230" i="9" s="1"/>
  <c r="AO231" i="9" s="1"/>
  <c r="AO232" i="9" s="1"/>
  <c r="AO233" i="9" s="1"/>
  <c r="AO234" i="9" s="1"/>
  <c r="AO235" i="9" s="1"/>
  <c r="AO236" i="9" s="1"/>
  <c r="AO237" i="9" s="1"/>
  <c r="AO238" i="9" s="1"/>
  <c r="AO239" i="9" s="1"/>
  <c r="AO240" i="9" s="1"/>
  <c r="AO241" i="9" s="1"/>
  <c r="AO242" i="9" s="1"/>
  <c r="AO243" i="9" s="1"/>
  <c r="AO244" i="9" s="1"/>
  <c r="AO245" i="9" s="1"/>
  <c r="AO246" i="9" s="1"/>
  <c r="AO247" i="9" s="1"/>
  <c r="AO248" i="9" s="1"/>
  <c r="AO249" i="9" s="1"/>
  <c r="AO250" i="9" s="1"/>
  <c r="AO251" i="9" s="1"/>
  <c r="AO252" i="9" s="1"/>
  <c r="AO253" i="9" s="1"/>
  <c r="AO254" i="9" s="1"/>
  <c r="AO255" i="9" s="1"/>
  <c r="AO256" i="9" s="1"/>
  <c r="AO257" i="9" s="1"/>
  <c r="AO258" i="9" s="1"/>
  <c r="AO259" i="9" s="1"/>
  <c r="AD260" i="9"/>
  <c r="F114" i="22"/>
  <c r="AJ259" i="9"/>
  <c r="AE259" i="9"/>
  <c r="AH86" i="9"/>
  <c r="AG87" i="9"/>
  <c r="AN259" i="9" l="1"/>
  <c r="AH259" i="9" s="1"/>
  <c r="AK259" i="9"/>
  <c r="AL259" i="9" s="1"/>
  <c r="AD87" i="9"/>
  <c r="AG88" i="9"/>
  <c r="AX70" i="9"/>
  <c r="G71" i="9"/>
  <c r="AW71" i="9" s="1"/>
  <c r="L70" i="9"/>
  <c r="I70" i="9"/>
  <c r="D242" i="9"/>
  <c r="AT242" i="9" s="1"/>
  <c r="AS242" i="9"/>
  <c r="S87" i="9"/>
  <c r="T86" i="9"/>
  <c r="F116" i="22"/>
  <c r="D70" i="9"/>
  <c r="AT70" i="9" s="1"/>
  <c r="AS70" i="9"/>
  <c r="AY156" i="9"/>
  <c r="J156" i="9"/>
  <c r="AZ156" i="9" s="1"/>
  <c r="AX242" i="9"/>
  <c r="L242" i="9"/>
  <c r="I242" i="9"/>
  <c r="G243" i="9"/>
  <c r="AW243" i="9" s="1"/>
  <c r="G240" i="18"/>
  <c r="G241" i="18"/>
  <c r="G158" i="25"/>
  <c r="G252" i="18"/>
  <c r="AF259" i="9"/>
  <c r="AE260" i="9"/>
  <c r="E157" i="9"/>
  <c r="F156" i="9"/>
  <c r="AV156" i="9" s="1"/>
  <c r="BB156" i="9"/>
  <c r="G231" i="18" l="1"/>
  <c r="DU14" i="9"/>
  <c r="BK67" i="9"/>
  <c r="AO16" i="9"/>
  <c r="AO17" i="9" s="1"/>
  <c r="AO18" i="9" s="1"/>
  <c r="AO19" i="9" s="1"/>
  <c r="AO20" i="9" s="1"/>
  <c r="AO21" i="9" s="1"/>
  <c r="AO22" i="9" s="1"/>
  <c r="AO23" i="9" s="1"/>
  <c r="AO24" i="9" s="1"/>
  <c r="AO25" i="9" s="1"/>
  <c r="AO26" i="9" s="1"/>
  <c r="AO27" i="9" s="1"/>
  <c r="AO28" i="9" s="1"/>
  <c r="AO29" i="9" s="1"/>
  <c r="AO30" i="9" s="1"/>
  <c r="AO31" i="9" s="1"/>
  <c r="AO32" i="9" s="1"/>
  <c r="AO33" i="9" s="1"/>
  <c r="AO34" i="9" s="1"/>
  <c r="AO35" i="9" s="1"/>
  <c r="AO36" i="9" s="1"/>
  <c r="AO37" i="9" s="1"/>
  <c r="AO38" i="9" s="1"/>
  <c r="AO39" i="9" s="1"/>
  <c r="AO40" i="9" s="1"/>
  <c r="AO41" i="9" s="1"/>
  <c r="AO42" i="9" s="1"/>
  <c r="AO43" i="9" s="1"/>
  <c r="AO44" i="9" s="1"/>
  <c r="AO45" i="9" s="1"/>
  <c r="AO46" i="9" s="1"/>
  <c r="AO47" i="9" s="1"/>
  <c r="AO48" i="9" s="1"/>
  <c r="AO49" i="9" s="1"/>
  <c r="AO50" i="9" s="1"/>
  <c r="AO51" i="9" s="1"/>
  <c r="AO52" i="9" s="1"/>
  <c r="AO53" i="9" s="1"/>
  <c r="AO54" i="9" s="1"/>
  <c r="AO55" i="9" s="1"/>
  <c r="AO56" i="9" s="1"/>
  <c r="AO57" i="9" s="1"/>
  <c r="AO58" i="9" s="1"/>
  <c r="AO59" i="9" s="1"/>
  <c r="AO60" i="9" s="1"/>
  <c r="AO61" i="9" s="1"/>
  <c r="AO62" i="9" s="1"/>
  <c r="AO63" i="9" s="1"/>
  <c r="AO64" i="9" s="1"/>
  <c r="AO65" i="9" s="1"/>
  <c r="AO66" i="9" s="1"/>
  <c r="AO67" i="9" s="1"/>
  <c r="AO68" i="9" s="1"/>
  <c r="AO69" i="9" s="1"/>
  <c r="AO70" i="9" s="1"/>
  <c r="AO71" i="9" s="1"/>
  <c r="AO72" i="9" s="1"/>
  <c r="AO73" i="9" s="1"/>
  <c r="AO74" i="9" s="1"/>
  <c r="AO75" i="9" s="1"/>
  <c r="AO76" i="9" s="1"/>
  <c r="AO77" i="9" s="1"/>
  <c r="AO78" i="9" s="1"/>
  <c r="AO79" i="9" s="1"/>
  <c r="AO80" i="9" s="1"/>
  <c r="AO81" i="9" s="1"/>
  <c r="AO82" i="9" s="1"/>
  <c r="AO83" i="9" s="1"/>
  <c r="AO84" i="9" s="1"/>
  <c r="AO85" i="9" s="1"/>
  <c r="AO86" i="9" s="1"/>
  <c r="AO87" i="9" s="1"/>
  <c r="AD88" i="9"/>
  <c r="G103" i="22"/>
  <c r="G253" i="18"/>
  <c r="G254" i="18" s="1"/>
  <c r="G230" i="18"/>
  <c r="G243" i="18"/>
  <c r="P87" i="9"/>
  <c r="S88" i="9"/>
  <c r="E71" i="9"/>
  <c r="F70" i="9"/>
  <c r="AV70" i="9" s="1"/>
  <c r="BB70" i="9"/>
  <c r="AE87" i="9"/>
  <c r="AJ87" i="9"/>
  <c r="F242" i="9"/>
  <c r="AV242" i="9" s="1"/>
  <c r="BB242" i="9"/>
  <c r="E243" i="9"/>
  <c r="AY70" i="9"/>
  <c r="J70" i="9"/>
  <c r="AZ70" i="9" s="1"/>
  <c r="B157" i="9"/>
  <c r="AU157" i="9"/>
  <c r="DV13" i="9"/>
  <c r="BI68" i="9"/>
  <c r="BJ68" i="9" s="1"/>
  <c r="AY242" i="9"/>
  <c r="J242" i="9"/>
  <c r="AZ242" i="9" s="1"/>
  <c r="AF87" i="9" l="1"/>
  <c r="AE88" i="9"/>
  <c r="DU17" i="9"/>
  <c r="BM67" i="9"/>
  <c r="G232" i="18"/>
  <c r="G161" i="25" s="1"/>
  <c r="BL67" i="9"/>
  <c r="DU16" i="9"/>
  <c r="AK87" i="9"/>
  <c r="AL87" i="9" s="1"/>
  <c r="AN87" i="9"/>
  <c r="AH87" i="9" s="1"/>
  <c r="B71" i="9"/>
  <c r="AU71" i="9"/>
  <c r="G104" i="22"/>
  <c r="B243" i="9"/>
  <c r="AU243" i="9"/>
  <c r="AA16" i="9"/>
  <c r="AA17" i="9" s="1"/>
  <c r="AA18" i="9" s="1"/>
  <c r="AA19" i="9" s="1"/>
  <c r="AA20" i="9" s="1"/>
  <c r="AA21" i="9" s="1"/>
  <c r="AA22" i="9" s="1"/>
  <c r="AA23" i="9" s="1"/>
  <c r="AA24" i="9" s="1"/>
  <c r="AA25" i="9" s="1"/>
  <c r="AA26" i="9" s="1"/>
  <c r="AA27" i="9" s="1"/>
  <c r="AA28" i="9" s="1"/>
  <c r="AA29" i="9" s="1"/>
  <c r="AA30" i="9" s="1"/>
  <c r="AA31" i="9" s="1"/>
  <c r="AA32" i="9" s="1"/>
  <c r="AA33" i="9" s="1"/>
  <c r="AA34" i="9" s="1"/>
  <c r="AA35" i="9" s="1"/>
  <c r="AA36" i="9" s="1"/>
  <c r="AA37" i="9" s="1"/>
  <c r="AA38" i="9" s="1"/>
  <c r="AA39" i="9" s="1"/>
  <c r="AA40" i="9" s="1"/>
  <c r="AA41" i="9" s="1"/>
  <c r="AA42" i="9" s="1"/>
  <c r="AA43" i="9" s="1"/>
  <c r="AA44" i="9" s="1"/>
  <c r="AA45" i="9" s="1"/>
  <c r="AA46" i="9" s="1"/>
  <c r="AA47" i="9" s="1"/>
  <c r="AA48" i="9" s="1"/>
  <c r="AA49" i="9" s="1"/>
  <c r="AA50" i="9" s="1"/>
  <c r="AA51" i="9" s="1"/>
  <c r="AA52" i="9" s="1"/>
  <c r="AA53" i="9" s="1"/>
  <c r="AA54" i="9" s="1"/>
  <c r="AA55" i="9" s="1"/>
  <c r="AA56" i="9" s="1"/>
  <c r="AA57" i="9" s="1"/>
  <c r="AA58" i="9" s="1"/>
  <c r="AA59" i="9" s="1"/>
  <c r="AA60" i="9" s="1"/>
  <c r="AA61" i="9" s="1"/>
  <c r="AA62" i="9" s="1"/>
  <c r="AA63" i="9" s="1"/>
  <c r="AA64" i="9" s="1"/>
  <c r="AA65" i="9" s="1"/>
  <c r="AA66" i="9" s="1"/>
  <c r="AA67" i="9" s="1"/>
  <c r="AA68" i="9" s="1"/>
  <c r="AA69" i="9" s="1"/>
  <c r="AA70" i="9" s="1"/>
  <c r="AA71" i="9" s="1"/>
  <c r="AA72" i="9" s="1"/>
  <c r="AA73" i="9" s="1"/>
  <c r="AA74" i="9" s="1"/>
  <c r="AA75" i="9" s="1"/>
  <c r="AA76" i="9" s="1"/>
  <c r="AA77" i="9" s="1"/>
  <c r="AA78" i="9" s="1"/>
  <c r="AA79" i="9" s="1"/>
  <c r="AA80" i="9" s="1"/>
  <c r="AA81" i="9" s="1"/>
  <c r="AA82" i="9" s="1"/>
  <c r="AA83" i="9" s="1"/>
  <c r="AA84" i="9" s="1"/>
  <c r="AA85" i="9" s="1"/>
  <c r="AA86" i="9" s="1"/>
  <c r="AA87" i="9" s="1"/>
  <c r="P88" i="9"/>
  <c r="G159" i="25"/>
  <c r="H226" i="18"/>
  <c r="H187" i="18"/>
  <c r="AR157" i="9"/>
  <c r="C157" i="9"/>
  <c r="H157" i="9"/>
  <c r="Q87" i="9"/>
  <c r="V87" i="9"/>
  <c r="G160" i="25"/>
  <c r="K32" i="3"/>
  <c r="L32" i="3" s="1"/>
  <c r="R87" i="9" l="1"/>
  <c r="Q88" i="9"/>
  <c r="AR71" i="9"/>
  <c r="H71" i="9"/>
  <c r="C71" i="9"/>
  <c r="H116" i="25"/>
  <c r="H190" i="18"/>
  <c r="DU18" i="9"/>
  <c r="F187" i="17"/>
  <c r="C32" i="3"/>
  <c r="D32" i="3" s="1"/>
  <c r="G108" i="22"/>
  <c r="C243" i="9"/>
  <c r="AR243" i="9"/>
  <c r="H243" i="9"/>
  <c r="L157" i="9"/>
  <c r="AX157" i="9"/>
  <c r="G158" i="9"/>
  <c r="AW158" i="9" s="1"/>
  <c r="I157" i="9"/>
  <c r="D157" i="9"/>
  <c r="AT157" i="9" s="1"/>
  <c r="AS157" i="9"/>
  <c r="H155" i="25"/>
  <c r="W87" i="9"/>
  <c r="X87" i="9" s="1"/>
  <c r="Z87" i="9"/>
  <c r="T87" i="9" s="1"/>
  <c r="DV12" i="9"/>
  <c r="BG68" i="9"/>
  <c r="BH68" i="9" s="1"/>
  <c r="L71" i="9" l="1"/>
  <c r="G72" i="9"/>
  <c r="AW72" i="9" s="1"/>
  <c r="AX71" i="9"/>
  <c r="I71" i="9"/>
  <c r="BB157" i="9"/>
  <c r="F157" i="9"/>
  <c r="AV157" i="9" s="1"/>
  <c r="E158" i="9"/>
  <c r="AY157" i="9"/>
  <c r="J157" i="9"/>
  <c r="AZ157" i="9" s="1"/>
  <c r="G244" i="9"/>
  <c r="AW244" i="9" s="1"/>
  <c r="I243" i="9"/>
  <c r="AX243" i="9"/>
  <c r="L243" i="9"/>
  <c r="G111" i="22"/>
  <c r="I33" i="3"/>
  <c r="H227" i="18"/>
  <c r="H119" i="25"/>
  <c r="AS243" i="9"/>
  <c r="D243" i="9"/>
  <c r="AT243" i="9" s="1"/>
  <c r="AS71" i="9"/>
  <c r="D71" i="9"/>
  <c r="AT71" i="9" s="1"/>
  <c r="AY71" i="9" l="1"/>
  <c r="J71" i="9"/>
  <c r="AZ71" i="9" s="1"/>
  <c r="AU158" i="9"/>
  <c r="B158" i="9"/>
  <c r="BI69" i="9"/>
  <c r="BJ69" i="9" s="1"/>
  <c r="DW13" i="9"/>
  <c r="AY243" i="9"/>
  <c r="J243" i="9"/>
  <c r="AZ243" i="9" s="1"/>
  <c r="G114" i="22"/>
  <c r="DV14" i="9"/>
  <c r="BK68" i="9"/>
  <c r="H156" i="25"/>
  <c r="H229" i="18"/>
  <c r="E244" i="9"/>
  <c r="F243" i="9"/>
  <c r="AV243" i="9" s="1"/>
  <c r="BB243" i="9"/>
  <c r="F71" i="9"/>
  <c r="AV71" i="9" s="1"/>
  <c r="BB71" i="9"/>
  <c r="E72" i="9"/>
  <c r="G116" i="22" l="1"/>
  <c r="BL68" i="9"/>
  <c r="DV16" i="9"/>
  <c r="B244" i="9"/>
  <c r="AU244" i="9"/>
  <c r="H240" i="18"/>
  <c r="H252" i="18"/>
  <c r="H241" i="18"/>
  <c r="H231" i="18" s="1"/>
  <c r="H158" i="25"/>
  <c r="BM68" i="9"/>
  <c r="DV17" i="9"/>
  <c r="DV18" i="9" s="1"/>
  <c r="AU72" i="9"/>
  <c r="B72" i="9"/>
  <c r="H158" i="9"/>
  <c r="C158" i="9"/>
  <c r="AR158" i="9"/>
  <c r="G159" i="9" l="1"/>
  <c r="AW159" i="9" s="1"/>
  <c r="L158" i="9"/>
  <c r="I158" i="9"/>
  <c r="AX158" i="9"/>
  <c r="H253" i="18"/>
  <c r="H254" i="18" s="1"/>
  <c r="I187" i="18" s="1"/>
  <c r="H103" i="22"/>
  <c r="H230" i="18"/>
  <c r="K33" i="3" s="1"/>
  <c r="L33" i="3" s="1"/>
  <c r="H243" i="18"/>
  <c r="DW12" i="9"/>
  <c r="BG69" i="9"/>
  <c r="BH69" i="9" s="1"/>
  <c r="AR72" i="9"/>
  <c r="H72" i="9"/>
  <c r="C72" i="9"/>
  <c r="D158" i="9"/>
  <c r="AT158" i="9" s="1"/>
  <c r="AS158" i="9"/>
  <c r="H160" i="25"/>
  <c r="AR244" i="9"/>
  <c r="H244" i="9"/>
  <c r="C244" i="9"/>
  <c r="I116" i="25" l="1"/>
  <c r="I190" i="18"/>
  <c r="AY158" i="9"/>
  <c r="J158" i="9"/>
  <c r="AZ158" i="9" s="1"/>
  <c r="L244" i="9"/>
  <c r="G245" i="9"/>
  <c r="AW245" i="9" s="1"/>
  <c r="I244" i="9"/>
  <c r="AX244" i="9"/>
  <c r="H159" i="25"/>
  <c r="I226" i="18"/>
  <c r="AS72" i="9"/>
  <c r="D72" i="9"/>
  <c r="AT72" i="9" s="1"/>
  <c r="E159" i="9"/>
  <c r="F158" i="9"/>
  <c r="AV158" i="9" s="1"/>
  <c r="BB158" i="9"/>
  <c r="H104" i="22"/>
  <c r="I103" i="22"/>
  <c r="AS244" i="9"/>
  <c r="D244" i="9"/>
  <c r="AT244" i="9" s="1"/>
  <c r="AX72" i="9"/>
  <c r="G73" i="9"/>
  <c r="AW73" i="9" s="1"/>
  <c r="I72" i="9"/>
  <c r="L72" i="9"/>
  <c r="H232" i="18"/>
  <c r="H161" i="25" s="1"/>
  <c r="H242" i="18"/>
  <c r="H108" i="22" l="1"/>
  <c r="G187" i="17"/>
  <c r="C33" i="3"/>
  <c r="D33" i="3" s="1"/>
  <c r="I104" i="22"/>
  <c r="E73" i="9"/>
  <c r="BB72" i="9"/>
  <c r="F72" i="9"/>
  <c r="AV72" i="9" s="1"/>
  <c r="BK69" i="9"/>
  <c r="DW14" i="9"/>
  <c r="AY244" i="9"/>
  <c r="J244" i="9"/>
  <c r="AZ244" i="9" s="1"/>
  <c r="I221" i="18"/>
  <c r="AY72" i="9"/>
  <c r="J72" i="9"/>
  <c r="AZ72" i="9" s="1"/>
  <c r="I155" i="25"/>
  <c r="I119" i="25"/>
  <c r="I34" i="3"/>
  <c r="DX13" i="9"/>
  <c r="BI70" i="9"/>
  <c r="BJ70" i="9" s="1"/>
  <c r="AU159" i="9"/>
  <c r="B159" i="9"/>
  <c r="BB244" i="9"/>
  <c r="F244" i="9"/>
  <c r="AV244" i="9" s="1"/>
  <c r="E245" i="9"/>
  <c r="B245" i="9" l="1"/>
  <c r="AU245" i="9"/>
  <c r="C138" i="22"/>
  <c r="I150" i="25"/>
  <c r="I224" i="18"/>
  <c r="J109" i="22"/>
  <c r="J112" i="22"/>
  <c r="J107" i="22"/>
  <c r="J104" i="22"/>
  <c r="J117" i="22"/>
  <c r="J101" i="22"/>
  <c r="J100" i="22"/>
  <c r="J111" i="22"/>
  <c r="J113" i="22"/>
  <c r="J118" i="22"/>
  <c r="J106" i="22"/>
  <c r="J102" i="22"/>
  <c r="J108" i="22"/>
  <c r="J110" i="22"/>
  <c r="J103" i="22"/>
  <c r="J116" i="22"/>
  <c r="J115" i="22"/>
  <c r="J114" i="22"/>
  <c r="DW17" i="9"/>
  <c r="BM69" i="9"/>
  <c r="BL69" i="9"/>
  <c r="DW16" i="9"/>
  <c r="AR159" i="9"/>
  <c r="H159" i="9"/>
  <c r="C159" i="9"/>
  <c r="AU73" i="9"/>
  <c r="B73" i="9"/>
  <c r="H111" i="22"/>
  <c r="I108" i="22"/>
  <c r="L159" i="9" l="1"/>
  <c r="AX159" i="9"/>
  <c r="G160" i="9"/>
  <c r="AW160" i="9" s="1"/>
  <c r="I159" i="9"/>
  <c r="H188" i="17"/>
  <c r="H114" i="22"/>
  <c r="I111" i="22"/>
  <c r="H73" i="9"/>
  <c r="AR73" i="9"/>
  <c r="C73" i="9"/>
  <c r="DW18" i="9"/>
  <c r="D159" i="9"/>
  <c r="AT159" i="9" s="1"/>
  <c r="AS159" i="9"/>
  <c r="BG70" i="9"/>
  <c r="BH70" i="9" s="1"/>
  <c r="DX12" i="9"/>
  <c r="I153" i="25"/>
  <c r="J34" i="3"/>
  <c r="I227" i="18"/>
  <c r="C245" i="9"/>
  <c r="AR245" i="9"/>
  <c r="H245" i="9"/>
  <c r="I156" i="25" l="1"/>
  <c r="I229" i="18"/>
  <c r="D73" i="9"/>
  <c r="AT73" i="9" s="1"/>
  <c r="AS73" i="9"/>
  <c r="H116" i="22"/>
  <c r="I114" i="22"/>
  <c r="AX245" i="9"/>
  <c r="L245" i="9"/>
  <c r="I245" i="9"/>
  <c r="G246" i="9"/>
  <c r="AW246" i="9" s="1"/>
  <c r="G74" i="9"/>
  <c r="AW74" i="9" s="1"/>
  <c r="I73" i="9"/>
  <c r="AX73" i="9"/>
  <c r="L73" i="9"/>
  <c r="BB159" i="9"/>
  <c r="F159" i="9"/>
  <c r="AV159" i="9" s="1"/>
  <c r="E160" i="9"/>
  <c r="D245" i="9"/>
  <c r="AT245" i="9" s="1"/>
  <c r="AS245" i="9"/>
  <c r="AY159" i="9"/>
  <c r="J159" i="9"/>
  <c r="AZ159" i="9" s="1"/>
  <c r="AY73" i="9" l="1"/>
  <c r="J73" i="9"/>
  <c r="AZ73" i="9" s="1"/>
  <c r="E246" i="9"/>
  <c r="F245" i="9"/>
  <c r="AV245" i="9" s="1"/>
  <c r="BB245" i="9"/>
  <c r="BK70" i="9"/>
  <c r="DX14" i="9"/>
  <c r="E74" i="9"/>
  <c r="BB73" i="9"/>
  <c r="F73" i="9"/>
  <c r="AV73" i="9" s="1"/>
  <c r="I252" i="18"/>
  <c r="I158" i="25"/>
  <c r="I241" i="18"/>
  <c r="I231" i="18" s="1"/>
  <c r="I240" i="18"/>
  <c r="BI71" i="9"/>
  <c r="BJ71" i="9" s="1"/>
  <c r="DY13" i="9"/>
  <c r="B160" i="9"/>
  <c r="AU160" i="9"/>
  <c r="AY245" i="9"/>
  <c r="J245" i="9"/>
  <c r="AZ245" i="9" s="1"/>
  <c r="I116" i="22"/>
  <c r="C126" i="22" l="1"/>
  <c r="I253" i="18"/>
  <c r="I254" i="18" s="1"/>
  <c r="J187" i="18" s="1"/>
  <c r="AU74" i="9"/>
  <c r="B74" i="9"/>
  <c r="H160" i="9"/>
  <c r="C160" i="9"/>
  <c r="AR160" i="9"/>
  <c r="I160" i="25"/>
  <c r="AU246" i="9"/>
  <c r="B246" i="9"/>
  <c r="DX17" i="9"/>
  <c r="BM70" i="9"/>
  <c r="I230" i="18"/>
  <c r="I243" i="18"/>
  <c r="DX16" i="9"/>
  <c r="BL70" i="9"/>
  <c r="DX18" i="9" l="1"/>
  <c r="J116" i="25"/>
  <c r="J190" i="18"/>
  <c r="H246" i="9"/>
  <c r="C246" i="9"/>
  <c r="AR246" i="9"/>
  <c r="BG71" i="9"/>
  <c r="BH71" i="9" s="1"/>
  <c r="DY12" i="9"/>
  <c r="D160" i="9"/>
  <c r="AT160" i="9" s="1"/>
  <c r="AS160" i="9"/>
  <c r="I159" i="25"/>
  <c r="J226" i="18"/>
  <c r="K34" i="3"/>
  <c r="L34" i="3" s="1"/>
  <c r="G161" i="9"/>
  <c r="AW161" i="9" s="1"/>
  <c r="L160" i="9"/>
  <c r="I160" i="9"/>
  <c r="AX160" i="9"/>
  <c r="I232" i="18"/>
  <c r="I161" i="25" s="1"/>
  <c r="C74" i="9"/>
  <c r="H74" i="9"/>
  <c r="AR74" i="9"/>
  <c r="C127" i="22"/>
  <c r="D74" i="9" l="1"/>
  <c r="AT74" i="9" s="1"/>
  <c r="AS74" i="9"/>
  <c r="D246" i="9"/>
  <c r="AT246" i="9" s="1"/>
  <c r="AS246" i="9"/>
  <c r="H187" i="17"/>
  <c r="C131" i="22"/>
  <c r="C34" i="3"/>
  <c r="D34" i="3" s="1"/>
  <c r="AY160" i="9"/>
  <c r="J160" i="9"/>
  <c r="AZ160" i="9" s="1"/>
  <c r="J119" i="25"/>
  <c r="J227" i="18"/>
  <c r="J156" i="25" s="1"/>
  <c r="I35" i="3"/>
  <c r="J155" i="25"/>
  <c r="AX246" i="9"/>
  <c r="I246" i="9"/>
  <c r="G247" i="9"/>
  <c r="AW247" i="9" s="1"/>
  <c r="L246" i="9"/>
  <c r="E161" i="9"/>
  <c r="F160" i="9"/>
  <c r="AV160" i="9" s="1"/>
  <c r="BB160" i="9"/>
  <c r="G75" i="9"/>
  <c r="AW75" i="9" s="1"/>
  <c r="L74" i="9"/>
  <c r="AX74" i="9"/>
  <c r="I74" i="9"/>
  <c r="AU161" i="9" l="1"/>
  <c r="B161" i="9"/>
  <c r="AY246" i="9"/>
  <c r="J246" i="9"/>
  <c r="AZ246" i="9" s="1"/>
  <c r="DZ13" i="9"/>
  <c r="BI72" i="9"/>
  <c r="BJ72" i="9" s="1"/>
  <c r="C134" i="22"/>
  <c r="DY14" i="9"/>
  <c r="BK71" i="9"/>
  <c r="E75" i="9"/>
  <c r="F74" i="9"/>
  <c r="AV74" i="9" s="1"/>
  <c r="BB74" i="9"/>
  <c r="F246" i="9"/>
  <c r="AV246" i="9" s="1"/>
  <c r="BB246" i="9"/>
  <c r="E247" i="9"/>
  <c r="AY74" i="9"/>
  <c r="J74" i="9"/>
  <c r="AZ74" i="9" s="1"/>
  <c r="J229" i="18"/>
  <c r="J240" i="18" l="1"/>
  <c r="J252" i="18"/>
  <c r="J241" i="18"/>
  <c r="J231" i="18" s="1"/>
  <c r="J158" i="25"/>
  <c r="BM71" i="9"/>
  <c r="DY17" i="9"/>
  <c r="DY18" i="9" s="1"/>
  <c r="AU75" i="9"/>
  <c r="B75" i="9"/>
  <c r="DY16" i="9"/>
  <c r="BL71" i="9"/>
  <c r="AR161" i="9"/>
  <c r="C161" i="9"/>
  <c r="H161" i="9"/>
  <c r="C137" i="22"/>
  <c r="AU247" i="9"/>
  <c r="B247" i="9"/>
  <c r="BG72" i="9" l="1"/>
  <c r="BH72" i="9" s="1"/>
  <c r="DZ12" i="9"/>
  <c r="J253" i="18"/>
  <c r="J254" i="18" s="1"/>
  <c r="K187" i="18" s="1"/>
  <c r="D126" i="22"/>
  <c r="C139" i="22"/>
  <c r="J160" i="25"/>
  <c r="C247" i="9"/>
  <c r="AR247" i="9"/>
  <c r="H247" i="9"/>
  <c r="G162" i="9"/>
  <c r="AW162" i="9" s="1"/>
  <c r="L161" i="9"/>
  <c r="AX161" i="9"/>
  <c r="I161" i="9"/>
  <c r="AS161" i="9"/>
  <c r="D161" i="9"/>
  <c r="AT161" i="9" s="1"/>
  <c r="AR75" i="9"/>
  <c r="C75" i="9"/>
  <c r="H75" i="9"/>
  <c r="J230" i="18"/>
  <c r="K35" i="3" s="1"/>
  <c r="L35" i="3" s="1"/>
  <c r="J243" i="18"/>
  <c r="K116" i="25" l="1"/>
  <c r="K190" i="18"/>
  <c r="AS75" i="9"/>
  <c r="D75" i="9"/>
  <c r="AT75" i="9" s="1"/>
  <c r="AY161" i="9"/>
  <c r="J161" i="9"/>
  <c r="AZ161" i="9" s="1"/>
  <c r="I247" i="9"/>
  <c r="G248" i="9"/>
  <c r="AW248" i="9" s="1"/>
  <c r="L247" i="9"/>
  <c r="AX247" i="9"/>
  <c r="D247" i="9"/>
  <c r="AT247" i="9" s="1"/>
  <c r="AS247" i="9"/>
  <c r="J232" i="18"/>
  <c r="J161" i="25" s="1"/>
  <c r="J159" i="25"/>
  <c r="K226" i="18"/>
  <c r="E162" i="9"/>
  <c r="F161" i="9"/>
  <c r="AV161" i="9" s="1"/>
  <c r="BB161" i="9"/>
  <c r="AX75" i="9"/>
  <c r="G76" i="9"/>
  <c r="AW76" i="9" s="1"/>
  <c r="L75" i="9"/>
  <c r="I75" i="9"/>
  <c r="D127" i="22"/>
  <c r="BI73" i="9" l="1"/>
  <c r="BJ73" i="9" s="1"/>
  <c r="EA13" i="9"/>
  <c r="AU162" i="9"/>
  <c r="B162" i="9"/>
  <c r="K155" i="25"/>
  <c r="DZ14" i="9"/>
  <c r="BK72" i="9"/>
  <c r="AY75" i="9"/>
  <c r="J75" i="9"/>
  <c r="AZ75" i="9" s="1"/>
  <c r="K119" i="25"/>
  <c r="K227" i="18"/>
  <c r="K156" i="25" s="1"/>
  <c r="I36" i="3"/>
  <c r="I187" i="17"/>
  <c r="C35" i="3"/>
  <c r="D35" i="3" s="1"/>
  <c r="D131" i="22"/>
  <c r="AY247" i="9"/>
  <c r="J247" i="9"/>
  <c r="AZ247" i="9" s="1"/>
  <c r="E76" i="9"/>
  <c r="F75" i="9"/>
  <c r="AV75" i="9" s="1"/>
  <c r="BB75" i="9"/>
  <c r="E248" i="9"/>
  <c r="F247" i="9"/>
  <c r="AV247" i="9" s="1"/>
  <c r="BB247" i="9"/>
  <c r="D134" i="22" l="1"/>
  <c r="H162" i="9"/>
  <c r="AR162" i="9"/>
  <c r="C162" i="9"/>
  <c r="AU76" i="9"/>
  <c r="B76" i="9"/>
  <c r="B248" i="9"/>
  <c r="AU248" i="9"/>
  <c r="BM72" i="9"/>
  <c r="DZ17" i="9"/>
  <c r="K229" i="18"/>
  <c r="BL72" i="9"/>
  <c r="DZ16" i="9"/>
  <c r="DZ18" i="9" l="1"/>
  <c r="K252" i="18"/>
  <c r="K240" i="18"/>
  <c r="K241" i="18"/>
  <c r="K231" i="18" s="1"/>
  <c r="K158" i="25"/>
  <c r="H248" i="9"/>
  <c r="C248" i="9"/>
  <c r="AR248" i="9"/>
  <c r="AR76" i="9"/>
  <c r="C76" i="9"/>
  <c r="H76" i="9"/>
  <c r="EA12" i="9"/>
  <c r="BG73" i="9"/>
  <c r="BH73" i="9" s="1"/>
  <c r="I162" i="9"/>
  <c r="G163" i="9"/>
  <c r="AW163" i="9" s="1"/>
  <c r="L162" i="9"/>
  <c r="AX162" i="9"/>
  <c r="D162" i="9"/>
  <c r="AT162" i="9" s="1"/>
  <c r="AS162" i="9"/>
  <c r="D137" i="22"/>
  <c r="AY162" i="9" l="1"/>
  <c r="J162" i="9"/>
  <c r="AZ162" i="9" s="1"/>
  <c r="AX248" i="9"/>
  <c r="I248" i="9"/>
  <c r="G249" i="9"/>
  <c r="AW249" i="9" s="1"/>
  <c r="L248" i="9"/>
  <c r="AX76" i="9"/>
  <c r="L76" i="9"/>
  <c r="G77" i="9"/>
  <c r="AW77" i="9" s="1"/>
  <c r="I76" i="9"/>
  <c r="D248" i="9"/>
  <c r="AT248" i="9" s="1"/>
  <c r="AS248" i="9"/>
  <c r="K230" i="18"/>
  <c r="K243" i="18"/>
  <c r="E126" i="22"/>
  <c r="K253" i="18"/>
  <c r="K254" i="18" s="1"/>
  <c r="L187" i="18" s="1"/>
  <c r="D76" i="9"/>
  <c r="AT76" i="9" s="1"/>
  <c r="AS76" i="9"/>
  <c r="D139" i="22"/>
  <c r="E163" i="9"/>
  <c r="F162" i="9"/>
  <c r="AV162" i="9" s="1"/>
  <c r="BB162" i="9"/>
  <c r="K160" i="25"/>
  <c r="K36" i="3"/>
  <c r="L36" i="3" s="1"/>
  <c r="BK73" i="9" l="1"/>
  <c r="EA14" i="9"/>
  <c r="E127" i="22"/>
  <c r="L116" i="25"/>
  <c r="L190" i="18"/>
  <c r="E77" i="9"/>
  <c r="BB76" i="9"/>
  <c r="F76" i="9"/>
  <c r="AV76" i="9" s="1"/>
  <c r="AY248" i="9"/>
  <c r="J248" i="9"/>
  <c r="AZ248" i="9" s="1"/>
  <c r="B163" i="9"/>
  <c r="AU163" i="9"/>
  <c r="K232" i="18"/>
  <c r="K161" i="25" s="1"/>
  <c r="K242" i="18"/>
  <c r="AY76" i="9"/>
  <c r="J76" i="9"/>
  <c r="AZ76" i="9" s="1"/>
  <c r="E249" i="9"/>
  <c r="BB248" i="9"/>
  <c r="F248" i="9"/>
  <c r="AV248" i="9" s="1"/>
  <c r="K159" i="25"/>
  <c r="L226" i="18"/>
  <c r="EB13" i="9"/>
  <c r="BI74" i="9"/>
  <c r="BJ74" i="9" s="1"/>
  <c r="L119" i="25" l="1"/>
  <c r="I37" i="3"/>
  <c r="AR163" i="9"/>
  <c r="C163" i="9"/>
  <c r="H163" i="9"/>
  <c r="BM73" i="9"/>
  <c r="EA17" i="9"/>
  <c r="BL73" i="9"/>
  <c r="EA16" i="9"/>
  <c r="E131" i="22"/>
  <c r="C36" i="3"/>
  <c r="D36" i="3" s="1"/>
  <c r="J187" i="17"/>
  <c r="L221" i="18"/>
  <c r="L155" i="25"/>
  <c r="AU249" i="9"/>
  <c r="B249" i="9"/>
  <c r="AU77" i="9"/>
  <c r="B77" i="9"/>
  <c r="BG74" i="9" l="1"/>
  <c r="BH74" i="9" s="1"/>
  <c r="EB12" i="9"/>
  <c r="EA18" i="9"/>
  <c r="E134" i="22"/>
  <c r="G164" i="9"/>
  <c r="AW164" i="9" s="1"/>
  <c r="L163" i="9"/>
  <c r="I163" i="9"/>
  <c r="AX163" i="9"/>
  <c r="C249" i="9"/>
  <c r="AR249" i="9"/>
  <c r="H249" i="9"/>
  <c r="F138" i="22"/>
  <c r="L150" i="25"/>
  <c r="L224" i="18"/>
  <c r="O221" i="18"/>
  <c r="H77" i="9"/>
  <c r="C77" i="9"/>
  <c r="AR77" i="9"/>
  <c r="D163" i="9"/>
  <c r="AT163" i="9" s="1"/>
  <c r="AS163" i="9"/>
  <c r="D249" i="9" l="1"/>
  <c r="AT249" i="9" s="1"/>
  <c r="AS249" i="9"/>
  <c r="J37" i="3"/>
  <c r="L153" i="25"/>
  <c r="L227" i="18"/>
  <c r="AY163" i="9"/>
  <c r="J163" i="9"/>
  <c r="AZ163" i="9" s="1"/>
  <c r="E137" i="22"/>
  <c r="AS77" i="9"/>
  <c r="D77" i="9"/>
  <c r="AT77" i="9" s="1"/>
  <c r="E164" i="9"/>
  <c r="F163" i="9"/>
  <c r="AV163" i="9" s="1"/>
  <c r="BB163" i="9"/>
  <c r="L77" i="9"/>
  <c r="G78" i="9"/>
  <c r="AW78" i="9" s="1"/>
  <c r="I77" i="9"/>
  <c r="AX77" i="9"/>
  <c r="K188" i="17"/>
  <c r="N188" i="17" s="1"/>
  <c r="I138" i="22"/>
  <c r="O150" i="25"/>
  <c r="D37" i="23"/>
  <c r="O224" i="18"/>
  <c r="AX249" i="9"/>
  <c r="L249" i="9"/>
  <c r="I249" i="9"/>
  <c r="G250" i="9"/>
  <c r="AW250" i="9" s="1"/>
  <c r="BB77" i="9" l="1"/>
  <c r="E78" i="9"/>
  <c r="F77" i="9"/>
  <c r="AV77" i="9" s="1"/>
  <c r="F21" i="21"/>
  <c r="D190" i="31"/>
  <c r="B181" i="28"/>
  <c r="BI75" i="9"/>
  <c r="BJ75" i="9" s="1"/>
  <c r="EC13" i="9"/>
  <c r="B164" i="9"/>
  <c r="AU164" i="9"/>
  <c r="E139" i="22"/>
  <c r="BK74" i="9"/>
  <c r="EB14" i="9"/>
  <c r="O153" i="25"/>
  <c r="D40" i="23"/>
  <c r="AY249" i="9"/>
  <c r="J249" i="9"/>
  <c r="AZ249" i="9" s="1"/>
  <c r="E250" i="9"/>
  <c r="BB249" i="9"/>
  <c r="F249" i="9"/>
  <c r="AV249" i="9" s="1"/>
  <c r="AY77" i="9"/>
  <c r="J77" i="9"/>
  <c r="AZ77" i="9" s="1"/>
  <c r="L156" i="25"/>
  <c r="L229" i="18"/>
  <c r="EB17" i="9" l="1"/>
  <c r="BM74" i="9"/>
  <c r="AU250" i="9"/>
  <c r="B250" i="9"/>
  <c r="M181" i="28"/>
  <c r="I181" i="28"/>
  <c r="L181" i="28"/>
  <c r="J181" i="28"/>
  <c r="B183" i="28"/>
  <c r="D9" i="29" s="1"/>
  <c r="D205" i="31" s="1"/>
  <c r="D206" i="31" s="1"/>
  <c r="AU78" i="9"/>
  <c r="B78" i="9"/>
  <c r="BL74" i="9"/>
  <c r="EB16" i="9"/>
  <c r="L158" i="25"/>
  <c r="L252" i="18"/>
  <c r="L241" i="18"/>
  <c r="L231" i="18" s="1"/>
  <c r="L240" i="18"/>
  <c r="H164" i="9"/>
  <c r="C164" i="9"/>
  <c r="AR164" i="9"/>
  <c r="D42" i="31"/>
  <c r="D44" i="31" s="1"/>
  <c r="D65" i="31"/>
  <c r="D66" i="31"/>
  <c r="D67" i="31"/>
  <c r="L164" i="9" l="1"/>
  <c r="AX164" i="9"/>
  <c r="G165" i="9"/>
  <c r="AW165" i="9" s="1"/>
  <c r="I164" i="9"/>
  <c r="AR250" i="9"/>
  <c r="C250" i="9"/>
  <c r="H250" i="9"/>
  <c r="D164" i="9"/>
  <c r="AT164" i="9" s="1"/>
  <c r="AS164" i="9"/>
  <c r="L160" i="25"/>
  <c r="EC12" i="9"/>
  <c r="BG75" i="9"/>
  <c r="BH75" i="9" s="1"/>
  <c r="L230" i="18"/>
  <c r="K37" i="3" s="1"/>
  <c r="L37" i="3" s="1"/>
  <c r="L243" i="18"/>
  <c r="AR78" i="9"/>
  <c r="C78" i="9"/>
  <c r="H78" i="9"/>
  <c r="L253" i="18"/>
  <c r="L254" i="18" s="1"/>
  <c r="M187" i="18" s="1"/>
  <c r="F126" i="22"/>
  <c r="F127" i="22" s="1"/>
  <c r="EB18" i="9"/>
  <c r="L232" i="18" l="1"/>
  <c r="L161" i="25" s="1"/>
  <c r="AY164" i="9"/>
  <c r="J164" i="9"/>
  <c r="AZ164" i="9" s="1"/>
  <c r="M116" i="25"/>
  <c r="M190" i="18"/>
  <c r="L78" i="9"/>
  <c r="G79" i="9"/>
  <c r="AW79" i="9" s="1"/>
  <c r="AX78" i="9"/>
  <c r="I78" i="9"/>
  <c r="L159" i="25"/>
  <c r="M226" i="18"/>
  <c r="D250" i="9"/>
  <c r="AT250" i="9" s="1"/>
  <c r="AS250" i="9"/>
  <c r="AX250" i="9"/>
  <c r="I250" i="9"/>
  <c r="G251" i="9"/>
  <c r="AW251" i="9" s="1"/>
  <c r="L250" i="9"/>
  <c r="C37" i="3"/>
  <c r="D37" i="3" s="1"/>
  <c r="K187" i="17"/>
  <c r="F131" i="22"/>
  <c r="F134" i="22" s="1"/>
  <c r="F137" i="22" s="1"/>
  <c r="F139" i="22" s="1"/>
  <c r="D78" i="9"/>
  <c r="AT78" i="9" s="1"/>
  <c r="AS78" i="9"/>
  <c r="E165" i="9"/>
  <c r="F164" i="9"/>
  <c r="AV164" i="9" s="1"/>
  <c r="BB164" i="9"/>
  <c r="BB78" i="9" l="1"/>
  <c r="F78" i="9"/>
  <c r="AV78" i="9" s="1"/>
  <c r="E79" i="9"/>
  <c r="E251" i="9"/>
  <c r="BB250" i="9"/>
  <c r="F250" i="9"/>
  <c r="AV250" i="9" s="1"/>
  <c r="AY78" i="9"/>
  <c r="J78" i="9"/>
  <c r="AZ78" i="9" s="1"/>
  <c r="I38" i="3"/>
  <c r="M227" i="18"/>
  <c r="M156" i="25" s="1"/>
  <c r="M119" i="25"/>
  <c r="BK75" i="9"/>
  <c r="EC14" i="9"/>
  <c r="B165" i="9"/>
  <c r="AU165" i="9"/>
  <c r="AY250" i="9"/>
  <c r="J250" i="9"/>
  <c r="AZ250" i="9" s="1"/>
  <c r="M229" i="18"/>
  <c r="M155" i="25"/>
  <c r="BI76" i="9"/>
  <c r="BJ76" i="9" s="1"/>
  <c r="ED13" i="9"/>
  <c r="AR165" i="9" l="1"/>
  <c r="C165" i="9"/>
  <c r="H165" i="9"/>
  <c r="BM75" i="9"/>
  <c r="EC17" i="9"/>
  <c r="AU251" i="9"/>
  <c r="B251" i="9"/>
  <c r="EC16" i="9"/>
  <c r="BL75" i="9"/>
  <c r="M158" i="25"/>
  <c r="M241" i="18"/>
  <c r="M231" i="18" s="1"/>
  <c r="M240" i="18"/>
  <c r="M252" i="18"/>
  <c r="B79" i="9"/>
  <c r="AU79" i="9"/>
  <c r="BG76" i="9" l="1"/>
  <c r="BH76" i="9" s="1"/>
  <c r="ED12" i="9"/>
  <c r="M160" i="25"/>
  <c r="C251" i="9"/>
  <c r="AR251" i="9"/>
  <c r="H251" i="9"/>
  <c r="G166" i="9"/>
  <c r="AW166" i="9" s="1"/>
  <c r="L165" i="9"/>
  <c r="I165" i="9"/>
  <c r="AX165" i="9"/>
  <c r="D165" i="9"/>
  <c r="AT165" i="9" s="1"/>
  <c r="AS165" i="9"/>
  <c r="H79" i="9"/>
  <c r="AR79" i="9"/>
  <c r="C79" i="9"/>
  <c r="G126" i="22"/>
  <c r="G127" i="22" s="1"/>
  <c r="M253" i="18"/>
  <c r="M254" i="18" s="1"/>
  <c r="N187" i="18" s="1"/>
  <c r="M230" i="18"/>
  <c r="M243" i="18"/>
  <c r="EC18" i="9"/>
  <c r="N116" i="25" l="1"/>
  <c r="N190" i="18"/>
  <c r="O187" i="18"/>
  <c r="M159" i="25"/>
  <c r="N226" i="18"/>
  <c r="D79" i="9"/>
  <c r="AT79" i="9" s="1"/>
  <c r="AS79" i="9"/>
  <c r="AX251" i="9"/>
  <c r="L251" i="9"/>
  <c r="I251" i="9"/>
  <c r="G252" i="9"/>
  <c r="AW252" i="9" s="1"/>
  <c r="AX79" i="9"/>
  <c r="L79" i="9"/>
  <c r="G80" i="9"/>
  <c r="AW80" i="9" s="1"/>
  <c r="I79" i="9"/>
  <c r="AY165" i="9"/>
  <c r="J165" i="9"/>
  <c r="AZ165" i="9" s="1"/>
  <c r="K38" i="3"/>
  <c r="L38" i="3" s="1"/>
  <c r="G131" i="22"/>
  <c r="G134" i="22" s="1"/>
  <c r="G137" i="22" s="1"/>
  <c r="G139" i="22" s="1"/>
  <c r="L187" i="17"/>
  <c r="C38" i="3"/>
  <c r="D38" i="3" s="1"/>
  <c r="M232" i="18"/>
  <c r="M161" i="25" s="1"/>
  <c r="E166" i="9"/>
  <c r="F165" i="9"/>
  <c r="AV165" i="9" s="1"/>
  <c r="BB165" i="9"/>
  <c r="D251" i="9"/>
  <c r="AT251" i="9" s="1"/>
  <c r="AS251" i="9"/>
  <c r="AY79" i="9" l="1"/>
  <c r="J79" i="9"/>
  <c r="AZ79" i="9" s="1"/>
  <c r="ED14" i="9"/>
  <c r="BK76" i="9"/>
  <c r="EE13" i="9"/>
  <c r="BI77" i="9"/>
  <c r="BJ77" i="9" s="1"/>
  <c r="AY251" i="9"/>
  <c r="J251" i="9"/>
  <c r="AZ251" i="9" s="1"/>
  <c r="N119" i="25"/>
  <c r="I39" i="3"/>
  <c r="N227" i="18"/>
  <c r="N156" i="25" s="1"/>
  <c r="O116" i="25"/>
  <c r="D6" i="23"/>
  <c r="O190" i="18"/>
  <c r="B166" i="9"/>
  <c r="AU166" i="9"/>
  <c r="F79" i="9"/>
  <c r="AV79" i="9" s="1"/>
  <c r="BB79" i="9"/>
  <c r="E80" i="9"/>
  <c r="E252" i="9"/>
  <c r="F251" i="9"/>
  <c r="AV251" i="9" s="1"/>
  <c r="BB251" i="9"/>
  <c r="N229" i="18"/>
  <c r="N155" i="25"/>
  <c r="N252" i="18" l="1"/>
  <c r="N241" i="18"/>
  <c r="N240" i="18"/>
  <c r="N158" i="25"/>
  <c r="AU80" i="9"/>
  <c r="B80" i="9"/>
  <c r="H166" i="9"/>
  <c r="AR166" i="9"/>
  <c r="C166" i="9"/>
  <c r="D8" i="23"/>
  <c r="O227" i="18"/>
  <c r="O119" i="25"/>
  <c r="ED17" i="9"/>
  <c r="BM76" i="9"/>
  <c r="B252" i="9"/>
  <c r="AU252" i="9"/>
  <c r="ED16" i="9"/>
  <c r="BL76" i="9"/>
  <c r="ED18" i="9" l="1"/>
  <c r="O156" i="25"/>
  <c r="D43" i="23"/>
  <c r="I166" i="9"/>
  <c r="G167" i="9"/>
  <c r="AW167" i="9" s="1"/>
  <c r="L166" i="9"/>
  <c r="AX166" i="9"/>
  <c r="D166" i="9"/>
  <c r="AT166" i="9" s="1"/>
  <c r="AS166" i="9"/>
  <c r="EE12" i="9"/>
  <c r="BG77" i="9"/>
  <c r="BH77" i="9" s="1"/>
  <c r="N231" i="18"/>
  <c r="O241" i="18"/>
  <c r="AR80" i="9"/>
  <c r="C80" i="9"/>
  <c r="H80" i="9"/>
  <c r="N230" i="18"/>
  <c r="O240" i="18"/>
  <c r="N243" i="18"/>
  <c r="H252" i="9"/>
  <c r="C252" i="9"/>
  <c r="AR252" i="9"/>
  <c r="H126" i="22"/>
  <c r="N253" i="18"/>
  <c r="O253" i="18" s="1"/>
  <c r="E61" i="2" s="1"/>
  <c r="O252" i="18"/>
  <c r="AX252" i="9" l="1"/>
  <c r="I252" i="9"/>
  <c r="G253" i="9"/>
  <c r="AW253" i="9" s="1"/>
  <c r="L252" i="9"/>
  <c r="K39" i="3"/>
  <c r="L39" i="3" s="1"/>
  <c r="N160" i="25"/>
  <c r="O231" i="18"/>
  <c r="AY166" i="9"/>
  <c r="J166" i="9"/>
  <c r="AZ166" i="9" s="1"/>
  <c r="H127" i="22"/>
  <c r="I126" i="22"/>
  <c r="O243" i="18"/>
  <c r="H66" i="26" s="1"/>
  <c r="D163" i="31" s="1"/>
  <c r="N232" i="18"/>
  <c r="N242" i="18"/>
  <c r="O242" i="18" s="1"/>
  <c r="D80" i="9"/>
  <c r="AT80" i="9" s="1"/>
  <c r="AS80" i="9"/>
  <c r="N254" i="18"/>
  <c r="O254" i="18" s="1"/>
  <c r="E62" i="2" s="1"/>
  <c r="AX80" i="9"/>
  <c r="L80" i="9"/>
  <c r="G81" i="9"/>
  <c r="AW81" i="9" s="1"/>
  <c r="I80" i="9"/>
  <c r="BB166" i="9"/>
  <c r="F166" i="9"/>
  <c r="AV166" i="9" s="1"/>
  <c r="E167" i="9"/>
  <c r="E58" i="2"/>
  <c r="D252" i="9"/>
  <c r="AT252" i="9" s="1"/>
  <c r="AS252" i="9"/>
  <c r="N159" i="25"/>
  <c r="O230" i="18"/>
  <c r="O229" i="18"/>
  <c r="BI78" i="9" l="1"/>
  <c r="BJ78" i="9" s="1"/>
  <c r="EF13" i="9"/>
  <c r="EE14" i="9"/>
  <c r="BK77" i="9"/>
  <c r="B63" i="2"/>
  <c r="B58" i="2" s="1"/>
  <c r="D47" i="23"/>
  <c r="O160" i="25"/>
  <c r="H36" i="26"/>
  <c r="O158" i="25"/>
  <c r="D45" i="23"/>
  <c r="D12" i="29" s="1"/>
  <c r="E20" i="29" s="1"/>
  <c r="H131" i="22"/>
  <c r="C39" i="3"/>
  <c r="D39" i="3" s="1"/>
  <c r="M187" i="17"/>
  <c r="N187" i="17" s="1"/>
  <c r="N189" i="17" s="1"/>
  <c r="AY252" i="9"/>
  <c r="J252" i="9"/>
  <c r="AZ252" i="9" s="1"/>
  <c r="B167" i="9"/>
  <c r="AU167" i="9"/>
  <c r="E253" i="9"/>
  <c r="BB252" i="9"/>
  <c r="F252" i="9"/>
  <c r="AV252" i="9" s="1"/>
  <c r="BB80" i="9"/>
  <c r="F80" i="9"/>
  <c r="AV80" i="9" s="1"/>
  <c r="E81" i="9"/>
  <c r="D182" i="31"/>
  <c r="F9" i="21"/>
  <c r="I127" i="22"/>
  <c r="D46" i="23"/>
  <c r="E74" i="2"/>
  <c r="E73" i="2" s="1"/>
  <c r="O159" i="25"/>
  <c r="AY80" i="9"/>
  <c r="J80" i="9"/>
  <c r="AZ80" i="9" s="1"/>
  <c r="H33" i="26"/>
  <c r="N161" i="25"/>
  <c r="O232" i="18"/>
  <c r="O161" i="25" l="1"/>
  <c r="D48" i="23"/>
  <c r="EE17" i="9"/>
  <c r="BM77" i="9"/>
  <c r="AU81" i="9"/>
  <c r="B81" i="9"/>
  <c r="H134" i="22"/>
  <c r="I131" i="22"/>
  <c r="H34" i="26"/>
  <c r="D134" i="31"/>
  <c r="BL77" i="9"/>
  <c r="EE16" i="9"/>
  <c r="J126" i="22"/>
  <c r="J138" i="22"/>
  <c r="J133" i="22"/>
  <c r="J125" i="22"/>
  <c r="J134" i="22"/>
  <c r="J124" i="22"/>
  <c r="J123" i="22"/>
  <c r="J140" i="22"/>
  <c r="J127" i="22"/>
  <c r="J132" i="22"/>
  <c r="J129" i="22"/>
  <c r="J137" i="22"/>
  <c r="J139" i="22"/>
  <c r="J141" i="22"/>
  <c r="J130" i="22"/>
  <c r="J135" i="22"/>
  <c r="F10" i="21"/>
  <c r="D5" i="29"/>
  <c r="J136" i="22"/>
  <c r="AU253" i="9"/>
  <c r="B253" i="9"/>
  <c r="E22" i="29"/>
  <c r="B25" i="29"/>
  <c r="N192" i="17"/>
  <c r="B81" i="2" s="1"/>
  <c r="H60" i="26" s="1"/>
  <c r="N193" i="17"/>
  <c r="C117" i="22"/>
  <c r="H32" i="26"/>
  <c r="D131" i="31"/>
  <c r="D130" i="31" s="1"/>
  <c r="D207" i="31"/>
  <c r="D208" i="31" s="1"/>
  <c r="D183" i="31"/>
  <c r="AR167" i="9"/>
  <c r="C167" i="9"/>
  <c r="H167" i="9"/>
  <c r="D117" i="22" l="1"/>
  <c r="C118" i="22"/>
  <c r="H137" i="22"/>
  <c r="I134" i="22"/>
  <c r="EE18" i="9"/>
  <c r="D8" i="29"/>
  <c r="D17" i="29"/>
  <c r="D7" i="29"/>
  <c r="D10" i="29" s="1"/>
  <c r="D16" i="29" s="1"/>
  <c r="D91" i="31"/>
  <c r="D132" i="31"/>
  <c r="G168" i="9"/>
  <c r="AW168" i="9" s="1"/>
  <c r="L167" i="9"/>
  <c r="I167" i="9"/>
  <c r="AX167" i="9"/>
  <c r="D209" i="31"/>
  <c r="D210" i="31"/>
  <c r="B82" i="2"/>
  <c r="B73" i="2" s="1"/>
  <c r="H30" i="26"/>
  <c r="C253" i="9"/>
  <c r="AR253" i="9"/>
  <c r="H253" i="9"/>
  <c r="G16" i="21"/>
  <c r="G18" i="21"/>
  <c r="G8" i="21"/>
  <c r="G15" i="21"/>
  <c r="G21" i="21"/>
  <c r="G12" i="21"/>
  <c r="G9" i="21"/>
  <c r="G6" i="21"/>
  <c r="G19" i="21"/>
  <c r="G23" i="21"/>
  <c r="F14" i="21"/>
  <c r="F17" i="21" s="1"/>
  <c r="F20" i="21" s="1"/>
  <c r="F22" i="21" s="1"/>
  <c r="G20" i="21"/>
  <c r="G13" i="21"/>
  <c r="G14" i="21"/>
  <c r="G10" i="21"/>
  <c r="G24" i="21"/>
  <c r="G22" i="21"/>
  <c r="G17" i="21"/>
  <c r="G7" i="21"/>
  <c r="EF12" i="9"/>
  <c r="BG78" i="9"/>
  <c r="BH78" i="9" s="1"/>
  <c r="B26" i="29"/>
  <c r="E23" i="29"/>
  <c r="B19" i="29" s="1"/>
  <c r="C19" i="29" s="1"/>
  <c r="AR81" i="9"/>
  <c r="C81" i="9"/>
  <c r="H81" i="9"/>
  <c r="D167" i="9"/>
  <c r="AT167" i="9" s="1"/>
  <c r="AS167" i="9"/>
  <c r="H59" i="26"/>
  <c r="H54" i="26" s="1"/>
  <c r="D157" i="31"/>
  <c r="D156" i="31" s="1"/>
  <c r="D151" i="31" s="1"/>
  <c r="D169" i="31" s="1"/>
  <c r="E168" i="9" l="1"/>
  <c r="F167" i="9"/>
  <c r="AV167" i="9" s="1"/>
  <c r="BB167" i="9"/>
  <c r="G28" i="3"/>
  <c r="H28" i="3" s="1"/>
  <c r="I253" i="9"/>
  <c r="G254" i="9"/>
  <c r="AW254" i="9" s="1"/>
  <c r="L253" i="9"/>
  <c r="AX253" i="9"/>
  <c r="AY167" i="9"/>
  <c r="J167" i="9"/>
  <c r="AZ167" i="9" s="1"/>
  <c r="H139" i="22"/>
  <c r="I137" i="22"/>
  <c r="D19" i="31"/>
  <c r="D5" i="31" s="1"/>
  <c r="D22" i="31"/>
  <c r="D21" i="31"/>
  <c r="D6" i="31" s="1"/>
  <c r="D57" i="31"/>
  <c r="I81" i="9"/>
  <c r="G82" i="9"/>
  <c r="AW82" i="9" s="1"/>
  <c r="L81" i="9"/>
  <c r="AX81" i="9"/>
  <c r="D253" i="9"/>
  <c r="AT253" i="9" s="1"/>
  <c r="AS253" i="9"/>
  <c r="D81" i="9"/>
  <c r="AT81" i="9" s="1"/>
  <c r="AS81" i="9"/>
  <c r="D128" i="31"/>
  <c r="D122" i="31" s="1"/>
  <c r="D137" i="31" s="1"/>
  <c r="H24" i="26"/>
  <c r="H39" i="26" s="1"/>
  <c r="E117" i="22"/>
  <c r="D118" i="22"/>
  <c r="G29" i="3" s="1"/>
  <c r="H29" i="3" s="1"/>
  <c r="I21" i="26" l="1"/>
  <c r="I29" i="26"/>
  <c r="I36" i="26"/>
  <c r="I22" i="26"/>
  <c r="I37" i="26"/>
  <c r="I25" i="26"/>
  <c r="I11" i="26"/>
  <c r="I28" i="26"/>
  <c r="I5" i="26"/>
  <c r="I24" i="26"/>
  <c r="I27" i="26"/>
  <c r="I17" i="26"/>
  <c r="I14" i="26"/>
  <c r="I34" i="26"/>
  <c r="I8" i="26"/>
  <c r="I16" i="26"/>
  <c r="I6" i="26"/>
  <c r="I15" i="26"/>
  <c r="I30" i="26"/>
  <c r="I3" i="26"/>
  <c r="I38" i="26"/>
  <c r="I9" i="26"/>
  <c r="I33" i="26"/>
  <c r="I32" i="26"/>
  <c r="I26" i="26"/>
  <c r="I13" i="26"/>
  <c r="I31" i="26"/>
  <c r="I10" i="26"/>
  <c r="I23" i="26"/>
  <c r="I7" i="26"/>
  <c r="I20" i="26"/>
  <c r="I19" i="26"/>
  <c r="I12" i="26"/>
  <c r="I18" i="26"/>
  <c r="I35" i="26"/>
  <c r="I4" i="26"/>
  <c r="EG13" i="9"/>
  <c r="BI79" i="9"/>
  <c r="BJ79" i="9" s="1"/>
  <c r="F253" i="9"/>
  <c r="AV253" i="9" s="1"/>
  <c r="BB253" i="9"/>
  <c r="E254" i="9"/>
  <c r="D45" i="31"/>
  <c r="D48" i="31" s="1"/>
  <c r="D73" i="31"/>
  <c r="D81" i="31"/>
  <c r="D8" i="31" s="1"/>
  <c r="AY253" i="9"/>
  <c r="J253" i="9"/>
  <c r="AZ253" i="9" s="1"/>
  <c r="AY81" i="9"/>
  <c r="J81" i="9"/>
  <c r="AZ81" i="9" s="1"/>
  <c r="F117" i="22"/>
  <c r="E118" i="22"/>
  <c r="G30" i="3" s="1"/>
  <c r="H30" i="3" s="1"/>
  <c r="EF14" i="9"/>
  <c r="BK78" i="9"/>
  <c r="D168" i="31"/>
  <c r="D170" i="31" s="1"/>
  <c r="BB81" i="9"/>
  <c r="F81" i="9"/>
  <c r="AV81" i="9" s="1"/>
  <c r="E82" i="9"/>
  <c r="I139" i="22"/>
  <c r="AU168" i="9"/>
  <c r="B168" i="9"/>
  <c r="EF16" i="9" l="1"/>
  <c r="BL78" i="9"/>
  <c r="H168" i="9"/>
  <c r="AR168" i="9"/>
  <c r="C168" i="9"/>
  <c r="G117" i="22"/>
  <c r="F118" i="22"/>
  <c r="G31" i="3" s="1"/>
  <c r="H31" i="3" s="1"/>
  <c r="D24" i="31"/>
  <c r="D4" i="31" s="1"/>
  <c r="D23" i="31"/>
  <c r="D20" i="31"/>
  <c r="D64" i="31"/>
  <c r="B82" i="9"/>
  <c r="AU82" i="9"/>
  <c r="EF17" i="9"/>
  <c r="EF18" i="9" s="1"/>
  <c r="BM78" i="9"/>
  <c r="B254" i="9"/>
  <c r="AU254" i="9"/>
  <c r="I168" i="9" l="1"/>
  <c r="G169" i="9"/>
  <c r="AW169" i="9" s="1"/>
  <c r="L168" i="9"/>
  <c r="AX168" i="9"/>
  <c r="H117" i="22"/>
  <c r="G118" i="22"/>
  <c r="G32" i="3" s="1"/>
  <c r="H32" i="3" s="1"/>
  <c r="H254" i="9"/>
  <c r="C254" i="9"/>
  <c r="AR254" i="9"/>
  <c r="EG12" i="9"/>
  <c r="BG79" i="9"/>
  <c r="BH79" i="9" s="1"/>
  <c r="D168" i="9"/>
  <c r="AT168" i="9" s="1"/>
  <c r="AS168" i="9"/>
  <c r="AR82" i="9"/>
  <c r="C82" i="9"/>
  <c r="H82" i="9"/>
  <c r="AS82" i="9" l="1"/>
  <c r="D82" i="9"/>
  <c r="AT82" i="9" s="1"/>
  <c r="AX254" i="9"/>
  <c r="I254" i="9"/>
  <c r="G255" i="9"/>
  <c r="AW255" i="9" s="1"/>
  <c r="L254" i="9"/>
  <c r="C140" i="22"/>
  <c r="H118" i="22"/>
  <c r="G33" i="3" s="1"/>
  <c r="H33" i="3" s="1"/>
  <c r="I117" i="22"/>
  <c r="BB168" i="9"/>
  <c r="F168" i="9"/>
  <c r="AV168" i="9" s="1"/>
  <c r="E169" i="9"/>
  <c r="L82" i="9"/>
  <c r="G83" i="9"/>
  <c r="AW83" i="9" s="1"/>
  <c r="I82" i="9"/>
  <c r="AX82" i="9"/>
  <c r="D254" i="9"/>
  <c r="AT254" i="9" s="1"/>
  <c r="AS254" i="9"/>
  <c r="AY168" i="9"/>
  <c r="J168" i="9"/>
  <c r="AZ168" i="9" s="1"/>
  <c r="AU169" i="9" l="1"/>
  <c r="B169" i="9"/>
  <c r="AY254" i="9"/>
  <c r="J254" i="9"/>
  <c r="AZ254" i="9" s="1"/>
  <c r="I118" i="22"/>
  <c r="AY82" i="9"/>
  <c r="J82" i="9"/>
  <c r="AZ82" i="9" s="1"/>
  <c r="D140" i="22"/>
  <c r="C141" i="22"/>
  <c r="G34" i="3" s="1"/>
  <c r="H34" i="3" s="1"/>
  <c r="EH13" i="9"/>
  <c r="BI80" i="9"/>
  <c r="BJ80" i="9" s="1"/>
  <c r="F254" i="9"/>
  <c r="AV254" i="9" s="1"/>
  <c r="BB254" i="9"/>
  <c r="E255" i="9"/>
  <c r="BB82" i="9"/>
  <c r="F82" i="9"/>
  <c r="AV82" i="9" s="1"/>
  <c r="E83" i="9"/>
  <c r="EG14" i="9"/>
  <c r="BK79" i="9"/>
  <c r="E140" i="22" l="1"/>
  <c r="D141" i="22"/>
  <c r="G35" i="3" s="1"/>
  <c r="H35" i="3" s="1"/>
  <c r="BM79" i="9"/>
  <c r="EG17" i="9"/>
  <c r="AU255" i="9"/>
  <c r="B255" i="9"/>
  <c r="BL79" i="9"/>
  <c r="EG16" i="9"/>
  <c r="AR169" i="9"/>
  <c r="C169" i="9"/>
  <c r="H169" i="9"/>
  <c r="AU83" i="9"/>
  <c r="B83" i="9"/>
  <c r="EG18" i="9" l="1"/>
  <c r="G170" i="9"/>
  <c r="AW170" i="9" s="1"/>
  <c r="L169" i="9"/>
  <c r="I169" i="9"/>
  <c r="AX169" i="9"/>
  <c r="D169" i="9"/>
  <c r="AT169" i="9" s="1"/>
  <c r="AS169" i="9"/>
  <c r="C255" i="9"/>
  <c r="AR255" i="9"/>
  <c r="H255" i="9"/>
  <c r="AR83" i="9"/>
  <c r="C83" i="9"/>
  <c r="H83" i="9"/>
  <c r="BG80" i="9"/>
  <c r="BH80" i="9" s="1"/>
  <c r="EH12" i="9"/>
  <c r="F140" i="22"/>
  <c r="E141" i="22"/>
  <c r="G36" i="3" l="1"/>
  <c r="H36" i="3" s="1"/>
  <c r="I83" i="9"/>
  <c r="L83" i="9"/>
  <c r="G84" i="9"/>
  <c r="AW84" i="9" s="1"/>
  <c r="AX83" i="9"/>
  <c r="D83" i="9"/>
  <c r="AT83" i="9" s="1"/>
  <c r="AS83" i="9"/>
  <c r="E170" i="9"/>
  <c r="F169" i="9"/>
  <c r="AV169" i="9" s="1"/>
  <c r="BB169" i="9"/>
  <c r="G140" i="22"/>
  <c r="F141" i="22"/>
  <c r="G37" i="3" s="1"/>
  <c r="H37" i="3" s="1"/>
  <c r="D255" i="9"/>
  <c r="AT255" i="9" s="1"/>
  <c r="AS255" i="9"/>
  <c r="AY169" i="9"/>
  <c r="J169" i="9"/>
  <c r="AZ169" i="9" s="1"/>
  <c r="I255" i="9"/>
  <c r="G256" i="9"/>
  <c r="AW256" i="9" s="1"/>
  <c r="L255" i="9"/>
  <c r="AX255" i="9"/>
  <c r="H140" i="22" l="1"/>
  <c r="H141" i="22" s="1"/>
  <c r="G39" i="3" s="1"/>
  <c r="G141" i="22"/>
  <c r="G38" i="3" s="1"/>
  <c r="H38" i="3" s="1"/>
  <c r="EH14" i="9"/>
  <c r="BK80" i="9"/>
  <c r="BB83" i="9"/>
  <c r="F83" i="9"/>
  <c r="AV83" i="9" s="1"/>
  <c r="E84" i="9"/>
  <c r="AY255" i="9"/>
  <c r="J255" i="9"/>
  <c r="AZ255" i="9" s="1"/>
  <c r="AY83" i="9"/>
  <c r="J83" i="9"/>
  <c r="AZ83" i="9" s="1"/>
  <c r="I140" i="22"/>
  <c r="I141" i="22"/>
  <c r="E256" i="9"/>
  <c r="F255" i="9"/>
  <c r="AV255" i="9" s="1"/>
  <c r="BB255" i="9"/>
  <c r="B170" i="9"/>
  <c r="AU170" i="9"/>
  <c r="EI13" i="9"/>
  <c r="BI81" i="9"/>
  <c r="BJ81" i="9" s="1"/>
  <c r="EH17" i="9" l="1"/>
  <c r="BM80" i="9"/>
  <c r="D188" i="31"/>
  <c r="D193" i="31" s="1"/>
  <c r="F23" i="21"/>
  <c r="B179" i="28"/>
  <c r="AU84" i="9"/>
  <c r="B84" i="9"/>
  <c r="B256" i="9"/>
  <c r="AU256" i="9"/>
  <c r="EH16" i="9"/>
  <c r="BL80" i="9"/>
  <c r="H170" i="9"/>
  <c r="AR170" i="9"/>
  <c r="C170" i="9"/>
  <c r="F24" i="21"/>
  <c r="H49" i="26"/>
  <c r="R177" i="18"/>
  <c r="F5" i="4" s="1"/>
  <c r="H39" i="3"/>
  <c r="D146" i="31" l="1"/>
  <c r="D141" i="31" s="1"/>
  <c r="H44" i="26"/>
  <c r="H68" i="26" s="1"/>
  <c r="I170" i="9"/>
  <c r="G171" i="9"/>
  <c r="AW171" i="9" s="1"/>
  <c r="L170" i="9"/>
  <c r="AX170" i="9"/>
  <c r="H256" i="9"/>
  <c r="C256" i="9"/>
  <c r="AR256" i="9"/>
  <c r="C84" i="9"/>
  <c r="AR84" i="9"/>
  <c r="H84" i="9"/>
  <c r="D11" i="31"/>
  <c r="D10" i="31"/>
  <c r="D194" i="31"/>
  <c r="D170" i="9"/>
  <c r="AT170" i="9" s="1"/>
  <c r="AS170" i="9"/>
  <c r="EI12" i="9"/>
  <c r="BG81" i="9"/>
  <c r="BH81" i="9" s="1"/>
  <c r="J179" i="28"/>
  <c r="J183" i="28" s="1"/>
  <c r="L179" i="28"/>
  <c r="L183" i="28" s="1"/>
  <c r="L187" i="28" s="1"/>
  <c r="B188" i="28" s="1"/>
  <c r="M179" i="28"/>
  <c r="M183" i="28" s="1"/>
  <c r="I179" i="28"/>
  <c r="I183" i="28" s="1"/>
  <c r="I187" i="28" s="1"/>
  <c r="B187" i="28" s="1"/>
  <c r="EH18" i="9"/>
  <c r="D18" i="29" l="1"/>
  <c r="B185" i="28"/>
  <c r="G85" i="9"/>
  <c r="AW85" i="9" s="1"/>
  <c r="L84" i="9"/>
  <c r="I84" i="9"/>
  <c r="AX84" i="9"/>
  <c r="D256" i="9"/>
  <c r="AT256" i="9" s="1"/>
  <c r="AS256" i="9"/>
  <c r="AS84" i="9"/>
  <c r="D84" i="9"/>
  <c r="AT84" i="9" s="1"/>
  <c r="I58" i="26"/>
  <c r="I46" i="26"/>
  <c r="I60" i="26"/>
  <c r="I66" i="26"/>
  <c r="I54" i="26"/>
  <c r="I65" i="26"/>
  <c r="I61" i="26"/>
  <c r="I53" i="26"/>
  <c r="I64" i="26"/>
  <c r="I49" i="26"/>
  <c r="I59" i="26"/>
  <c r="I67" i="26"/>
  <c r="I48" i="26"/>
  <c r="I52" i="26"/>
  <c r="I57" i="26"/>
  <c r="I56" i="26"/>
  <c r="I45" i="26"/>
  <c r="I47" i="26"/>
  <c r="I55" i="26"/>
  <c r="I51" i="26"/>
  <c r="I62" i="26"/>
  <c r="I63" i="26"/>
  <c r="I50" i="26"/>
  <c r="I44" i="26"/>
  <c r="F4" i="4"/>
  <c r="D195" i="31"/>
  <c r="D196" i="31" s="1"/>
  <c r="AX256" i="9"/>
  <c r="I256" i="9"/>
  <c r="G257" i="9"/>
  <c r="AW257" i="9" s="1"/>
  <c r="L256" i="9"/>
  <c r="AY170" i="9"/>
  <c r="J170" i="9"/>
  <c r="AZ170" i="9" s="1"/>
  <c r="E171" i="9"/>
  <c r="F170" i="9"/>
  <c r="AV170" i="9" s="1"/>
  <c r="BB170" i="9"/>
  <c r="D172" i="31"/>
  <c r="D49" i="31"/>
  <c r="D165" i="31"/>
  <c r="B171" i="9" l="1"/>
  <c r="AU171" i="9"/>
  <c r="E85" i="9"/>
  <c r="F84" i="9"/>
  <c r="AV84" i="9" s="1"/>
  <c r="BB84" i="9"/>
  <c r="D46" i="31"/>
  <c r="D47" i="31" s="1"/>
  <c r="D173" i="31"/>
  <c r="D74" i="31" s="1"/>
  <c r="D56" i="31"/>
  <c r="D82" i="31"/>
  <c r="D75" i="31"/>
  <c r="D86" i="31"/>
  <c r="D9" i="31" s="1"/>
  <c r="D62" i="31"/>
  <c r="D96" i="31"/>
  <c r="D54" i="31"/>
  <c r="D55" i="31" s="1"/>
  <c r="D12" i="31" s="1"/>
  <c r="AY256" i="9"/>
  <c r="J256" i="9"/>
  <c r="AZ256" i="9" s="1"/>
  <c r="EJ13" i="9"/>
  <c r="BI82" i="9"/>
  <c r="BJ82" i="9" s="1"/>
  <c r="E257" i="9"/>
  <c r="BB256" i="9"/>
  <c r="F256" i="9"/>
  <c r="AV256" i="9" s="1"/>
  <c r="BK81" i="9"/>
  <c r="EI14" i="9"/>
  <c r="AY84" i="9"/>
  <c r="J84" i="9"/>
  <c r="AZ84" i="9" s="1"/>
  <c r="BM81" i="9" l="1"/>
  <c r="EI17" i="9"/>
  <c r="BL81" i="9"/>
  <c r="EI16" i="9"/>
  <c r="AU257" i="9"/>
  <c r="B257" i="9"/>
  <c r="AU85" i="9"/>
  <c r="B85" i="9"/>
  <c r="AR171" i="9"/>
  <c r="C171" i="9"/>
  <c r="H171" i="9"/>
  <c r="EI18" i="9" l="1"/>
  <c r="H257" i="9"/>
  <c r="C257" i="9"/>
  <c r="AR257" i="9"/>
  <c r="C85" i="9"/>
  <c r="H85" i="9"/>
  <c r="AR85" i="9"/>
  <c r="AX171" i="9"/>
  <c r="I171" i="9"/>
  <c r="G172" i="9"/>
  <c r="AW172" i="9" s="1"/>
  <c r="L171" i="9"/>
  <c r="BG82" i="9"/>
  <c r="BH82" i="9" s="1"/>
  <c r="EJ12" i="9"/>
  <c r="D171" i="9"/>
  <c r="AT171" i="9" s="1"/>
  <c r="AS171" i="9"/>
  <c r="AY171" i="9" l="1"/>
  <c r="J171" i="9"/>
  <c r="AZ171" i="9" s="1"/>
  <c r="AS85" i="9"/>
  <c r="D85" i="9"/>
  <c r="AT85" i="9" s="1"/>
  <c r="AS257" i="9"/>
  <c r="D257" i="9"/>
  <c r="AT257" i="9" s="1"/>
  <c r="BB171" i="9"/>
  <c r="F171" i="9"/>
  <c r="AV171" i="9" s="1"/>
  <c r="E172" i="9"/>
  <c r="L85" i="9"/>
  <c r="G86" i="9"/>
  <c r="AW86" i="9" s="1"/>
  <c r="I85" i="9"/>
  <c r="AX85" i="9"/>
  <c r="G258" i="9"/>
  <c r="AW258" i="9" s="1"/>
  <c r="I257" i="9"/>
  <c r="AX257" i="9"/>
  <c r="L257" i="9"/>
  <c r="AY85" i="9" l="1"/>
  <c r="J85" i="9"/>
  <c r="AZ85" i="9" s="1"/>
  <c r="AY257" i="9"/>
  <c r="J257" i="9"/>
  <c r="AZ257" i="9" s="1"/>
  <c r="EK13" i="9"/>
  <c r="BI83" i="9"/>
  <c r="BJ83" i="9" s="1"/>
  <c r="BK82" i="9"/>
  <c r="EJ14" i="9"/>
  <c r="BB85" i="9"/>
  <c r="F85" i="9"/>
  <c r="AV85" i="9" s="1"/>
  <c r="E86" i="9"/>
  <c r="E258" i="9"/>
  <c r="BB257" i="9"/>
  <c r="F257" i="9"/>
  <c r="AV257" i="9" s="1"/>
  <c r="B172" i="9"/>
  <c r="AU172" i="9"/>
  <c r="AU258" i="9" l="1"/>
  <c r="B258" i="9"/>
  <c r="BM82" i="9"/>
  <c r="EJ17" i="9"/>
  <c r="H172" i="9"/>
  <c r="C172" i="9"/>
  <c r="AR172" i="9"/>
  <c r="AU86" i="9"/>
  <c r="B86" i="9"/>
  <c r="EJ16" i="9"/>
  <c r="BL82" i="9"/>
  <c r="EJ18" i="9" l="1"/>
  <c r="BG83" i="9"/>
  <c r="BH83" i="9" s="1"/>
  <c r="EK12" i="9"/>
  <c r="H258" i="9"/>
  <c r="C258" i="9"/>
  <c r="AR258" i="9"/>
  <c r="D172" i="9"/>
  <c r="AT172" i="9" s="1"/>
  <c r="AS172" i="9"/>
  <c r="AR86" i="9"/>
  <c r="H86" i="9"/>
  <c r="C86" i="9"/>
  <c r="AX172" i="9"/>
  <c r="L172" i="9"/>
  <c r="G173" i="9"/>
  <c r="I172" i="9"/>
  <c r="E173" i="9" l="1"/>
  <c r="BB172" i="9"/>
  <c r="F172" i="9"/>
  <c r="AV172" i="9" s="1"/>
  <c r="AS258" i="9"/>
  <c r="D258" i="9"/>
  <c r="AT258" i="9" s="1"/>
  <c r="G259" i="9"/>
  <c r="I258" i="9"/>
  <c r="L258" i="9"/>
  <c r="AX258" i="9"/>
  <c r="AY172" i="9"/>
  <c r="J172" i="9"/>
  <c r="AZ172" i="9" s="1"/>
  <c r="AS86" i="9"/>
  <c r="D86" i="9"/>
  <c r="AT86" i="9" s="1"/>
  <c r="AW173" i="9"/>
  <c r="AW174" i="9" s="1"/>
  <c r="G174" i="9"/>
  <c r="L86" i="9"/>
  <c r="I86" i="9"/>
  <c r="AX86" i="9"/>
  <c r="G87" i="9"/>
  <c r="AY258" i="9" l="1"/>
  <c r="J258" i="9"/>
  <c r="AZ258" i="9" s="1"/>
  <c r="F86" i="9"/>
  <c r="AV86" i="9" s="1"/>
  <c r="BB86" i="9"/>
  <c r="E87" i="9"/>
  <c r="BK83" i="9"/>
  <c r="EK14" i="9"/>
  <c r="F258" i="9"/>
  <c r="AV258" i="9" s="1"/>
  <c r="BB258" i="9"/>
  <c r="E259" i="9"/>
  <c r="AW87" i="9"/>
  <c r="G88" i="9"/>
  <c r="AW259" i="9"/>
  <c r="AW260" i="9" s="1"/>
  <c r="G260" i="9"/>
  <c r="AY86" i="9"/>
  <c r="J86" i="9"/>
  <c r="AZ86" i="9" s="1"/>
  <c r="B173" i="9"/>
  <c r="AU173" i="9"/>
  <c r="AU174" i="9" s="1"/>
  <c r="AR174" i="9" s="1"/>
  <c r="E174" i="9"/>
  <c r="B174" i="9" l="1"/>
  <c r="M102" i="9"/>
  <c r="BL83" i="9"/>
  <c r="EK16" i="9"/>
  <c r="EL13" i="9"/>
  <c r="BI84" i="9"/>
  <c r="AW88" i="9"/>
  <c r="AU259" i="9"/>
  <c r="AU260" i="9" s="1"/>
  <c r="AR260" i="9" s="1"/>
  <c r="B259" i="9"/>
  <c r="E260" i="9"/>
  <c r="EK17" i="9"/>
  <c r="EK18" i="9" s="1"/>
  <c r="BM83" i="9"/>
  <c r="H173" i="9"/>
  <c r="C173" i="9"/>
  <c r="AR173" i="9"/>
  <c r="B87" i="9"/>
  <c r="AU87" i="9"/>
  <c r="E88" i="9"/>
  <c r="AS173" i="9" l="1"/>
  <c r="AS174" i="9" s="1"/>
  <c r="D173" i="9"/>
  <c r="AT173" i="9" s="1"/>
  <c r="C174" i="9"/>
  <c r="C87" i="9"/>
  <c r="AR87" i="9"/>
  <c r="H87" i="9"/>
  <c r="M16" i="9"/>
  <c r="B88" i="9"/>
  <c r="M188" i="9"/>
  <c r="B260" i="9"/>
  <c r="BJ84" i="9"/>
  <c r="BI85" i="9"/>
  <c r="BC102" i="9"/>
  <c r="M103" i="9"/>
  <c r="EL12" i="9"/>
  <c r="BG84" i="9"/>
  <c r="AU88" i="9"/>
  <c r="AR88" i="9" s="1"/>
  <c r="AX173" i="9"/>
  <c r="I173" i="9"/>
  <c r="L173" i="9"/>
  <c r="C259" i="9"/>
  <c r="H259" i="9"/>
  <c r="AR259" i="9"/>
  <c r="BH84" i="9" l="1"/>
  <c r="BG85" i="9"/>
  <c r="D87" i="9"/>
  <c r="AT87" i="9" s="1"/>
  <c r="AS87" i="9"/>
  <c r="C88" i="9"/>
  <c r="L259" i="9"/>
  <c r="I259" i="9"/>
  <c r="AX259" i="9"/>
  <c r="M104" i="9"/>
  <c r="BC103" i="9"/>
  <c r="I87" i="9"/>
  <c r="AX87" i="9"/>
  <c r="L87" i="9"/>
  <c r="F173" i="9"/>
  <c r="AV173" i="9" s="1"/>
  <c r="BB173" i="9"/>
  <c r="AY173" i="9"/>
  <c r="J173" i="9"/>
  <c r="AZ173" i="9" s="1"/>
  <c r="BC16" i="9"/>
  <c r="M17" i="9"/>
  <c r="AS259" i="9"/>
  <c r="AS260" i="9" s="1"/>
  <c r="D259" i="9"/>
  <c r="AT259" i="9" s="1"/>
  <c r="C260" i="9"/>
  <c r="M189" i="9"/>
  <c r="BC188" i="9"/>
  <c r="BK84" i="9" l="1"/>
  <c r="BK85" i="9" s="1"/>
  <c r="EL14" i="9"/>
  <c r="AS88" i="9"/>
  <c r="M18" i="9"/>
  <c r="BC17" i="9"/>
  <c r="AY87" i="9"/>
  <c r="J87" i="9"/>
  <c r="AZ87" i="9" s="1"/>
  <c r="AY259" i="9"/>
  <c r="J259" i="9"/>
  <c r="AZ259" i="9" s="1"/>
  <c r="BO13" i="9"/>
  <c r="BS15" i="9"/>
  <c r="F259" i="9"/>
  <c r="AV259" i="9" s="1"/>
  <c r="BB259" i="9"/>
  <c r="BC189" i="9"/>
  <c r="M190" i="9"/>
  <c r="F87" i="9"/>
  <c r="AV87" i="9" s="1"/>
  <c r="BB87" i="9"/>
  <c r="M105" i="9"/>
  <c r="BC104" i="9"/>
  <c r="M191" i="9" l="1"/>
  <c r="BC190" i="9"/>
  <c r="BC18" i="9"/>
  <c r="M19" i="9"/>
  <c r="M106" i="9"/>
  <c r="BC105" i="9"/>
  <c r="EL16" i="9"/>
  <c r="BL84" i="9"/>
  <c r="EL17" i="9"/>
  <c r="BM84" i="9"/>
  <c r="BO14" i="9"/>
  <c r="BT15" i="9"/>
  <c r="M20" i="9" l="1"/>
  <c r="BC19" i="9"/>
  <c r="BU15" i="9"/>
  <c r="BO15" i="9"/>
  <c r="EL18" i="9"/>
  <c r="BC106" i="9"/>
  <c r="M107" i="9"/>
  <c r="M192" i="9"/>
  <c r="BC191" i="9"/>
  <c r="BC192" i="9" l="1"/>
  <c r="M193" i="9"/>
  <c r="M108" i="9"/>
  <c r="BC107" i="9"/>
  <c r="BV15" i="9"/>
  <c r="BO16" i="9"/>
  <c r="M21" i="9"/>
  <c r="BC20" i="9"/>
  <c r="M194" i="9" l="1"/>
  <c r="BC193" i="9"/>
  <c r="BW15" i="9"/>
  <c r="BO17" i="9"/>
  <c r="M22" i="9"/>
  <c r="BC21" i="9"/>
  <c r="M109" i="9"/>
  <c r="BC108" i="9"/>
  <c r="M110" i="9" l="1"/>
  <c r="BC109" i="9"/>
  <c r="BX15" i="9"/>
  <c r="BO18" i="9"/>
  <c r="BC22" i="9"/>
  <c r="M23" i="9"/>
  <c r="M195" i="9"/>
  <c r="BC194" i="9"/>
  <c r="BC195" i="9" l="1"/>
  <c r="M196" i="9"/>
  <c r="BC23" i="9"/>
  <c r="M24" i="9"/>
  <c r="BY15" i="9"/>
  <c r="BO19" i="9"/>
  <c r="M111" i="9"/>
  <c r="BC110" i="9"/>
  <c r="BZ15" i="9" l="1"/>
  <c r="BO20" i="9"/>
  <c r="M25" i="9"/>
  <c r="BC24" i="9"/>
  <c r="M112" i="9"/>
  <c r="BC111" i="9"/>
  <c r="M197" i="9"/>
  <c r="BC196" i="9"/>
  <c r="M26" i="9" l="1"/>
  <c r="BC25" i="9"/>
  <c r="BO21" i="9"/>
  <c r="CA15" i="9"/>
  <c r="M198" i="9"/>
  <c r="BC197" i="9"/>
  <c r="M113" i="9"/>
  <c r="BC112" i="9"/>
  <c r="BC113" i="9" l="1"/>
  <c r="M114" i="9"/>
  <c r="BO22" i="9"/>
  <c r="CB15" i="9"/>
  <c r="M199" i="9"/>
  <c r="BC198" i="9"/>
  <c r="BC26" i="9"/>
  <c r="M27" i="9"/>
  <c r="BC27" i="9" l="1"/>
  <c r="M28" i="9"/>
  <c r="BO23" i="9"/>
  <c r="CC15" i="9"/>
  <c r="M115" i="9"/>
  <c r="BC114" i="9"/>
  <c r="BC199" i="9"/>
  <c r="M200" i="9"/>
  <c r="BC200" i="9" l="1"/>
  <c r="M201" i="9"/>
  <c r="BC28" i="9"/>
  <c r="M29" i="9"/>
  <c r="BC115" i="9"/>
  <c r="M116" i="9"/>
  <c r="CD15" i="9"/>
  <c r="BO24" i="9"/>
  <c r="BC201" i="9" l="1"/>
  <c r="M202" i="9"/>
  <c r="BC29" i="9"/>
  <c r="M30" i="9"/>
  <c r="BO25" i="9"/>
  <c r="CE15" i="9"/>
  <c r="M117" i="9"/>
  <c r="BC116" i="9"/>
  <c r="BC117" i="9" l="1"/>
  <c r="M118" i="9"/>
  <c r="BC202" i="9"/>
  <c r="M203" i="9"/>
  <c r="M31" i="9"/>
  <c r="BC30" i="9"/>
  <c r="CF15" i="9"/>
  <c r="BO26" i="9"/>
  <c r="CG15" i="9" l="1"/>
  <c r="BO27" i="9"/>
  <c r="BC203" i="9"/>
  <c r="M204" i="9"/>
  <c r="M119" i="9"/>
  <c r="BC118" i="9"/>
  <c r="BC31" i="9"/>
  <c r="M32" i="9"/>
  <c r="CH15" i="9" l="1"/>
  <c r="BO28" i="9"/>
  <c r="M33" i="9"/>
  <c r="BC32" i="9"/>
  <c r="BC204" i="9"/>
  <c r="M205" i="9"/>
  <c r="BC119" i="9"/>
  <c r="M120" i="9"/>
  <c r="M121" i="9" l="1"/>
  <c r="BC120" i="9"/>
  <c r="BC33" i="9"/>
  <c r="M34" i="9"/>
  <c r="BO29" i="9"/>
  <c r="CI15" i="9"/>
  <c r="BC205" i="9"/>
  <c r="M206" i="9"/>
  <c r="BC34" i="9" l="1"/>
  <c r="M35" i="9"/>
  <c r="BC206" i="9"/>
  <c r="M207" i="9"/>
  <c r="BO30" i="9"/>
  <c r="CJ15" i="9"/>
  <c r="BC121" i="9"/>
  <c r="M122" i="9"/>
  <c r="BC207" i="9" l="1"/>
  <c r="M208" i="9"/>
  <c r="M36" i="9"/>
  <c r="BC35" i="9"/>
  <c r="M123" i="9"/>
  <c r="BC122" i="9"/>
  <c r="BO31" i="9"/>
  <c r="CK15" i="9"/>
  <c r="CL15" i="9" l="1"/>
  <c r="BO32" i="9"/>
  <c r="BC36" i="9"/>
  <c r="M37" i="9"/>
  <c r="BC208" i="9"/>
  <c r="M209" i="9"/>
  <c r="BC123" i="9"/>
  <c r="M124" i="9"/>
  <c r="M125" i="9" l="1"/>
  <c r="BC124" i="9"/>
  <c r="BC37" i="9"/>
  <c r="M38" i="9"/>
  <c r="BO33" i="9"/>
  <c r="CM15" i="9"/>
  <c r="BC209" i="9"/>
  <c r="M210" i="9"/>
  <c r="BC210" i="9" l="1"/>
  <c r="M211" i="9"/>
  <c r="BC38" i="9"/>
  <c r="M39" i="9"/>
  <c r="CN15" i="9"/>
  <c r="BO34" i="9"/>
  <c r="BC125" i="9"/>
  <c r="M126" i="9"/>
  <c r="M40" i="9" l="1"/>
  <c r="BC39" i="9"/>
  <c r="CO15" i="9"/>
  <c r="BO35" i="9"/>
  <c r="BC211" i="9"/>
  <c r="M212" i="9"/>
  <c r="BC126" i="9"/>
  <c r="M127" i="9"/>
  <c r="BC127" i="9" l="1"/>
  <c r="M128" i="9"/>
  <c r="CP15" i="9"/>
  <c r="BO36" i="9"/>
  <c r="BC212" i="9"/>
  <c r="M213" i="9"/>
  <c r="BC40" i="9"/>
  <c r="M41" i="9"/>
  <c r="M42" i="9" l="1"/>
  <c r="BC41" i="9"/>
  <c r="CQ15" i="9"/>
  <c r="BO37" i="9"/>
  <c r="BC213" i="9"/>
  <c r="M214" i="9"/>
  <c r="BC128" i="9"/>
  <c r="M129" i="9"/>
  <c r="BC129" i="9" l="1"/>
  <c r="M130" i="9"/>
  <c r="BC214" i="9"/>
  <c r="M215" i="9"/>
  <c r="CR15" i="9"/>
  <c r="BO38" i="9"/>
  <c r="M43" i="9"/>
  <c r="BC42" i="9"/>
  <c r="CS15" i="9" l="1"/>
  <c r="BO39" i="9"/>
  <c r="BC215" i="9"/>
  <c r="M216" i="9"/>
  <c r="M44" i="9"/>
  <c r="BC43" i="9"/>
  <c r="BC130" i="9"/>
  <c r="M131" i="9"/>
  <c r="BC131" i="9" l="1"/>
  <c r="M132" i="9"/>
  <c r="BC216" i="9"/>
  <c r="M217" i="9"/>
  <c r="CT15" i="9"/>
  <c r="BO40" i="9"/>
  <c r="BC44" i="9"/>
  <c r="M45" i="9"/>
  <c r="BC132" i="9" l="1"/>
  <c r="M133" i="9"/>
  <c r="BC45" i="9"/>
  <c r="M46" i="9"/>
  <c r="BC217" i="9"/>
  <c r="M218" i="9"/>
  <c r="BO41" i="9"/>
  <c r="CU15" i="9"/>
  <c r="M47" i="9" l="1"/>
  <c r="BC46" i="9"/>
  <c r="CV15" i="9"/>
  <c r="BO42" i="9"/>
  <c r="BC218" i="9"/>
  <c r="M219" i="9"/>
  <c r="BC133" i="9"/>
  <c r="M134" i="9"/>
  <c r="BC134" i="9" l="1"/>
  <c r="M135" i="9"/>
  <c r="BC219" i="9"/>
  <c r="M220" i="9"/>
  <c r="BO43" i="9"/>
  <c r="CW15" i="9"/>
  <c r="M48" i="9"/>
  <c r="BC47" i="9"/>
  <c r="BO44" i="9" l="1"/>
  <c r="CX15" i="9"/>
  <c r="BC220" i="9"/>
  <c r="M221" i="9"/>
  <c r="BC48" i="9"/>
  <c r="M49" i="9"/>
  <c r="BC135" i="9"/>
  <c r="M136" i="9"/>
  <c r="BC221" i="9" l="1"/>
  <c r="M222" i="9"/>
  <c r="BC136" i="9"/>
  <c r="M137" i="9"/>
  <c r="BC49" i="9"/>
  <c r="M50" i="9"/>
  <c r="CY15" i="9"/>
  <c r="BO45" i="9"/>
  <c r="BC137" i="9" l="1"/>
  <c r="M138" i="9"/>
  <c r="BC222" i="9"/>
  <c r="M223" i="9"/>
  <c r="M51" i="9"/>
  <c r="BC50" i="9"/>
  <c r="BO46" i="9"/>
  <c r="CZ15" i="9"/>
  <c r="BC223" i="9" l="1"/>
  <c r="M224" i="9"/>
  <c r="DA15" i="9"/>
  <c r="BO47" i="9"/>
  <c r="BC138" i="9"/>
  <c r="M139" i="9"/>
  <c r="M52" i="9"/>
  <c r="BC51" i="9"/>
  <c r="DB15" i="9" l="1"/>
  <c r="BO48" i="9"/>
  <c r="M53" i="9"/>
  <c r="BC52" i="9"/>
  <c r="BC139" i="9"/>
  <c r="M140" i="9"/>
  <c r="BC224" i="9"/>
  <c r="M225" i="9"/>
  <c r="BC225" i="9" l="1"/>
  <c r="M226" i="9"/>
  <c r="BO49" i="9"/>
  <c r="DC15" i="9"/>
  <c r="BC53" i="9"/>
  <c r="M54" i="9"/>
  <c r="BC140" i="9"/>
  <c r="M141" i="9"/>
  <c r="M55" i="9" l="1"/>
  <c r="BC54" i="9"/>
  <c r="BC141" i="9"/>
  <c r="M142" i="9"/>
  <c r="BC226" i="9"/>
  <c r="M227" i="9"/>
  <c r="BO50" i="9"/>
  <c r="DD15" i="9"/>
  <c r="BC142" i="9" l="1"/>
  <c r="M143" i="9"/>
  <c r="BC227" i="9"/>
  <c r="M228" i="9"/>
  <c r="DE15" i="9"/>
  <c r="BO51" i="9"/>
  <c r="M56" i="9"/>
  <c r="BC55" i="9"/>
  <c r="M57" i="9" l="1"/>
  <c r="BC56" i="9"/>
  <c r="DF15" i="9"/>
  <c r="BO52" i="9"/>
  <c r="BC228" i="9"/>
  <c r="M229" i="9"/>
  <c r="BC143" i="9"/>
  <c r="M144" i="9"/>
  <c r="BC144" i="9" l="1"/>
  <c r="M145" i="9"/>
  <c r="BO53" i="9"/>
  <c r="DG15" i="9"/>
  <c r="BC229" i="9"/>
  <c r="M230" i="9"/>
  <c r="M58" i="9"/>
  <c r="BC57" i="9"/>
  <c r="DH15" i="9" l="1"/>
  <c r="BO54" i="9"/>
  <c r="BC230" i="9"/>
  <c r="M231" i="9"/>
  <c r="BC145" i="9"/>
  <c r="M146" i="9"/>
  <c r="M59" i="9"/>
  <c r="BC58" i="9"/>
  <c r="BO55" i="9" l="1"/>
  <c r="DI15" i="9"/>
  <c r="BC231" i="9"/>
  <c r="M232" i="9"/>
  <c r="M60" i="9"/>
  <c r="BC59" i="9"/>
  <c r="BC146" i="9"/>
  <c r="M147" i="9"/>
  <c r="BC147" i="9" l="1"/>
  <c r="M148" i="9"/>
  <c r="BC232" i="9"/>
  <c r="M233" i="9"/>
  <c r="DJ15" i="9"/>
  <c r="BO56" i="9"/>
  <c r="BC60" i="9"/>
  <c r="M61" i="9"/>
  <c r="BC61" i="9" l="1"/>
  <c r="M62" i="9"/>
  <c r="BC233" i="9"/>
  <c r="M234" i="9"/>
  <c r="BO57" i="9"/>
  <c r="DK15" i="9"/>
  <c r="BC148" i="9"/>
  <c r="M149" i="9"/>
  <c r="BC149" i="9" l="1"/>
  <c r="M150" i="9"/>
  <c r="BC234" i="9"/>
  <c r="M235" i="9"/>
  <c r="M63" i="9"/>
  <c r="BC62" i="9"/>
  <c r="DL15" i="9"/>
  <c r="BO58" i="9"/>
  <c r="BC235" i="9" l="1"/>
  <c r="M236" i="9"/>
  <c r="BO59" i="9"/>
  <c r="DM15" i="9"/>
  <c r="BC150" i="9"/>
  <c r="M151" i="9"/>
  <c r="M64" i="9"/>
  <c r="BC63" i="9"/>
  <c r="BO60" i="9" l="1"/>
  <c r="DN15" i="9"/>
  <c r="BC64" i="9"/>
  <c r="M65" i="9"/>
  <c r="BC151" i="9"/>
  <c r="M152" i="9"/>
  <c r="M237" i="9"/>
  <c r="BC236" i="9"/>
  <c r="BC65" i="9" l="1"/>
  <c r="M66" i="9"/>
  <c r="M238" i="9"/>
  <c r="BC237" i="9"/>
  <c r="DO15" i="9"/>
  <c r="BO61" i="9"/>
  <c r="BC152" i="9"/>
  <c r="M153" i="9"/>
  <c r="BC153" i="9" l="1"/>
  <c r="M154" i="9"/>
  <c r="M239" i="9"/>
  <c r="BC238" i="9"/>
  <c r="BC66" i="9"/>
  <c r="M67" i="9"/>
  <c r="DP15" i="9"/>
  <c r="BO62" i="9"/>
  <c r="BC154" i="9" l="1"/>
  <c r="M155" i="9"/>
  <c r="M240" i="9"/>
  <c r="BC239" i="9"/>
  <c r="M68" i="9"/>
  <c r="BC67" i="9"/>
  <c r="DQ15" i="9"/>
  <c r="BO63" i="9"/>
  <c r="BO64" i="9" l="1"/>
  <c r="DR15" i="9"/>
  <c r="M241" i="9"/>
  <c r="BC240" i="9"/>
  <c r="BC155" i="9"/>
  <c r="M156" i="9"/>
  <c r="M69" i="9"/>
  <c r="BC68" i="9"/>
  <c r="BC156" i="9" l="1"/>
  <c r="M157" i="9"/>
  <c r="BO65" i="9"/>
  <c r="DS15" i="9"/>
  <c r="M70" i="9"/>
  <c r="BC69" i="9"/>
  <c r="M242" i="9"/>
  <c r="BC241" i="9"/>
  <c r="M243" i="9" l="1"/>
  <c r="BC242" i="9"/>
  <c r="BO66" i="9"/>
  <c r="DT15" i="9"/>
  <c r="BC157" i="9"/>
  <c r="M158" i="9"/>
  <c r="BC70" i="9"/>
  <c r="M71" i="9"/>
  <c r="BC158" i="9" l="1"/>
  <c r="M159" i="9"/>
  <c r="BC71" i="9"/>
  <c r="M72" i="9"/>
  <c r="DU15" i="9"/>
  <c r="BO67" i="9"/>
  <c r="M244" i="9"/>
  <c r="BC243" i="9"/>
  <c r="BC159" i="9" l="1"/>
  <c r="M160" i="9"/>
  <c r="BC72" i="9"/>
  <c r="M73" i="9"/>
  <c r="M245" i="9"/>
  <c r="BC244" i="9"/>
  <c r="BO68" i="9"/>
  <c r="DV15" i="9"/>
  <c r="M74" i="9" l="1"/>
  <c r="BC73" i="9"/>
  <c r="BO69" i="9"/>
  <c r="DW15" i="9"/>
  <c r="BC160" i="9"/>
  <c r="M161" i="9"/>
  <c r="M246" i="9"/>
  <c r="BC245" i="9"/>
  <c r="M247" i="9" l="1"/>
  <c r="BC246" i="9"/>
  <c r="BO70" i="9"/>
  <c r="DX15" i="9"/>
  <c r="BC161" i="9"/>
  <c r="M162" i="9"/>
  <c r="M75" i="9"/>
  <c r="BC74" i="9"/>
  <c r="M163" i="9" l="1"/>
  <c r="BC162" i="9"/>
  <c r="DY15" i="9"/>
  <c r="BO71" i="9"/>
  <c r="BC75" i="9"/>
  <c r="M76" i="9"/>
  <c r="M248" i="9"/>
  <c r="BC247" i="9"/>
  <c r="M249" i="9" l="1"/>
  <c r="BC248" i="9"/>
  <c r="M77" i="9"/>
  <c r="BC76" i="9"/>
  <c r="BO72" i="9"/>
  <c r="DZ15" i="9"/>
  <c r="M164" i="9"/>
  <c r="BC163" i="9"/>
  <c r="BO73" i="9" l="1"/>
  <c r="EA15" i="9"/>
  <c r="M165" i="9"/>
  <c r="BC164" i="9"/>
  <c r="M78" i="9"/>
  <c r="BC77" i="9"/>
  <c r="M250" i="9"/>
  <c r="BC249" i="9"/>
  <c r="M251" i="9" l="1"/>
  <c r="BC250" i="9"/>
  <c r="M166" i="9"/>
  <c r="BC165" i="9"/>
  <c r="BO74" i="9"/>
  <c r="EB15" i="9"/>
  <c r="M79" i="9"/>
  <c r="BC78" i="9"/>
  <c r="EC15" i="9" l="1"/>
  <c r="BO75" i="9"/>
  <c r="M167" i="9"/>
  <c r="BC166" i="9"/>
  <c r="M80" i="9"/>
  <c r="BC79" i="9"/>
  <c r="M252" i="9"/>
  <c r="BC251" i="9"/>
  <c r="BO76" i="9" l="1"/>
  <c r="ED15" i="9"/>
  <c r="M253" i="9"/>
  <c r="BC252" i="9"/>
  <c r="M168" i="9"/>
  <c r="BC167" i="9"/>
  <c r="M81" i="9"/>
  <c r="BC80" i="9"/>
  <c r="BO77" i="9" l="1"/>
  <c r="EE15" i="9"/>
  <c r="BC81" i="9"/>
  <c r="M82" i="9"/>
  <c r="M254" i="9"/>
  <c r="BC253" i="9"/>
  <c r="M169" i="9"/>
  <c r="BC168" i="9"/>
  <c r="M83" i="9" l="1"/>
  <c r="BC82" i="9"/>
  <c r="M170" i="9"/>
  <c r="BC169" i="9"/>
  <c r="EF15" i="9"/>
  <c r="BO78" i="9"/>
  <c r="M255" i="9"/>
  <c r="BC254" i="9"/>
  <c r="M256" i="9" l="1"/>
  <c r="BC255" i="9"/>
  <c r="M171" i="9"/>
  <c r="BC170" i="9"/>
  <c r="BO79" i="9"/>
  <c r="EG15" i="9"/>
  <c r="M84" i="9"/>
  <c r="BC83" i="9"/>
  <c r="BO80" i="9" l="1"/>
  <c r="EH15" i="9"/>
  <c r="BC84" i="9"/>
  <c r="M85" i="9"/>
  <c r="M172" i="9"/>
  <c r="BC171" i="9"/>
  <c r="M257" i="9"/>
  <c r="BC256" i="9"/>
  <c r="M258" i="9" l="1"/>
  <c r="BC257" i="9"/>
  <c r="M86" i="9"/>
  <c r="BC85" i="9"/>
  <c r="BO81" i="9"/>
  <c r="EI15" i="9"/>
  <c r="BC172" i="9"/>
  <c r="M173" i="9"/>
  <c r="BC173" i="9" s="1"/>
  <c r="BO82" i="9" l="1"/>
  <c r="EJ15" i="9"/>
  <c r="M87" i="9"/>
  <c r="BC87" i="9" s="1"/>
  <c r="BC86" i="9"/>
  <c r="BC258" i="9"/>
  <c r="M259" i="9"/>
  <c r="BC259" i="9" s="1"/>
  <c r="EK15" i="9" l="1"/>
  <c r="BO83" i="9"/>
  <c r="BO84" i="9"/>
  <c r="EL1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3" authorId="0" shapeId="0" xr:uid="{00000000-0006-0000-0000-000001000000}">
      <text>
        <r>
          <rPr>
            <sz val="8"/>
            <color indexed="8"/>
            <rFont val="Times New Roman"/>
            <family val="1"/>
          </rPr>
          <t>IFICABLES, y</t>
        </r>
        <r>
          <rPr>
            <sz val="8"/>
            <color indexed="52"/>
            <rFont val="Times New Roman"/>
            <family val="1"/>
          </rPr>
          <t>a que su modif</t>
        </r>
        <r>
          <rPr>
            <sz val="8"/>
            <color indexed="8"/>
            <rFont val="Times New Roman"/>
            <family val="1"/>
          </rPr>
          <t>icación genera problemas graves en la hoja</t>
        </r>
        <r>
          <rPr>
            <sz val="8"/>
            <color indexed="52"/>
            <rFont val="Times New Roman"/>
            <family val="1"/>
          </rPr>
          <t xml:space="preserve"> de cálculo
</t>
        </r>
        <r>
          <rPr>
            <sz val="8"/>
            <color indexed="8"/>
            <rFont val="Times New Roman"/>
            <family val="1"/>
          </rPr>
          <t xml:space="preserve">NOTA:
Para ver como evolucionan los resultados será necesario que hayas rellenado el apartado Fiscalidad previamenteLLEGENDES:
Color vermell: cel·les d'entrada de dades. Mod
</t>
        </r>
      </text>
    </comment>
    <comment ref="A6" authorId="0" shapeId="0" xr:uid="{00000000-0006-0000-0000-000002000000}">
      <text>
        <r>
          <rPr>
            <b/>
            <sz val="8"/>
            <color indexed="8"/>
            <rFont val="Times New Roman"/>
            <family val="1"/>
          </rPr>
          <t>S'ha de posar el dígit del mes en què es preveu iniciar l'activitat (si, per exemple, és el mes de març, hem de posar un 3).</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F1" authorId="0" shapeId="0" xr:uid="{00000000-0006-0000-0F00-000001000000}">
      <text>
        <r>
          <rPr>
            <b/>
            <sz val="8"/>
            <color indexed="8"/>
            <rFont val="Times New Roman"/>
            <family val="1"/>
          </rPr>
          <t>Si l'activitat és classificada, s'ha de posar SI; si no ho és, cal posar NO.
Si no es posa res, es considera que l'empresa no ha de liquidar les taxes del permís municipal d'obertura.</t>
        </r>
      </text>
    </comment>
    <comment ref="D4" authorId="0" shapeId="0" xr:uid="{00000000-0006-0000-0F00-000002000000}">
      <text>
        <r>
          <rPr>
            <b/>
            <sz val="8"/>
            <color indexed="8"/>
            <rFont val="Times New Roman"/>
            <family val="1"/>
          </rPr>
          <t>S'ha de posar la superfície total de l'establiment.</t>
        </r>
      </text>
    </comment>
    <comment ref="D16" authorId="0" shapeId="0" xr:uid="{00000000-0006-0000-0F00-000003000000}">
      <text>
        <r>
          <rPr>
            <b/>
            <sz val="8"/>
            <color indexed="8"/>
            <rFont val="Times New Roman"/>
            <family val="1"/>
          </rPr>
          <t xml:space="preserve">Quota anual en concepte d'IAE que correspon a l'empresa, sense considerar les bonificacions.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B4" authorId="0" shapeId="0" xr:uid="{00000000-0006-0000-1000-000001000000}">
      <text>
        <r>
          <rPr>
            <b/>
            <sz val="8"/>
            <color indexed="8"/>
            <rFont val="Times New Roman"/>
            <family val="1"/>
          </rPr>
          <t xml:space="preserve">Tant per cent de la xifra d'ingressos sobre la que  l'empresa preveu que pagarà comissions a tercers.
</t>
        </r>
      </text>
    </comment>
    <comment ref="C4" authorId="0" shapeId="0" xr:uid="{00000000-0006-0000-1000-000002000000}">
      <text>
        <r>
          <rPr>
            <b/>
            <sz val="8"/>
            <color indexed="8"/>
            <rFont val="Times New Roman"/>
            <family val="1"/>
          </rPr>
          <t xml:space="preserve">Tipus de comissió que pagarà al'empresa als tercers.
</t>
        </r>
      </text>
    </comment>
    <comment ref="B5" authorId="0" shapeId="0" xr:uid="{00000000-0006-0000-1000-000003000000}">
      <text>
        <r>
          <rPr>
            <b/>
            <sz val="8"/>
            <color indexed="8"/>
            <rFont val="Times New Roman"/>
            <family val="1"/>
          </rPr>
          <t xml:space="preserve">Tant per cent del total d'ingressos que l'empresa preveu cobrar amb la intermediació d'una entitat financera. Per exemple, cobrament mitjançant targes de crèdit.
</t>
        </r>
      </text>
    </comment>
    <comment ref="C5" authorId="0" shapeId="0" xr:uid="{00000000-0006-0000-1000-000004000000}">
      <text>
        <r>
          <rPr>
            <b/>
            <sz val="8"/>
            <color indexed="8"/>
            <rFont val="Times New Roman"/>
            <family val="1"/>
          </rPr>
          <t xml:space="preserve">Comissió que aplicarà l'entitat financera per la seva gestió de cobrament.
</t>
        </r>
      </text>
    </comment>
    <comment ref="F7" authorId="0" shapeId="0" xr:uid="{00000000-0006-0000-1000-000005000000}">
      <text>
        <r>
          <rPr>
            <b/>
            <sz val="8"/>
            <color indexed="8"/>
            <rFont val="Times New Roman"/>
            <family val="1"/>
          </rPr>
          <t>Tipus de retenció en concepte d'IRPF aplicable als arrendaments i als professionals independents. Per defecte, s'ha posat el 15% per als arrendament i el 18% per als professionals.</t>
        </r>
      </text>
    </comment>
    <comment ref="B8" authorId="0" shapeId="0" xr:uid="{00000000-0006-0000-1000-000006000000}">
      <text>
        <r>
          <rPr>
            <b/>
            <sz val="8"/>
            <color indexed="8"/>
            <rFont val="Times New Roman"/>
            <family val="1"/>
          </rPr>
          <t xml:space="preserve">Despesa fixa mensual en publicitat que l'empresa preveu que gastarà.
</t>
        </r>
      </text>
    </comment>
    <comment ref="B9" authorId="0" shapeId="0" xr:uid="{00000000-0006-0000-1000-000007000000}">
      <text>
        <r>
          <rPr>
            <b/>
            <sz val="8"/>
            <color indexed="8"/>
            <rFont val="Times New Roman"/>
            <family val="1"/>
          </rPr>
          <t>Percentatge del total d'ingressos que l'empresa preveu gastar en publicitat.</t>
        </r>
      </text>
    </comment>
    <comment ref="B10" authorId="0" shapeId="0" xr:uid="{00000000-0006-0000-1000-000008000000}">
      <text>
        <r>
          <rPr>
            <b/>
            <sz val="8"/>
            <color indexed="8"/>
            <rFont val="Times New Roman"/>
            <family val="1"/>
          </rPr>
          <t xml:space="preserve">Pecentatge -sobre el total de vendes i ingressos- de morosos que es preveu que tindrà l'empresa.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1100-000001000000}">
      <text>
        <r>
          <rPr>
            <b/>
            <sz val="8"/>
            <color indexed="8"/>
            <rFont val="Times New Roman"/>
            <family val="1"/>
          </rPr>
          <t>S'ha de posar, per a cada termini, quin percentatge es preveu que es cobrarà de les vendes i ingressos realitzats. Per defecte, s'ha considerat que tots el cobraments seran al comptat.
La suma dels percentatges ha de donar el 100%.</t>
        </r>
      </text>
    </comment>
    <comment ref="A7" authorId="0" shapeId="0" xr:uid="{00000000-0006-0000-1100-000002000000}">
      <text>
        <r>
          <rPr>
            <b/>
            <sz val="8"/>
            <color indexed="8"/>
            <rFont val="Times New Roman"/>
            <family val="1"/>
          </rPr>
          <t>S'ha de posar, per a cada termini, el percentatge que es preveu pagar del total de compres realitzades. Per defecte, s'ha considerat que tots els pagament es fan al comptat.
La suma dels percentatges ha de donar el 100%.</t>
        </r>
      </text>
    </comment>
    <comment ref="C66" authorId="0" shapeId="0" xr:uid="{00000000-0006-0000-1100-000003000000}">
      <text>
        <r>
          <rPr>
            <b/>
            <sz val="8"/>
            <color indexed="8"/>
            <rFont val="Times New Roman"/>
            <family val="1"/>
          </rPr>
          <t>Les opcions són ANUAL, SEMESTRAL O TRIMESTRAL.
Per defecte, s'ha posat que els interessos es liquiden trimestralment.</t>
        </r>
      </text>
    </comment>
    <comment ref="C67" authorId="0" shapeId="0" xr:uid="{00000000-0006-0000-1100-000004000000}">
      <text>
        <r>
          <rPr>
            <b/>
            <sz val="8"/>
            <color indexed="8"/>
            <rFont val="Times New Roman"/>
            <family val="1"/>
          </rPr>
          <t>S'ha de posar el tipus d'interès efectiu anual que aplica l'entitat financera per a la línia de crèdit.
Per defecte, s'ha considerat un 
8,50%.</t>
        </r>
      </text>
    </comment>
    <comment ref="A70" authorId="0" shapeId="0" xr:uid="{00000000-0006-0000-1100-000005000000}">
      <text>
        <r>
          <rPr>
            <b/>
            <sz val="8"/>
            <color indexed="8"/>
            <rFont val="Times New Roman"/>
            <family val="1"/>
          </rPr>
          <t xml:space="preserve">Quan hi ha necessitat de diners, s'han previst disposicions de crèdit per multiples de 50.000 PTA.
</t>
        </r>
      </text>
    </comment>
    <comment ref="A71" authorId="0" shapeId="0" xr:uid="{00000000-0006-0000-1100-000006000000}">
      <text>
        <r>
          <rPr>
            <b/>
            <sz val="8"/>
            <color indexed="8"/>
            <rFont val="Times New Roman"/>
            <family val="1"/>
          </rPr>
          <t xml:space="preserve">Les devolucions de crèdit es fan quan hi ha una tresoreria positiva. Es retorna crèdit per múltiples de 20.000 PTA.
</t>
        </r>
      </text>
    </comment>
    <comment ref="C78" authorId="0" shapeId="0" xr:uid="{00000000-0006-0000-1100-000007000000}">
      <text>
        <r>
          <rPr>
            <b/>
            <sz val="8"/>
            <color indexed="8"/>
            <rFont val="Times New Roman"/>
            <family val="1"/>
          </rPr>
          <t>És el tipus d'interès efectiu anual amb què el banc o caixa remunera els saldos bancaris a favor de l'empresa.
Per defecte, s'ha considerat un 0,25%.</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B2" authorId="0" shapeId="0" xr:uid="{00000000-0006-0000-1200-000001000000}">
      <text>
        <r>
          <rPr>
            <b/>
            <sz val="8"/>
            <color indexed="8"/>
            <rFont val="Times New Roman"/>
            <family val="1"/>
          </rPr>
          <t xml:space="preserve">IMPORTANT! 
</t>
        </r>
        <r>
          <rPr>
            <sz val="8"/>
            <color indexed="8"/>
            <rFont val="Times New Roman"/>
            <family val="1"/>
          </rPr>
          <t xml:space="preserve">Escull l'opció que correspongui del desplegable i emplena totes les caselles que apareguin en blanc, inclosa aquesta.
Una vegada introduïdes les diferents opcions, si decideixes fer algun canvi en aquestes, hauràs d'esborrar TOTES LES ADES INTRODUÏDES en aquest apartat Fiscalitat.
</t>
        </r>
      </text>
    </comment>
    <comment ref="B5" authorId="0" shapeId="0" xr:uid="{00000000-0006-0000-1200-000002000000}">
      <text>
        <r>
          <rPr>
            <sz val="8"/>
            <color indexed="8"/>
            <rFont val="Times New Roman"/>
            <family val="1"/>
          </rPr>
          <t xml:space="preserve">Impost sobre la Renda de les Persones Físiques
</t>
        </r>
      </text>
    </comment>
    <comment ref="B6" authorId="0" shapeId="0" xr:uid="{00000000-0006-0000-1200-000003000000}">
      <text>
        <r>
          <rPr>
            <sz val="8"/>
            <color indexed="8"/>
            <rFont val="Times New Roman"/>
            <family val="1"/>
          </rPr>
          <t xml:space="preserve">Impost de Societats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A15" authorId="0" shapeId="0" xr:uid="{00000000-0006-0000-1C00-000001000000}">
      <text>
        <r>
          <rPr>
            <sz val="8"/>
            <color indexed="8"/>
            <rFont val="Times New Roman"/>
            <family val="1"/>
          </rPr>
          <t xml:space="preserve">Mesura el rendiment obtingut per la relació entre els beneficis de l'empresa abans d'impostos i el capital desemborsat i utilitzat per a la consecució d'aquests beneficis.
Quant més gran sigui el resultat millor, ja que suposa una major rendibilitat.
</t>
        </r>
      </text>
    </comment>
    <comment ref="A18" authorId="0" shapeId="0" xr:uid="{00000000-0006-0000-1C00-000002000000}">
      <text>
        <r>
          <rPr>
            <sz val="8"/>
            <color indexed="8"/>
            <rFont val="Times New Roman"/>
            <family val="1"/>
          </rPr>
          <t xml:space="preserve">Si assoleixes aquesta xifra de vendes ni perdràs ni guanyaràs ja que únicament cobriràs totes les despeses. Si la teva xifra d'ingressos és superior a aquesta obtindràs beneficis, mentre que si és inferior el resultat són pèrdues.
</t>
        </r>
      </text>
    </comment>
    <comment ref="A19" authorId="0" shapeId="0" xr:uid="{00000000-0006-0000-1C00-000003000000}">
      <text>
        <r>
          <rPr>
            <sz val="8"/>
            <color indexed="8"/>
            <rFont val="Times New Roman"/>
            <family val="1"/>
          </rPr>
          <t xml:space="preserve">És el termini que es triga a recuperar l'import invertit. 
Quant menor sigui el termini, millor.
</t>
        </r>
      </text>
    </comment>
    <comment ref="A25" authorId="0" shapeId="0" xr:uid="{00000000-0006-0000-1C00-000004000000}">
      <text>
        <r>
          <rPr>
            <sz val="8"/>
            <color indexed="8"/>
            <rFont val="Times New Roman"/>
            <family val="1"/>
          </rPr>
          <t xml:space="preserve">La TIR (Taxa Interna de Rendibilitat), és la taxa d'actualització que fa que el valor actual net d'una inversió sigui igual a zero. En definitiva, la TIR informa del percentatge de rentabilitat de la inversió. Per tant, la inversió serà aconsellable si la seva TIR és igual o més alt que el tipus d'interès mínim que desitja obtenir.
</t>
        </r>
      </text>
    </comment>
    <comment ref="A26" authorId="0" shapeId="0" xr:uid="{00000000-0006-0000-1C00-000005000000}">
      <text>
        <r>
          <rPr>
            <sz val="8"/>
            <color indexed="8"/>
            <rFont val="Times New Roman"/>
            <family val="1"/>
          </rPr>
          <t xml:space="preserve">El VAN (Valor Actual Net) és el valor actualitzat de tots els cobraments menys els pagaments. En definitiva, quantifica el benefici absolut en unitats monetàries, que produirà una inversió
La inversió serà aconsellable si el valor és positiu i desaconsellable si el valor és positiu i desaconsellable si és negatiu. Si el resultat és 0 serà indiferent.
</t>
        </r>
      </text>
    </comment>
    <comment ref="A27" authorId="0" shapeId="0" xr:uid="{00000000-0006-0000-1C00-000006000000}">
      <text>
        <r>
          <rPr>
            <sz val="8"/>
            <color indexed="8"/>
            <rFont val="Times New Roman"/>
            <family val="1"/>
          </rPr>
          <t xml:space="preserve">Cal indicar la taxa que s'aplicarà per al càlcul del VAN.
</t>
        </r>
      </text>
    </comment>
    <comment ref="C29" authorId="0" shapeId="0" xr:uid="{00000000-0006-0000-1C00-000007000000}">
      <text>
        <r>
          <rPr>
            <sz val="8"/>
            <color indexed="8"/>
            <rFont val="Times New Roman"/>
            <family val="1"/>
          </rPr>
          <t xml:space="preserve">L'anàlisi es pot fer per a qualsevol dels anys; només cal posar l'any a la casella del costat. Per defecte s'ha posat l'any 1.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1D00-000001000000}">
      <text>
        <r>
          <rPr>
            <b/>
            <sz val="8"/>
            <color indexed="8"/>
            <rFont val="Times New Roman"/>
            <family val="1"/>
          </rPr>
          <t>L'anàlisi es pot fer per a qualsevol dels anys, només cal posar l'any a la casella del costat. Per defecte s'ha posat l'any 1.</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1E00-000001000000}">
      <text>
        <r>
          <rPr>
            <sz val="8"/>
            <color indexed="8"/>
            <rFont val="Times New Roman"/>
            <family val="1"/>
          </rPr>
          <t>Mostra la relació entre l'actiu circulant de l'empresa. 
El fet ideal és que aquest sigui superior a zero, ja que si és igual a 0, la liquiditat és molt ajustada i per ex. un simple retard en el pagament d'algun client pot fer que l'empresa no pugui atendre els pagaments.
Si es inferior a 0 l'empresa està en una situació apurada de liquiditat ja que no cubreix amb el seu  actiu circulant els deutes que vencen a curt termini.</t>
        </r>
      </text>
    </comment>
    <comment ref="A19" authorId="0" shapeId="0" xr:uid="{00000000-0006-0000-1E00-000002000000}">
      <text>
        <r>
          <rPr>
            <sz val="8"/>
            <color indexed="8"/>
            <rFont val="Times New Roman"/>
            <family val="1"/>
          </rPr>
          <t>El valor ideal és entre 1,5 i 1,9. 
Si el resultat és inferior a 1, podem tenir problemes de liquiditat</t>
        </r>
      </text>
    </comment>
    <comment ref="A54" authorId="0" shapeId="0" xr:uid="{00000000-0006-0000-1E00-000003000000}">
      <text>
        <r>
          <rPr>
            <sz val="8"/>
            <color indexed="8"/>
            <rFont val="Times New Roman"/>
            <family val="1"/>
          </rPr>
          <t xml:space="preserve">Amb caràcter general, el valor correcte és 0,6. Per sobre d'aquest, l'empresa té excés de deutes, i per sota d'aquest, l'empresa està capitalitzada.
</t>
        </r>
      </text>
    </comment>
    <comment ref="A57" authorId="0" shapeId="0" xr:uid="{00000000-0006-0000-1E00-000004000000}">
      <text>
        <r>
          <rPr>
            <sz val="8"/>
            <color indexed="8"/>
            <rFont val="Times New Roman"/>
            <family val="1"/>
          </rPr>
          <t xml:space="preserve">Com més baix sigui el valor millor, ja que si és molt alt significa que predomina el deute a curt termini.
Exemple: si el resultat és 0,25 vol dir que de tot el deute que té l'empresa, només una quarta part caldrà tornar-la a curt termini.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E3" authorId="0" shapeId="0" xr:uid="{00000000-0006-0000-0400-000001000000}">
      <text>
        <r>
          <rPr>
            <b/>
            <sz val="8"/>
            <color indexed="10"/>
            <rFont val="Times New Roman"/>
            <family val="1"/>
          </rPr>
          <t xml:space="preserve">IMPORTANT!
</t>
        </r>
        <r>
          <rPr>
            <sz val="8"/>
            <color indexed="10"/>
            <rFont val="Times New Roman"/>
            <family val="1"/>
          </rPr>
          <t>Totes les quantitats a introduir en aquest pla financer, són</t>
        </r>
        <r>
          <rPr>
            <b/>
            <sz val="8"/>
            <color indexed="10"/>
            <rFont val="Times New Roman"/>
            <family val="1"/>
          </rPr>
          <t xml:space="preserve"> sense IVA</t>
        </r>
        <r>
          <rPr>
            <sz val="8"/>
            <color indexed="10"/>
            <rFont val="Times New Roman"/>
            <family val="1"/>
          </rPr>
          <t>,</t>
        </r>
        <r>
          <rPr>
            <b/>
            <sz val="8"/>
            <color indexed="10"/>
            <rFont val="Times New Roman"/>
            <family val="1"/>
          </rPr>
          <t xml:space="preserve"> a menys que en els comentaris de l'apartat concret expressament es digui el contrari (per ex. Inversions )
</t>
        </r>
      </text>
    </comment>
    <comment ref="B7" authorId="0" shapeId="0" xr:uid="{00000000-0006-0000-0400-000002000000}">
      <text>
        <r>
          <rPr>
            <sz val="8"/>
            <color indexed="8"/>
            <rFont val="Times New Roman"/>
            <family val="1"/>
          </rPr>
          <t>Has de posar l'any en el qual es preveu iniciar l'activitat</t>
        </r>
      </text>
    </comment>
    <comment ref="B8" authorId="0" shapeId="0" xr:uid="{00000000-0006-0000-0400-000003000000}">
      <text>
        <r>
          <rPr>
            <sz val="8"/>
            <color indexed="8"/>
            <rFont val="Times New Roman"/>
            <family val="1"/>
          </rPr>
          <t>Has de posar el dígit del mes en el qual es preveu iniciar l'activitat (si, per exemple, és el mes de març, hem de posar un 3).</t>
        </r>
      </text>
    </comment>
    <comment ref="D11" authorId="0" shapeId="0" xr:uid="{00000000-0006-0000-0400-000004000000}">
      <text>
        <r>
          <rPr>
            <sz val="8"/>
            <color indexed="8"/>
            <rFont val="Times New Roman"/>
            <family val="1"/>
          </rPr>
          <t xml:space="preserve">Indicar la quantitat d'existències que porten el 16% d'IVA
</t>
        </r>
      </text>
    </comment>
    <comment ref="E11" authorId="0" shapeId="0" xr:uid="{00000000-0006-0000-0400-000005000000}">
      <text>
        <r>
          <rPr>
            <sz val="8"/>
            <color indexed="8"/>
            <rFont val="Times New Roman"/>
            <family val="1"/>
          </rPr>
          <t xml:space="preserve">Indicar la quantitat d'existències que porten el 7% d'IVA
</t>
        </r>
      </text>
    </comment>
    <comment ref="F11" authorId="0" shapeId="0" xr:uid="{00000000-0006-0000-0400-000006000000}">
      <text>
        <r>
          <rPr>
            <sz val="8"/>
            <color indexed="8"/>
            <rFont val="Times New Roman"/>
            <family val="1"/>
          </rPr>
          <t xml:space="preserve">Indicar la quantitat d'existències que porten el 4% d'IVA
</t>
        </r>
      </text>
    </comment>
    <comment ref="G11" authorId="0" shapeId="0" xr:uid="{00000000-0006-0000-0400-000007000000}">
      <text>
        <r>
          <rPr>
            <sz val="8"/>
            <color indexed="8"/>
            <rFont val="Times New Roman"/>
            <family val="1"/>
          </rPr>
          <t>Indicar la quantitat d'existències que estan exemptes d'IVA.</t>
        </r>
      </text>
    </comment>
    <comment ref="C33" authorId="0" shapeId="0" xr:uid="{00000000-0006-0000-0400-000008000000}">
      <text>
        <r>
          <rPr>
            <sz val="8"/>
            <color indexed="8"/>
            <rFont val="Times New Roman"/>
            <family val="1"/>
          </rPr>
          <t>Has de posar els imports de les inversions a realitzar,</t>
        </r>
        <r>
          <rPr>
            <b/>
            <sz val="8"/>
            <color indexed="8"/>
            <rFont val="Times New Roman"/>
            <family val="1"/>
          </rPr>
          <t xml:space="preserve"> amb l'IVA inclòs.
</t>
        </r>
      </text>
    </comment>
    <comment ref="C118" authorId="0" shapeId="0" xr:uid="{00000000-0006-0000-0400-000009000000}">
      <text>
        <r>
          <rPr>
            <b/>
            <sz val="8"/>
            <color indexed="8"/>
            <rFont val="Times New Roman"/>
            <family val="1"/>
          </rPr>
          <t xml:space="preserve">S'han d'anotar les disminucions previstes dels diferents elements de l'immobilitzat.
</t>
        </r>
      </text>
    </comment>
    <comment ref="B148" authorId="0" shapeId="0" xr:uid="{00000000-0006-0000-0400-00000A000000}">
      <text>
        <r>
          <rPr>
            <sz val="8"/>
            <color indexed="8"/>
            <rFont val="Times New Roman"/>
            <family val="1"/>
          </rPr>
          <t>Els recursos propis poden referir-se tant a aportacions dineràries, com a no dineràries (l'aportació de mobiliari, equips informàtics, vehicles, etc.)</t>
        </r>
      </text>
    </comment>
    <comment ref="B151" authorId="0" shapeId="0" xr:uid="{00000000-0006-0000-0400-00000B000000}">
      <text>
        <r>
          <rPr>
            <b/>
            <sz val="8"/>
            <color indexed="8"/>
            <rFont val="Times New Roman"/>
            <family val="1"/>
          </rPr>
          <t xml:space="preserve">consignar només la part de capitalització de l'atur
</t>
        </r>
      </text>
    </comment>
    <comment ref="F151" authorId="0" shapeId="0" xr:uid="{00000000-0006-0000-0400-00000C000000}">
      <text>
        <r>
          <rPr>
            <sz val="8"/>
            <color indexed="8"/>
            <rFont val="Times New Roman"/>
            <family val="1"/>
          </rPr>
          <t>En els anys de carència només es paguen interessos. Com a màxim seran 4 anys. Per defecte s'ha considerat que no existeix període de carència. S'han d'especificar els mesos de carència</t>
        </r>
      </text>
    </comment>
    <comment ref="B153" authorId="0" shapeId="0" xr:uid="{00000000-0006-0000-0400-00000D000000}">
      <text>
        <r>
          <rPr>
            <sz val="8"/>
            <color indexed="8"/>
            <rFont val="Times New Roman"/>
            <family val="1"/>
          </rPr>
          <t xml:space="preserve">Només has de posar les subvencions quan sigui segur el seu cobrament. Per exemple, si s'ha sol·licitat una subvenció el primer any i es preveu el seu cobrament durant el segon, llavors cal anotar l'import en el segon any.
</t>
        </r>
      </text>
    </comment>
    <comment ref="B159" authorId="0" shapeId="0" xr:uid="{00000000-0006-0000-0400-00000E000000}">
      <text>
        <r>
          <rPr>
            <sz val="8"/>
            <color indexed="8"/>
            <rFont val="Times New Roman"/>
            <family val="1"/>
          </rPr>
          <t>Tipus d'interès al qual es realitza l'operació.</t>
        </r>
      </text>
    </comment>
    <comment ref="B160" authorId="0" shapeId="0" xr:uid="{00000000-0006-0000-0400-00000F000000}">
      <text>
        <r>
          <rPr>
            <sz val="8"/>
            <color indexed="8"/>
            <rFont val="Times New Roman"/>
            <family val="1"/>
          </rPr>
          <t xml:space="preserve">Els períodes s'expressen en anys.
</t>
        </r>
      </text>
    </comment>
    <comment ref="B168" authorId="0" shapeId="0" xr:uid="{00000000-0006-0000-0400-000010000000}">
      <text>
        <r>
          <rPr>
            <sz val="8"/>
            <color indexed="8"/>
            <rFont val="Times New Roman"/>
            <family val="1"/>
          </rPr>
          <t xml:space="preserve">Cal introduir el tipus d'interès efectiu anual. Per defecte, s'ha posat el 3%.
</t>
        </r>
      </text>
    </comment>
    <comment ref="B169" authorId="0" shapeId="0" xr:uid="{00000000-0006-0000-0400-000011000000}">
      <text>
        <r>
          <rPr>
            <sz val="8"/>
            <color indexed="8"/>
            <rFont val="Times New Roman"/>
            <family val="1"/>
          </rPr>
          <t xml:space="preserve">Els períodes s'expressen en anys.
</t>
        </r>
      </text>
    </comment>
    <comment ref="B170" authorId="0" shapeId="0" xr:uid="{00000000-0006-0000-0400-000012000000}">
      <text>
        <r>
          <rPr>
            <sz val="8"/>
            <color indexed="8"/>
            <rFont val="Times New Roman"/>
            <family val="1"/>
          </rPr>
          <t>En els anys de carència només es paguen interessos. Com a màxim seran 4 anys. Per defecte s'ha considerat que no existeix període de carència. S'han d'especificar els mesos de carència</t>
        </r>
      </text>
    </comment>
    <comment ref="B171" authorId="0" shapeId="0" xr:uid="{00000000-0006-0000-0400-000013000000}">
      <text>
        <r>
          <rPr>
            <sz val="8"/>
            <color indexed="8"/>
            <rFont val="Times New Roman"/>
            <family val="1"/>
          </rPr>
          <t xml:space="preserve">Les opcions d'aquesta casella són: MENSUAL, BIMENSUAL, TRIMESTRAL, QUADRIMESTRAL, SEMESTRAL o ANUAL.
Per defecte, s'ha posat una periodicitat mensual.
</t>
        </r>
      </text>
    </comment>
    <comment ref="B198" authorId="0" shapeId="0" xr:uid="{00000000-0006-0000-0400-000014000000}">
      <text>
        <r>
          <rPr>
            <sz val="8"/>
            <color indexed="8"/>
            <rFont val="Times New Roman"/>
            <family val="1"/>
          </rPr>
          <t xml:space="preserve">El marge variable es calcula per la diferència entre el preu de venda respecte al cost de la compra: (pv-pc)/pv
</t>
        </r>
      </text>
    </comment>
    <comment ref="B199" authorId="0" shapeId="0" xr:uid="{00000000-0006-0000-0400-000015000000}">
      <text>
        <r>
          <rPr>
            <b/>
            <sz val="8"/>
            <color indexed="8"/>
            <rFont val="Times New Roman"/>
            <family val="1"/>
          </rPr>
          <t>Consignar les previsions de vendes cada mes en euros</t>
        </r>
      </text>
    </comment>
    <comment ref="B269" authorId="0" shapeId="0" xr:uid="{00000000-0006-0000-0400-000016000000}">
      <text>
        <r>
          <rPr>
            <sz val="8"/>
            <color indexed="8"/>
            <rFont val="Times New Roman"/>
            <family val="1"/>
          </rPr>
          <t xml:space="preserve">Tipus d'IVA aplicable a les despeses. Per defecte, s'ha posat el 16%.
</t>
        </r>
      </text>
    </comment>
    <comment ref="B270" authorId="0" shapeId="0" xr:uid="{00000000-0006-0000-0400-000017000000}">
      <text>
        <r>
          <rPr>
            <sz val="8"/>
            <color indexed="8"/>
            <rFont val="Times New Roman"/>
            <family val="1"/>
          </rPr>
          <t xml:space="preserve">Tipus de retenció en concepte d'IRPF aplicable als lloguers i als professionals independents. Per defecte, s'ha posat el 15%. 
</t>
        </r>
      </text>
    </comment>
    <comment ref="C274" authorId="0" shapeId="0" xr:uid="{00000000-0006-0000-0400-000018000000}">
      <text>
        <r>
          <rPr>
            <sz val="8"/>
            <color indexed="8"/>
            <rFont val="Times New Roman"/>
            <family val="1"/>
          </rPr>
          <t xml:space="preserve">Tant per cent de la xifra d'ingressos que l'empresa preveu que pagarà en concepte de comissions a tercers.
</t>
        </r>
      </text>
    </comment>
    <comment ref="D274" authorId="0" shapeId="0" xr:uid="{00000000-0006-0000-0400-000019000000}">
      <text>
        <r>
          <rPr>
            <sz val="8"/>
            <color indexed="8"/>
            <rFont val="Times New Roman"/>
            <family val="1"/>
          </rPr>
          <t xml:space="preserve">Tipus de comissió que pagarà l'empresa a tercers.
</t>
        </r>
      </text>
    </comment>
    <comment ref="E274" authorId="0" shapeId="0" xr:uid="{00000000-0006-0000-0400-00001A000000}">
      <text>
        <r>
          <rPr>
            <sz val="8"/>
            <color indexed="8"/>
            <rFont val="Times New Roman"/>
            <family val="1"/>
          </rPr>
          <t xml:space="preserve">Tant per cent de la xifra d'ingressos que l'empresa preveu que pagarà en concepte de comissions a tercers.
</t>
        </r>
      </text>
    </comment>
    <comment ref="F274" authorId="0" shapeId="0" xr:uid="{00000000-0006-0000-0400-00001B000000}">
      <text>
        <r>
          <rPr>
            <sz val="8"/>
            <color indexed="8"/>
            <rFont val="Times New Roman"/>
            <family val="1"/>
          </rPr>
          <t xml:space="preserve">Tipus de comissió que pagarà l'empresa a tercers.
</t>
        </r>
      </text>
    </comment>
    <comment ref="G274" authorId="0" shapeId="0" xr:uid="{00000000-0006-0000-0400-00001C000000}">
      <text>
        <r>
          <rPr>
            <sz val="8"/>
            <color indexed="8"/>
            <rFont val="Times New Roman"/>
            <family val="1"/>
          </rPr>
          <t xml:space="preserve">Tant per cent de la xifra d'ingressos que l'empresa preveu que pagarà en concepte de comissions a tercers.
</t>
        </r>
      </text>
    </comment>
    <comment ref="H274" authorId="0" shapeId="0" xr:uid="{00000000-0006-0000-0400-00001D000000}">
      <text>
        <r>
          <rPr>
            <sz val="8"/>
            <color indexed="8"/>
            <rFont val="Times New Roman"/>
            <family val="1"/>
          </rPr>
          <t>Tipus de comissió que pagarà l'empresa a tercers.</t>
        </r>
      </text>
    </comment>
    <comment ref="B278" authorId="0" shapeId="0" xr:uid="{00000000-0006-0000-0400-00001E000000}">
      <text>
        <r>
          <rPr>
            <sz val="8"/>
            <color indexed="8"/>
            <rFont val="Times New Roman"/>
            <family val="1"/>
          </rPr>
          <t xml:space="preserve">Despesa fixa mensual en publicitat que l'empresa preveu que gastarà.
</t>
        </r>
      </text>
    </comment>
    <comment ref="B279" authorId="0" shapeId="0" xr:uid="{00000000-0006-0000-0400-00001F000000}">
      <text>
        <r>
          <rPr>
            <sz val="8"/>
            <color indexed="8"/>
            <rFont val="Times New Roman"/>
            <family val="1"/>
          </rPr>
          <t xml:space="preserve">Percentatge del total d'ingressos que l'empresa preveu que gastarà en publicitat.
</t>
        </r>
      </text>
    </comment>
    <comment ref="B280" authorId="0" shapeId="0" xr:uid="{00000000-0006-0000-0400-000020000000}">
      <text>
        <r>
          <rPr>
            <sz val="8"/>
            <color indexed="8"/>
            <rFont val="Times New Roman"/>
            <family val="1"/>
          </rPr>
          <t xml:space="preserve">Percentatge sobre el total de vendes i ingressos de morosos que es preveu que tindrà l'empresa.
</t>
        </r>
      </text>
    </comment>
    <comment ref="C281" authorId="0" shapeId="0" xr:uid="{00000000-0006-0000-0400-000021000000}">
      <text>
        <r>
          <rPr>
            <sz val="8"/>
            <color indexed="8"/>
            <rFont val="Times New Roman"/>
            <family val="1"/>
          </rPr>
          <t xml:space="preserve">Recorda que tots els imports van </t>
        </r>
        <r>
          <rPr>
            <b/>
            <sz val="8"/>
            <color indexed="8"/>
            <rFont val="Times New Roman"/>
            <family val="1"/>
          </rPr>
          <t xml:space="preserve">sense IVA
</t>
        </r>
      </text>
    </comment>
    <comment ref="B283" authorId="0" shapeId="0" xr:uid="{00000000-0006-0000-0400-000022000000}">
      <text>
        <r>
          <rPr>
            <sz val="8"/>
            <color indexed="8"/>
            <rFont val="Times New Roman"/>
            <family val="1"/>
          </rPr>
          <t xml:space="preserve">Caldrà incloure l'import total a pagar, però sense IVA. Més tard el full de càlcul s'encarregarà de restar la retenció aplicable al lloguer d'un local de negoci
</t>
        </r>
      </text>
    </comment>
    <comment ref="B285" authorId="0" shapeId="0" xr:uid="{00000000-0006-0000-0400-000023000000}">
      <text>
        <r>
          <rPr>
            <sz val="8"/>
            <color indexed="8"/>
            <rFont val="Times New Roman"/>
            <family val="1"/>
          </rPr>
          <t>Caldrà incloure l'import total a pagar, però sense IVA. Més tard el full de càlcul s'encarregarà de restar la retenció a practicar per l'empresa als professionals</t>
        </r>
      </text>
    </comment>
    <comment ref="B305" authorId="0" shapeId="0" xr:uid="{00000000-0006-0000-0400-000024000000}">
      <text>
        <r>
          <rPr>
            <sz val="8"/>
            <color indexed="8"/>
            <rFont val="Times New Roman"/>
            <family val="1"/>
          </rPr>
          <t xml:space="preserve">Caldrà incloure l'import total a pagar, però sense IVA. Més tard el full de càlcul s'encarregarà de restar la retenció aplicable al lloguer d'un local de negoci
</t>
        </r>
      </text>
    </comment>
    <comment ref="B307" authorId="0" shapeId="0" xr:uid="{00000000-0006-0000-0400-000025000000}">
      <text>
        <r>
          <rPr>
            <sz val="8"/>
            <color indexed="8"/>
            <rFont val="Times New Roman"/>
            <family val="1"/>
          </rPr>
          <t xml:space="preserve">Caldrà incloure l'import total a pagar, però sense IVA. Més tard el full de càlcul s'encarregarà de restar la retenció a practicar per l'empresa als professionals
</t>
        </r>
      </text>
    </comment>
    <comment ref="B343" authorId="0" shapeId="0" xr:uid="{00000000-0006-0000-0400-000026000000}">
      <text>
        <r>
          <rPr>
            <sz val="8"/>
            <color indexed="8"/>
            <rFont val="Times New Roman"/>
            <family val="1"/>
          </rPr>
          <t xml:space="preserve">El mes de liquidació és el mes que es genera l'obligació per part de l'empresa d'abonar un salari, amb independència que s'efectuï el pagament o no
</t>
        </r>
      </text>
    </comment>
    <comment ref="B344" authorId="0" shapeId="0" xr:uid="{00000000-0006-0000-0400-000027000000}">
      <text>
        <r>
          <rPr>
            <sz val="8"/>
            <color indexed="8"/>
            <rFont val="Times New Roman"/>
            <family val="1"/>
          </rPr>
          <t>És el mes que s'efectua el pagament efectiu de la nòmina. Per defecte s'ha estimat que el mes que es genera la nòmina és el mes que es paga</t>
        </r>
      </text>
    </comment>
    <comment ref="B379" authorId="0" shapeId="0" xr:uid="{00000000-0006-0000-0400-000028000000}">
      <text>
        <r>
          <rPr>
            <sz val="8"/>
            <color indexed="8"/>
            <rFont val="Times New Roman"/>
            <family val="1"/>
          </rPr>
          <t>La base mínima de cotització per a autònoms és de 770,4.</t>
        </r>
      </text>
    </comment>
    <comment ref="B380" authorId="0" shapeId="0" xr:uid="{00000000-0006-0000-0400-000029000000}">
      <text>
        <r>
          <rPr>
            <sz val="8"/>
            <color indexed="8"/>
            <rFont val="Times New Roman"/>
            <family val="1"/>
          </rPr>
          <t xml:space="preserve">Aquest és el tipus de cotització vigent amb IT per al 2004
</t>
        </r>
      </text>
    </comment>
    <comment ref="B388" authorId="0" shapeId="0" xr:uid="{00000000-0006-0000-0400-00002A000000}">
      <text>
        <r>
          <rPr>
            <sz val="8"/>
            <color indexed="8"/>
            <rFont val="Times New Roman"/>
            <family val="1"/>
          </rPr>
          <t xml:space="preserve">Nombre de treballadors que hi ha en cada categoria
</t>
        </r>
      </text>
    </comment>
    <comment ref="B390" authorId="0" shapeId="0" xr:uid="{00000000-0006-0000-0400-00002B000000}">
      <text>
        <r>
          <rPr>
            <sz val="8"/>
            <color indexed="8"/>
            <rFont val="Times New Roman"/>
            <family val="1"/>
          </rPr>
          <t>És el mes que s'efectua el pagament efectiu de la nòmina. Per defecte s'ha estimat que el mes que es genera la nòmina és el mes que es paga</t>
        </r>
      </text>
    </comment>
    <comment ref="F443" authorId="0" shapeId="0" xr:uid="{00000000-0006-0000-0400-00002C000000}">
      <text>
        <r>
          <rPr>
            <sz val="8"/>
            <color indexed="8"/>
            <rFont val="Times New Roman"/>
            <family val="1"/>
          </rPr>
          <t xml:space="preserve">El número indica a quant temps es realitzen els cobraments i pagaments. Exemple: 30 = a 30 dies.
</t>
        </r>
      </text>
    </comment>
    <comment ref="C444" authorId="0" shapeId="0" xr:uid="{00000000-0006-0000-0400-00002D000000}">
      <text>
        <r>
          <rPr>
            <sz val="8"/>
            <color indexed="8"/>
            <rFont val="Times New Roman"/>
            <family val="1"/>
          </rPr>
          <t>orcentajes ha de dar el 100% (ver casilla de al lado). Si suma més de 100 la cel·la del costat canvia de color. S'ha de posar, per a cada termini, quin serà el percentatge que es preveu cobrar de les vendes i ingressos realitzats. Per defecte, s'ha considLa suma dels p</t>
        </r>
      </text>
    </comment>
    <comment ref="C445" authorId="0" shapeId="0" xr:uid="{00000000-0006-0000-0400-00002E000000}">
      <text>
        <r>
          <rPr>
            <sz val="8"/>
            <color indexed="8"/>
            <rFont val="Times New Roman"/>
            <family val="1"/>
          </rPr>
          <t>Si suma más de 100 la cel·la del costat canvia de color. S'ha de posar, per a cada termini, el percentatge que es preveu pagar del total de compres realitzades. Per defecte, s'ha considerat que tots els pagaments es faran al comptat.
La suma dels percentatges ha de donar el 10</t>
        </r>
      </text>
    </comment>
    <comment ref="C448" authorId="0" shapeId="0" xr:uid="{00000000-0006-0000-0400-00002F000000}">
      <text>
        <r>
          <rPr>
            <sz val="8"/>
            <color indexed="8"/>
            <rFont val="Times New Roman"/>
            <family val="1"/>
          </rPr>
          <t xml:space="preserve">porcentajes ha de dar el 100% (ver casilla de al lado). Si suma més de 100 la cel·la del costat canvia de color.
S'ha de posar, per a cada termini, quin serà el percentatge que es preveu cobrar de les vendes i ingressos realitzats. Per defecte, s'ha consiLa suma dels </t>
        </r>
      </text>
    </comment>
    <comment ref="C449" authorId="0" shapeId="0" xr:uid="{00000000-0006-0000-0400-000030000000}">
      <text>
        <r>
          <rPr>
            <sz val="8"/>
            <color indexed="8"/>
            <rFont val="Times New Roman"/>
            <family val="1"/>
          </rPr>
          <t>Si suma más de 100 la cel·la del costat canvia de color.
S'ha de posar, per a cada termini, el percentatge que es preveu pagar del total de compres realitzades. Per defecte, s'ha considerat que tots els pagaments es faran al comptat.
La suma dels percentatges ha de donar el 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GBM</author>
    <author>XDP</author>
  </authors>
  <commentList>
    <comment ref="E3" authorId="0" shapeId="0" xr:uid="{00000000-0006-0000-0500-000001000000}">
      <text>
        <r>
          <rPr>
            <b/>
            <sz val="8"/>
            <color indexed="10"/>
            <rFont val="Times New Roman"/>
            <family val="1"/>
          </rPr>
          <t xml:space="preserve">IMPORTANT!
</t>
        </r>
        <r>
          <rPr>
            <sz val="8"/>
            <color indexed="8"/>
            <rFont val="Times New Roman"/>
            <family val="1"/>
          </rPr>
          <t xml:space="preserve">Totes les quantitats a inroduir en aquest pla financesr són </t>
        </r>
        <r>
          <rPr>
            <b/>
            <u/>
            <sz val="8"/>
            <color indexed="8"/>
            <rFont val="Times New Roman"/>
            <family val="1"/>
          </rPr>
          <t xml:space="preserve">sense IVA, a menys que en els comentaris de l'apartata concret expressament es digui el contrari (per ex. Inversions)
</t>
        </r>
      </text>
    </comment>
    <comment ref="B7" authorId="0" shapeId="0" xr:uid="{00000000-0006-0000-0500-000002000000}">
      <text>
        <r>
          <rPr>
            <sz val="8"/>
            <color indexed="8"/>
            <rFont val="Times New Roman"/>
            <family val="1"/>
          </rPr>
          <t>Has de posar l'any en el qual es preveu iniciar l'activitat</t>
        </r>
      </text>
    </comment>
    <comment ref="B8" authorId="0" shapeId="0" xr:uid="{00000000-0006-0000-0500-000003000000}">
      <text>
        <r>
          <rPr>
            <sz val="8"/>
            <color indexed="8"/>
            <rFont val="Times New Roman"/>
            <family val="1"/>
          </rPr>
          <t>Has de posar el dígit del mes en el qual es preveu iniciar l'activitat (si, per exemple, és el mes de març, hem de posar un 3).</t>
        </r>
      </text>
    </comment>
    <comment ref="C33" authorId="0" shapeId="0" xr:uid="{00000000-0006-0000-0500-000004000000}">
      <text>
        <r>
          <rPr>
            <sz val="8"/>
            <color indexed="8"/>
            <rFont val="Times New Roman"/>
            <family val="1"/>
          </rPr>
          <t>Has de posar els imports de les inversions a realitzar,</t>
        </r>
        <r>
          <rPr>
            <b/>
            <sz val="8"/>
            <color indexed="8"/>
            <rFont val="Times New Roman"/>
            <family val="1"/>
          </rPr>
          <t xml:space="preserve"> amb l'IVA inclòs.
</t>
        </r>
      </text>
    </comment>
    <comment ref="B128" authorId="0" shapeId="0" xr:uid="{00000000-0006-0000-0500-000005000000}">
      <text>
        <r>
          <rPr>
            <sz val="8"/>
            <color indexed="8"/>
            <rFont val="Times New Roman"/>
            <family val="1"/>
          </rPr>
          <t>Els recursos propis poden referir-se tant a aportacions dineràries, com a no dineràries (l'aportació de mobiliari, equips informàtics, vehicles, etc.)</t>
        </r>
      </text>
    </comment>
    <comment ref="B132" authorId="0" shapeId="0" xr:uid="{00000000-0006-0000-0500-000006000000}">
      <text>
        <r>
          <rPr>
            <sz val="8"/>
            <color indexed="8"/>
            <rFont val="Times New Roman"/>
            <family val="1"/>
          </rPr>
          <t>Consignar només la part de capitalització dedicada a inversió.
Si la destines a capital social, hauràs de posar-la a capital social.</t>
        </r>
      </text>
    </comment>
    <comment ref="B133" authorId="0" shapeId="0" xr:uid="{00000000-0006-0000-0500-000007000000}">
      <text>
        <r>
          <rPr>
            <sz val="8"/>
            <color indexed="8"/>
            <rFont val="Times New Roman"/>
            <family val="1"/>
          </rPr>
          <t xml:space="preserve">Només has de posar les subvencions quan sigui segur el seu cobrament. Per exemple, si s'ha sol·licitat una subvenció el primer any i es preveu el seu cobrament durant el segon, llavors cal anotar l'import en el segon any.
</t>
        </r>
      </text>
    </comment>
    <comment ref="B139" authorId="0" shapeId="0" xr:uid="{00000000-0006-0000-0500-000008000000}">
      <text>
        <r>
          <rPr>
            <sz val="8"/>
            <color indexed="8"/>
            <rFont val="Times New Roman"/>
            <family val="1"/>
          </rPr>
          <t xml:space="preserve">Cal introduir el tipus d'interès efectiu anual. Per defecte, s'ha posat el 3%.
</t>
        </r>
      </text>
    </comment>
    <comment ref="B140" authorId="0" shapeId="0" xr:uid="{00000000-0006-0000-0500-000009000000}">
      <text>
        <r>
          <rPr>
            <sz val="8"/>
            <color indexed="8"/>
            <rFont val="Times New Roman"/>
            <family val="1"/>
          </rPr>
          <t xml:space="preserve">Els períodes s'expressen en anys.
</t>
        </r>
      </text>
    </comment>
    <comment ref="B141" authorId="0" shapeId="0" xr:uid="{00000000-0006-0000-0500-00000A000000}">
      <text>
        <r>
          <rPr>
            <sz val="8"/>
            <color indexed="8"/>
            <rFont val="Times New Roman"/>
            <family val="1"/>
          </rPr>
          <t>En els anys de carència només es paguen interessos. Com a màxim seran 4 anys. Per defecte s'ha considerat que no existeix període de carència. S'han d'especificar els mesos de carència.</t>
        </r>
      </text>
    </comment>
    <comment ref="B142" authorId="0" shapeId="0" xr:uid="{00000000-0006-0000-0500-00000B000000}">
      <text>
        <r>
          <rPr>
            <sz val="8"/>
            <color indexed="8"/>
            <rFont val="Times New Roman"/>
            <family val="1"/>
          </rPr>
          <t xml:space="preserve">Les opcions d'aquesta casella són: MENSUAL, BIMENSUAL, TRIMESTRAL, QUADRIMESTRAL, SEMESTRAL o ANUAL.
Per defecte, s'ha posat una periodicitat mensual.
</t>
        </r>
      </text>
    </comment>
    <comment ref="B144" authorId="0" shapeId="0" xr:uid="{00000000-0006-0000-0500-00000C000000}">
      <text>
        <r>
          <rPr>
            <sz val="8"/>
            <color indexed="8"/>
            <rFont val="Times New Roman"/>
            <family val="1"/>
          </rPr>
          <t xml:space="preserve">Encara que no es tingui pensat en un principi sol·licitar una línia de crèdit, cal consignar les dades en aquest apartat, ja que el programa, per defecte, quan hi ha dèficit de tresoreria, suposa la contractació d'una línia de crèdit.
</t>
        </r>
      </text>
    </comment>
    <comment ref="B146" authorId="0" shapeId="0" xr:uid="{00000000-0006-0000-0500-00000D000000}">
      <text>
        <r>
          <rPr>
            <sz val="8"/>
            <color indexed="8"/>
            <rFont val="Times New Roman"/>
            <family val="1"/>
          </rPr>
          <t xml:space="preserve">Les opcions són ANUAL, SEMESTRAL O TRIMESTRAL.
Per defecte, s'ha posat que els interessos es liquiden trimestralment.
</t>
        </r>
      </text>
    </comment>
    <comment ref="B147" authorId="0" shapeId="0" xr:uid="{00000000-0006-0000-0500-00000E000000}">
      <text>
        <r>
          <rPr>
            <sz val="8"/>
            <color indexed="8"/>
            <rFont val="Times New Roman"/>
            <family val="1"/>
          </rPr>
          <t xml:space="preserve">S'ha de posar el tipus d'interès efectiu anual que aplica l'entitat financera per a la línia de crèdit.
Per defecte, s'ha considerat un 8,50%.
</t>
        </r>
      </text>
    </comment>
    <comment ref="G151" authorId="0" shapeId="0" xr:uid="{00000000-0006-0000-0500-00000F000000}">
      <text>
        <r>
          <rPr>
            <sz val="8"/>
            <color indexed="8"/>
            <rFont val="Times New Roman"/>
            <family val="1"/>
          </rPr>
          <t>Aquí posarem el tipus d'IVA que s'aplica en les compres que realiizem o als treballs que ens facturen els professionals.</t>
        </r>
      </text>
    </comment>
    <comment ref="B153" authorId="0" shapeId="0" xr:uid="{00000000-0006-0000-0500-000010000000}">
      <text>
        <r>
          <rPr>
            <sz val="8"/>
            <color indexed="8"/>
            <rFont val="Times New Roman"/>
            <family val="1"/>
          </rPr>
          <t xml:space="preserve">En aquesta columna has d'enumerar els diferents productes serveis que vendràs. El programa preveu un màxim de 12 productes/serveis. 
</t>
        </r>
      </text>
    </comment>
    <comment ref="C153" authorId="0" shapeId="0" xr:uid="{00000000-0006-0000-0500-000011000000}">
      <text>
        <r>
          <rPr>
            <sz val="8"/>
            <color indexed="8"/>
            <rFont val="Times New Roman"/>
            <family val="1"/>
          </rPr>
          <t xml:space="preserve">Unitats potencials que pots vendre, és a dir, la quantitat màxima que puguis vendre en funció de la teva capacitat de producció o venda.
</t>
        </r>
      </text>
    </comment>
    <comment ref="D153" authorId="0" shapeId="0" xr:uid="{00000000-0006-0000-0500-000012000000}">
      <text>
        <r>
          <rPr>
            <sz val="8"/>
            <color indexed="8"/>
            <rFont val="Times New Roman"/>
            <family val="1"/>
          </rPr>
          <t xml:space="preserve">Aquí has de posar el preu de venda unitari sense IVA.
</t>
        </r>
      </text>
    </comment>
    <comment ref="E153" authorId="0" shapeId="0" xr:uid="{00000000-0006-0000-0500-000013000000}">
      <text>
        <r>
          <rPr>
            <sz val="8"/>
            <color indexed="8"/>
            <rFont val="Times New Roman"/>
            <family val="1"/>
          </rPr>
          <t xml:space="preserve">Per calcular el marge utilitza la fórmula: (PV-PC)/PV
</t>
        </r>
      </text>
    </comment>
    <comment ref="F153" authorId="0" shapeId="0" xr:uid="{00000000-0006-0000-0500-000014000000}">
      <text>
        <r>
          <rPr>
            <sz val="8"/>
            <color indexed="8"/>
            <rFont val="Times New Roman"/>
            <family val="1"/>
          </rPr>
          <t xml:space="preserve">Aquí posarem el tipus d'IVA repercutit en la venda de cada producte/servei.
</t>
        </r>
      </text>
    </comment>
    <comment ref="B167" authorId="0" shapeId="0" xr:uid="{00000000-0006-0000-0500-000015000000}">
      <text>
        <r>
          <rPr>
            <sz val="8"/>
            <color indexed="8"/>
            <rFont val="Times New Roman"/>
            <family val="1"/>
          </rPr>
          <t xml:space="preserve">En aquest quadre hauràs d'introduir per a cada producte/servei i per a cada mes, el percentatge que preveus vendre respecte a la capacitat màxima (vendes potencials) que has introduït en el quadre anterior.  Aquesta mateixa operació l'hauràs de fer també per al segon i tercer exercici.
</t>
        </r>
      </text>
    </comment>
    <comment ref="B219" authorId="0" shapeId="0" xr:uid="{00000000-0006-0000-0500-000016000000}">
      <text>
        <r>
          <rPr>
            <sz val="8"/>
            <color indexed="8"/>
            <rFont val="Times New Roman"/>
            <family val="1"/>
          </rPr>
          <t xml:space="preserve">Tipus d'IVA aplicable a les despeses. Per defecte, s'ha posat el 16%.
</t>
        </r>
      </text>
    </comment>
    <comment ref="B220" authorId="0" shapeId="0" xr:uid="{00000000-0006-0000-0500-000017000000}">
      <text>
        <r>
          <rPr>
            <sz val="8"/>
            <color indexed="8"/>
            <rFont val="Times New Roman"/>
            <family val="1"/>
          </rPr>
          <t xml:space="preserve">Tipus de retenció en concepte d'IRPF aplicable als lloguers i als professionals independents. Per defecte, s'ha posat el 15%. 
</t>
        </r>
      </text>
    </comment>
    <comment ref="E220" authorId="0" shapeId="0" xr:uid="{00000000-0006-0000-0500-000018000000}">
      <text>
        <r>
          <rPr>
            <sz val="8"/>
            <color indexed="8"/>
            <rFont val="Times New Roman"/>
            <family val="1"/>
          </rPr>
          <t>Tipo de interés al cual se realiza la operación.</t>
        </r>
      </text>
    </comment>
    <comment ref="E221" authorId="0" shapeId="0" xr:uid="{00000000-0006-0000-0500-000019000000}">
      <text>
        <r>
          <rPr>
            <sz val="8"/>
            <color indexed="8"/>
            <rFont val="Times New Roman"/>
            <family val="1"/>
          </rPr>
          <t xml:space="preserve">Los periodos se expresan en años.
</t>
        </r>
      </text>
    </comment>
    <comment ref="F222" authorId="1" shapeId="0" xr:uid="{00000000-0006-0000-0500-00001A000000}">
      <text>
        <r>
          <rPr>
            <sz val="8"/>
            <color indexed="81"/>
            <rFont val="Tahoma"/>
            <family val="2"/>
          </rPr>
          <t xml:space="preserve">
Aquesta quota es refereix a interessos i prinicipal. NO INCLOU IVA.</t>
        </r>
      </text>
    </comment>
    <comment ref="C225" authorId="0" shapeId="0" xr:uid="{00000000-0006-0000-0500-00001B000000}">
      <text>
        <r>
          <rPr>
            <sz val="8"/>
            <color indexed="8"/>
            <rFont val="Times New Roman"/>
            <family val="1"/>
          </rPr>
          <t xml:space="preserve">Tant per cent de la xifra d'ingressos que l'empresa preveu que pagarà en concepte de comissions a tercers.
</t>
        </r>
      </text>
    </comment>
    <comment ref="D225" authorId="0" shapeId="0" xr:uid="{00000000-0006-0000-0500-00001C000000}">
      <text>
        <r>
          <rPr>
            <sz val="8"/>
            <color indexed="8"/>
            <rFont val="Times New Roman"/>
            <family val="1"/>
          </rPr>
          <t xml:space="preserve">Tipus de comissió que pagarà l'empresa a tercers.
</t>
        </r>
      </text>
    </comment>
    <comment ref="E225" authorId="0" shapeId="0" xr:uid="{00000000-0006-0000-0500-00001D000000}">
      <text>
        <r>
          <rPr>
            <sz val="8"/>
            <color indexed="8"/>
            <rFont val="Times New Roman"/>
            <family val="1"/>
          </rPr>
          <t xml:space="preserve">Tant per cent de la xifra d'ingressos que l'empresa preveu que pagarà en concepte de comissions a tercers.
</t>
        </r>
      </text>
    </comment>
    <comment ref="F225" authorId="0" shapeId="0" xr:uid="{00000000-0006-0000-0500-00001E000000}">
      <text>
        <r>
          <rPr>
            <sz val="8"/>
            <color indexed="8"/>
            <rFont val="Times New Roman"/>
            <family val="1"/>
          </rPr>
          <t xml:space="preserve">Tipus de comissió que pagarà l'empresa a tercers.
</t>
        </r>
      </text>
    </comment>
    <comment ref="G225" authorId="0" shapeId="0" xr:uid="{00000000-0006-0000-0500-00001F000000}">
      <text>
        <r>
          <rPr>
            <sz val="8"/>
            <color indexed="8"/>
            <rFont val="Times New Roman"/>
            <family val="1"/>
          </rPr>
          <t xml:space="preserve">Tant per cent de la xifra d'ingressos que l'empresa preveu que pagarà en concepte de comissions a tercers.
</t>
        </r>
      </text>
    </comment>
    <comment ref="H225" authorId="0" shapeId="0" xr:uid="{00000000-0006-0000-0500-000020000000}">
      <text>
        <r>
          <rPr>
            <sz val="8"/>
            <color indexed="8"/>
            <rFont val="Times New Roman"/>
            <family val="1"/>
          </rPr>
          <t>Tipus de comissió que pagarà l'empresa a tercers.</t>
        </r>
      </text>
    </comment>
    <comment ref="B228" authorId="0" shapeId="0" xr:uid="{00000000-0006-0000-0500-000021000000}">
      <text>
        <r>
          <rPr>
            <sz val="8"/>
            <color indexed="8"/>
            <rFont val="Times New Roman"/>
            <family val="1"/>
          </rPr>
          <t xml:space="preserve">Despesa fixa mensual en publicitat que l'empresa preveu que gastarà.
</t>
        </r>
      </text>
    </comment>
    <comment ref="B229" authorId="0" shapeId="0" xr:uid="{00000000-0006-0000-0500-000022000000}">
      <text>
        <r>
          <rPr>
            <sz val="8"/>
            <color indexed="8"/>
            <rFont val="Times New Roman"/>
            <family val="1"/>
          </rPr>
          <t xml:space="preserve">Percentatge del total d'ingressos que l'empresa preveu que gastarà en publicitat.
</t>
        </r>
      </text>
    </comment>
    <comment ref="B230" authorId="0" shapeId="0" xr:uid="{00000000-0006-0000-0500-000023000000}">
      <text>
        <r>
          <rPr>
            <sz val="8"/>
            <color indexed="8"/>
            <rFont val="Times New Roman"/>
            <family val="1"/>
          </rPr>
          <t xml:space="preserve">Percentatge sobre el total de vendes i ingressos de morosos que es preveu que tindrà l'empresa.
</t>
        </r>
      </text>
    </comment>
    <comment ref="C232" authorId="0" shapeId="0" xr:uid="{00000000-0006-0000-0500-000024000000}">
      <text>
        <r>
          <rPr>
            <sz val="8"/>
            <color indexed="8"/>
            <rFont val="Times New Roman"/>
            <family val="1"/>
          </rPr>
          <t xml:space="preserve">Recorda que tots els imports van </t>
        </r>
        <r>
          <rPr>
            <b/>
            <sz val="8"/>
            <color indexed="8"/>
            <rFont val="Times New Roman"/>
            <family val="1"/>
          </rPr>
          <t xml:space="preserve">sense IVA
</t>
        </r>
      </text>
    </comment>
    <comment ref="B233" authorId="0" shapeId="0" xr:uid="{00000000-0006-0000-0500-000025000000}">
      <text>
        <r>
          <rPr>
            <sz val="8"/>
            <color indexed="8"/>
            <rFont val="Times New Roman"/>
            <family val="1"/>
          </rPr>
          <t xml:space="preserve">Caldrà incloure l'import total a pagar, però sense IVA. Més tard el full de càlcul s'encarregarà de restar la retenció aplicable al lloguer d'un local de negoci.
</t>
        </r>
      </text>
    </comment>
    <comment ref="B235" authorId="0" shapeId="0" xr:uid="{00000000-0006-0000-0500-000026000000}">
      <text>
        <r>
          <rPr>
            <sz val="8"/>
            <color indexed="8"/>
            <rFont val="Times New Roman"/>
            <family val="1"/>
          </rPr>
          <t>Caldrà incloure l'import total a pagar, però sense IVA. Més tard el full de càlcul s'encarregarà de restar la retenció a practicar per l'empresa als professionals.</t>
        </r>
      </text>
    </comment>
    <comment ref="B251" authorId="0" shapeId="0" xr:uid="{00000000-0006-0000-0500-000027000000}">
      <text>
        <r>
          <rPr>
            <sz val="8"/>
            <color indexed="8"/>
            <rFont val="Times New Roman"/>
            <family val="1"/>
          </rPr>
          <t xml:space="preserve">Caldrà incloure l'import total a pagar, però sense IVA. Més tard el full de càlcul s'encarregarà de restar la retenció aplicable al lloguer d'un local de negoci
</t>
        </r>
      </text>
    </comment>
    <comment ref="B253" authorId="0" shapeId="0" xr:uid="{00000000-0006-0000-0500-000028000000}">
      <text>
        <r>
          <rPr>
            <sz val="8"/>
            <color indexed="8"/>
            <rFont val="Times New Roman"/>
            <family val="1"/>
          </rPr>
          <t xml:space="preserve">Caldrà incloure l'import total a pagar, però sense IVA. Més tard el full de càlcul s'encarregarà de restar la retenció a practicar per l'empresa als professionals
</t>
        </r>
      </text>
    </comment>
    <comment ref="B269" authorId="0" shapeId="0" xr:uid="{00000000-0006-0000-0500-000029000000}">
      <text>
        <r>
          <rPr>
            <sz val="8"/>
            <color indexed="8"/>
            <rFont val="Times New Roman"/>
            <family val="1"/>
          </rPr>
          <t xml:space="preserve">Caldrà incloure l'import total a pagar, però sense IVA. Més tard el full de càlcul s'encarregarà de restar la retenció aplicable al lloguer d'un local de negoci
</t>
        </r>
      </text>
    </comment>
    <comment ref="B271" authorId="0" shapeId="0" xr:uid="{00000000-0006-0000-0500-00002A000000}">
      <text>
        <r>
          <rPr>
            <sz val="8"/>
            <color indexed="8"/>
            <rFont val="Times New Roman"/>
            <family val="1"/>
          </rPr>
          <t xml:space="preserve">Caldrà incloure l'import total a pagar, però sense IVA. Més tard el full de càlcul s'encarregarà de restar la retenció a practicar per l'empresa als professionals.
</t>
        </r>
      </text>
    </comment>
    <comment ref="B290" authorId="0" shapeId="0" xr:uid="{00000000-0006-0000-0500-00002B000000}">
      <text>
        <r>
          <rPr>
            <sz val="8"/>
            <color indexed="8"/>
            <rFont val="Times New Roman"/>
            <family val="1"/>
          </rPr>
          <t>El mes de liquidació és el mes que es genera l'obligació per part de l'empresa d'abonar un salari, amb independència que s'efectuï el pagament o no.</t>
        </r>
      </text>
    </comment>
    <comment ref="B291" authorId="0" shapeId="0" xr:uid="{00000000-0006-0000-0500-00002C000000}">
      <text>
        <r>
          <rPr>
            <sz val="8"/>
            <color indexed="8"/>
            <rFont val="Times New Roman"/>
            <family val="1"/>
          </rPr>
          <t xml:space="preserve">És el mes que s'efectua el pagament efectiu de la nòmina. Per defecte s'ha estimat que el mes que es genera la nòmina és el mes que es paga
</t>
        </r>
      </text>
    </comment>
    <comment ref="B299" authorId="0" shapeId="0" xr:uid="{00000000-0006-0000-0500-00002D000000}">
      <text>
        <r>
          <rPr>
            <sz val="8"/>
            <color indexed="8"/>
            <rFont val="Times New Roman"/>
            <family val="1"/>
          </rPr>
          <t>La base mínima de cotització per a autònoms és de 875,70 euros/mes</t>
        </r>
      </text>
    </comment>
    <comment ref="B300" authorId="0" shapeId="0" xr:uid="{00000000-0006-0000-0500-00002E000000}">
      <text>
        <r>
          <rPr>
            <sz val="8"/>
            <color indexed="8"/>
            <rFont val="Times New Roman"/>
            <family val="1"/>
          </rPr>
          <t xml:space="preserve">El 29,8% és el tipus de cotització vigent amb IT per al 2011. Podem deixar de cotitzar IT si existeix pluriactivitat amb un altre règim de la Seguretat Social. 
</t>
        </r>
      </text>
    </comment>
    <comment ref="B303" authorId="0" shapeId="0" xr:uid="{00000000-0006-0000-0500-00002F000000}">
      <text>
        <r>
          <rPr>
            <sz val="8"/>
            <color indexed="8"/>
            <rFont val="Times New Roman"/>
            <family val="1"/>
          </rPr>
          <t xml:space="preserve">El mes de liquidació és el mes que es genera l'obligació per part de l'empresa d'abonar un salari, amb independència que s'efectuï el pagament o no
</t>
        </r>
      </text>
    </comment>
    <comment ref="B304" authorId="0" shapeId="0" xr:uid="{00000000-0006-0000-0500-000030000000}">
      <text>
        <r>
          <rPr>
            <sz val="8"/>
            <color indexed="8"/>
            <rFont val="Times New Roman"/>
            <family val="1"/>
          </rPr>
          <t xml:space="preserve">És el mes que s'efectua el pagament efectiu de la nòmina. Per defecte s'ha estimat que el mes que es genera la nòmina és el mes que es paga.
</t>
        </r>
      </text>
    </comment>
    <comment ref="B312" authorId="0" shapeId="0" xr:uid="{00000000-0006-0000-0500-000031000000}">
      <text>
        <r>
          <rPr>
            <b/>
            <sz val="8"/>
            <color indexed="8"/>
            <rFont val="Times New Roman"/>
            <family val="1"/>
          </rPr>
          <t>BCNACTIVA:</t>
        </r>
        <r>
          <rPr>
            <sz val="8"/>
            <color indexed="8"/>
            <rFont val="Times New Roman"/>
            <family val="1"/>
          </rPr>
          <t xml:space="preserve">
La base mínima de cotització per a autònoms és de 875,70 euros/mes</t>
        </r>
      </text>
    </comment>
    <comment ref="B313" authorId="0" shapeId="0" xr:uid="{00000000-0006-0000-0500-000032000000}">
      <text>
        <r>
          <rPr>
            <sz val="8"/>
            <color indexed="8"/>
            <rFont val="Times New Roman"/>
            <family val="1"/>
          </rPr>
          <t>El 29,8% és el tipus de cotització vigent amb IT per al 2011. Podem deixar de cotitzar IT si existeix pluriactivitat amb un altre règim de la Seguretat Social.</t>
        </r>
      </text>
    </comment>
    <comment ref="B316" authorId="0" shapeId="0" xr:uid="{00000000-0006-0000-0500-000033000000}">
      <text>
        <r>
          <rPr>
            <sz val="8"/>
            <color indexed="8"/>
            <rFont val="Times New Roman"/>
            <family val="1"/>
          </rPr>
          <t xml:space="preserve">El mes de liquidació és el mes que es genera l'obligació per part de l'empresa d'abonar un salari, amb independència que s'efectuï el pagament o no
</t>
        </r>
      </text>
    </comment>
    <comment ref="B317" authorId="0" shapeId="0" xr:uid="{00000000-0006-0000-0500-000034000000}">
      <text>
        <r>
          <rPr>
            <sz val="8"/>
            <color indexed="8"/>
            <rFont val="Times New Roman"/>
            <family val="1"/>
          </rPr>
          <t xml:space="preserve">És el mes que s'efectua el pagament efectiu de la nòmina. Per defecte s'ha estimat que el mes que es genera la nòmina és el mes que es paga.
</t>
        </r>
      </text>
    </comment>
    <comment ref="B325" authorId="0" shapeId="0" xr:uid="{00000000-0006-0000-0500-000035000000}">
      <text>
        <r>
          <rPr>
            <b/>
            <sz val="8"/>
            <color indexed="8"/>
            <rFont val="Times New Roman"/>
            <family val="1"/>
          </rPr>
          <t>BCNACTIVA:</t>
        </r>
        <r>
          <rPr>
            <sz val="8"/>
            <color indexed="8"/>
            <rFont val="Times New Roman"/>
            <family val="1"/>
          </rPr>
          <t xml:space="preserve">
La base mínima de cotització per a autònom és de 875,70 euros/mes</t>
        </r>
      </text>
    </comment>
    <comment ref="B326" authorId="0" shapeId="0" xr:uid="{00000000-0006-0000-0500-000036000000}">
      <text>
        <r>
          <rPr>
            <sz val="8"/>
            <color indexed="8"/>
            <rFont val="Times New Roman"/>
            <family val="1"/>
          </rPr>
          <t>El 29,8% és el tipus de cotització vigent amb IT per al 2011. Podem deixar de cotitzar IT si existeix pluriactivitat amb un altre règim de la Seguretat Social.</t>
        </r>
      </text>
    </comment>
    <comment ref="B334" authorId="0" shapeId="0" xr:uid="{00000000-0006-0000-0500-000037000000}">
      <text>
        <r>
          <rPr>
            <sz val="8"/>
            <color indexed="8"/>
            <rFont val="Times New Roman"/>
            <family val="1"/>
          </rPr>
          <t xml:space="preserve">Nombre de treballadors que hi ha en cada categoria.
</t>
        </r>
      </text>
    </comment>
    <comment ref="B335" authorId="0" shapeId="0" xr:uid="{00000000-0006-0000-0500-000038000000}">
      <text>
        <r>
          <rPr>
            <sz val="8"/>
            <color indexed="8"/>
            <rFont val="Times New Roman"/>
            <family val="1"/>
          </rPr>
          <t xml:space="preserve">El mes de liquidació és el mes que es genera l'obligació per part de l'empresa d'abonar un salari, amb independència que s'efectuï el pagament o no
</t>
        </r>
      </text>
    </comment>
    <comment ref="B336" authorId="0" shapeId="0" xr:uid="{00000000-0006-0000-0500-000039000000}">
      <text>
        <r>
          <rPr>
            <sz val="8"/>
            <color indexed="8"/>
            <rFont val="Times New Roman"/>
            <family val="1"/>
          </rPr>
          <t>És el mes que s'efectua el pagament efectiu de la nòmina. Per defecte s'ha estimat que el mes que es genera la nòmina és el mes que es paga</t>
        </r>
      </text>
    </comment>
    <comment ref="B338" authorId="0" shapeId="0" xr:uid="{00000000-0006-0000-0500-00003A000000}">
      <text>
        <r>
          <rPr>
            <sz val="8"/>
            <color indexed="8"/>
            <rFont val="Times New Roman"/>
            <family val="1"/>
          </rPr>
          <t xml:space="preserve">Correspon al sou brut anual dividit entre 12 mesos.
El sou brut anual a diferència del net, inclou les cotitzacions a la Seguretat Social per part del treballador i les retencions d'IRPF
El salari mínim, per al 2011, és de 641,4 euros o 21,38 euros/dia. </t>
        </r>
      </text>
    </comment>
    <comment ref="B344" authorId="2" shapeId="0" xr:uid="{00000000-0006-0000-0500-00003B000000}">
      <text>
        <r>
          <rPr>
            <b/>
            <sz val="8"/>
            <color indexed="81"/>
            <rFont val="Tahoma"/>
            <family val="2"/>
          </rPr>
          <t>BCNACTIVA:</t>
        </r>
        <r>
          <rPr>
            <sz val="8"/>
            <color indexed="81"/>
            <rFont val="Tahoma"/>
            <family val="2"/>
          </rPr>
          <t xml:space="preserve">
Cotizacions a càrrec de l'empresa per al 2011 (contractació indefinida a jornada complerta): 
Contingències comunes:     23,6%
Atur:                                     5,5%
Fogasa:                                 0,2%
Formació Professional:          0,6% 
Accidents laborals :   BOE 309 pàg. 51.869</t>
        </r>
      </text>
    </comment>
    <comment ref="B345" authorId="2" shapeId="0" xr:uid="{00000000-0006-0000-0500-00003C000000}">
      <text>
        <r>
          <rPr>
            <b/>
            <sz val="8"/>
            <color indexed="81"/>
            <rFont val="Tahoma"/>
            <family val="2"/>
          </rPr>
          <t xml:space="preserve">BCNACTIVA:
</t>
        </r>
        <r>
          <rPr>
            <sz val="8"/>
            <color indexed="81"/>
            <rFont val="Tahoma"/>
            <family val="2"/>
          </rPr>
          <t>Bases de cotització a càrrec del treballador per al 2011:
Contingències comunes:    4,70%
Atur:                                   1,55%
Formació Professional        0,10%</t>
        </r>
      </text>
    </comment>
    <comment ref="B348" authorId="0" shapeId="0" xr:uid="{00000000-0006-0000-0500-00003D000000}">
      <text>
        <r>
          <rPr>
            <sz val="8"/>
            <color indexed="8"/>
            <rFont val="Times New Roman"/>
            <family val="1"/>
          </rPr>
          <t xml:space="preserve">S'han de posar els mesos de paga extra. Per defecte s'han establert juny i desembre. En el cas que n'hi hagi una tercera, caldrà indicar el mes. 
</t>
        </r>
      </text>
    </comment>
    <comment ref="B352" authorId="0" shapeId="0" xr:uid="{00000000-0006-0000-0500-00003E000000}">
      <text>
        <r>
          <rPr>
            <sz val="8"/>
            <color indexed="8"/>
            <rFont val="Times New Roman"/>
            <family val="1"/>
          </rPr>
          <t xml:space="preserve">Nombre de treballadors que hi ha en cada categoria
</t>
        </r>
      </text>
    </comment>
    <comment ref="B353" authorId="0" shapeId="0" xr:uid="{00000000-0006-0000-0500-00003F000000}">
      <text>
        <r>
          <rPr>
            <sz val="8"/>
            <color indexed="8"/>
            <rFont val="Times New Roman"/>
            <family val="1"/>
          </rPr>
          <t xml:space="preserve">El mes de liquidació és el mes que es genera l'obligació per part de l'empresa d'abonar un salari, amb independència que s'efectuï el pagament o no
</t>
        </r>
      </text>
    </comment>
    <comment ref="B354" authorId="0" shapeId="0" xr:uid="{00000000-0006-0000-0500-000040000000}">
      <text>
        <r>
          <rPr>
            <sz val="8"/>
            <color indexed="8"/>
            <rFont val="Times New Roman"/>
            <family val="1"/>
          </rPr>
          <t xml:space="preserve">És el mes que s'efectua el pagament efectiu de la nòmina. Per defecte s'ha estimat que el mes que es genera la nòmina és el mes que es paga
</t>
        </r>
      </text>
    </comment>
    <comment ref="B356" authorId="0" shapeId="0" xr:uid="{00000000-0006-0000-0500-000041000000}">
      <text>
        <r>
          <rPr>
            <sz val="8"/>
            <color indexed="8"/>
            <rFont val="Times New Roman"/>
            <family val="1"/>
          </rPr>
          <t xml:space="preserve">Correspon al sou brut anual dividit entre 12 mesos.
El sou brut anual a diferència del net, inclou les cotitzacions a la Seguretat Social per part del treballador i les retencions d'IRPF
El salari mínim, per al 2011, és de 641,4 euros o 21,38 euros/dia. 
</t>
        </r>
      </text>
    </comment>
    <comment ref="B362" authorId="2" shapeId="0" xr:uid="{00000000-0006-0000-0500-000042000000}">
      <text>
        <r>
          <rPr>
            <b/>
            <sz val="8"/>
            <color indexed="81"/>
            <rFont val="Tahoma"/>
            <family val="2"/>
          </rPr>
          <t>BCNACTIVA:</t>
        </r>
        <r>
          <rPr>
            <sz val="8"/>
            <color indexed="81"/>
            <rFont val="Tahoma"/>
            <family val="2"/>
          </rPr>
          <t xml:space="preserve">
Cotizacions a càrrec de l'empresa per al 2011 (contractació indefinida a jornada complerta): 
Contingències comunes:     23,6%
Atur:                                     5,5%
Fogasa:                                 0,2%
Formació Professional:          0,6% 
Accidents laborals :   BOE 309 pàg. 51.869
</t>
        </r>
      </text>
    </comment>
    <comment ref="B363" authorId="2" shapeId="0" xr:uid="{00000000-0006-0000-0500-000043000000}">
      <text>
        <r>
          <rPr>
            <b/>
            <sz val="8"/>
            <color indexed="81"/>
            <rFont val="Tahoma"/>
            <family val="2"/>
          </rPr>
          <t xml:space="preserve">BCNACTIVA:
</t>
        </r>
        <r>
          <rPr>
            <sz val="8"/>
            <color indexed="81"/>
            <rFont val="Tahoma"/>
            <family val="2"/>
          </rPr>
          <t xml:space="preserve">Bases de cotització a càrrec del treballador per al 2011:
Contingències comunes:    4,70%
Atur:                                   1,55%
Formació Professional        0,10%
</t>
        </r>
      </text>
    </comment>
    <comment ref="B366" authorId="0" shapeId="0" xr:uid="{00000000-0006-0000-0500-000044000000}">
      <text>
        <r>
          <rPr>
            <sz val="8"/>
            <color indexed="8"/>
            <rFont val="Times New Roman"/>
            <family val="1"/>
          </rPr>
          <t xml:space="preserve">S'han de posar els mesos de paga extra. Per defecte s'han establert juny i desembre. En el cas que n'hi hagi una tercera, caldrà indicar el mes. 
</t>
        </r>
      </text>
    </comment>
    <comment ref="B370" authorId="0" shapeId="0" xr:uid="{00000000-0006-0000-0500-000045000000}">
      <text>
        <r>
          <rPr>
            <sz val="8"/>
            <color indexed="8"/>
            <rFont val="Times New Roman"/>
            <family val="1"/>
          </rPr>
          <t xml:space="preserve">Nombre de treballadors que hi ha en cada categoria
</t>
        </r>
      </text>
    </comment>
    <comment ref="B371" authorId="0" shapeId="0" xr:uid="{00000000-0006-0000-0500-000046000000}">
      <text>
        <r>
          <rPr>
            <sz val="8"/>
            <color indexed="8"/>
            <rFont val="Times New Roman"/>
            <family val="1"/>
          </rPr>
          <t xml:space="preserve">El mes de liquidació és el mes que es genera l'obligació per part de l'empresa d'abonar un salari, amb independència que s'efectuï el pagament o no
</t>
        </r>
      </text>
    </comment>
    <comment ref="B372" authorId="0" shapeId="0" xr:uid="{00000000-0006-0000-0500-000047000000}">
      <text>
        <r>
          <rPr>
            <sz val="8"/>
            <color indexed="8"/>
            <rFont val="Times New Roman"/>
            <family val="1"/>
          </rPr>
          <t xml:space="preserve">És el mes que s'efectua el pagament efectiu de la nòmina. Per defecte s'ha estimat que el mes que es genera la nòmina és el mes que es paga
</t>
        </r>
      </text>
    </comment>
    <comment ref="B374" authorId="0" shapeId="0" xr:uid="{00000000-0006-0000-0500-000048000000}">
      <text>
        <r>
          <rPr>
            <sz val="8"/>
            <color indexed="8"/>
            <rFont val="Times New Roman"/>
            <family val="1"/>
          </rPr>
          <t xml:space="preserve">Correspon al sou brut anual dividit entre 12 mesos.
El sou brut anual a diferència del net, inclou les cotitzacions a la Seguretat Social per part del treballador i les retencions d'IRPF.
El salari mínim, per al 2011, és de 641,4 euros o 21,38 euros/dia. </t>
        </r>
      </text>
    </comment>
    <comment ref="B380" authorId="2" shapeId="0" xr:uid="{00000000-0006-0000-0500-000049000000}">
      <text>
        <r>
          <rPr>
            <b/>
            <sz val="8"/>
            <color indexed="81"/>
            <rFont val="Tahoma"/>
            <family val="2"/>
          </rPr>
          <t>BCNACTIVA</t>
        </r>
        <r>
          <rPr>
            <sz val="8"/>
            <color indexed="81"/>
            <rFont val="Tahoma"/>
            <family val="2"/>
          </rPr>
          <t xml:space="preserve">:
Cotizacions a càrrec de l'empresa per al 2011 (contractació indefinida a jornada complerta): 
Contingències comunes:     23,6%
Atur:                                     5,5%
Fogasa:                                 0,2%
Formació Professional:          0,6% 
Accidents laborals :   BOE 309 pàg. 51.869
</t>
        </r>
      </text>
    </comment>
    <comment ref="B381" authorId="2" shapeId="0" xr:uid="{00000000-0006-0000-0500-00004A000000}">
      <text>
        <r>
          <rPr>
            <b/>
            <sz val="8"/>
            <color indexed="81"/>
            <rFont val="Tahoma"/>
            <family val="2"/>
          </rPr>
          <t xml:space="preserve">BCNACTIVA:
</t>
        </r>
        <r>
          <rPr>
            <sz val="8"/>
            <color indexed="81"/>
            <rFont val="Tahoma"/>
            <family val="2"/>
          </rPr>
          <t>Bases de cotització a càrrec del treballador per al 2011:
Contingències comunes:    4,70%
Atur:                                   1,55%
Formació Professional        0,10%</t>
        </r>
        <r>
          <rPr>
            <sz val="8"/>
            <color indexed="81"/>
            <rFont val="Tahoma"/>
            <family val="2"/>
          </rPr>
          <t xml:space="preserve">
</t>
        </r>
      </text>
    </comment>
    <comment ref="B384" authorId="0" shapeId="0" xr:uid="{00000000-0006-0000-0500-00004B000000}">
      <text>
        <r>
          <rPr>
            <sz val="8"/>
            <color indexed="8"/>
            <rFont val="Times New Roman"/>
            <family val="1"/>
          </rPr>
          <t xml:space="preserve">S'han de posar els mesos de paga extra. Per defecte s'han establert juny i desembre. En el cas que n'hi hagi una tercera, caldrà indicar el mes. 
</t>
        </r>
      </text>
    </comment>
    <comment ref="C390" authorId="0" shapeId="0" xr:uid="{00000000-0006-0000-0500-00004C000000}">
      <text>
        <r>
          <rPr>
            <b/>
            <sz val="8"/>
            <color indexed="10"/>
            <rFont val="Times New Roman"/>
            <family val="1"/>
          </rPr>
          <t xml:space="preserve">IMPORTANT! </t>
        </r>
        <r>
          <rPr>
            <sz val="8"/>
            <color indexed="8"/>
            <rFont val="Times New Roman"/>
            <family val="1"/>
          </rPr>
          <t>La suma dels percentatges ha de donar 100% (veieu caselles d'abaix). Si suma més de 100 la cel·la del costat canvia de color per mostrar l'error.</t>
        </r>
      </text>
    </comment>
    <comment ref="F390" authorId="0" shapeId="0" xr:uid="{00000000-0006-0000-0500-00004D000000}">
      <text>
        <r>
          <rPr>
            <sz val="8"/>
            <color indexed="8"/>
            <rFont val="Times New Roman"/>
            <family val="1"/>
          </rPr>
          <t xml:space="preserve">El número indica a quant temps es realitzen els cobraments i pagaments. Exemple: 30 = a 30 dies.
</t>
        </r>
      </text>
    </comment>
    <comment ref="C391" authorId="0" shapeId="0" xr:uid="{00000000-0006-0000-0500-00004E000000}">
      <text>
        <r>
          <rPr>
            <sz val="8"/>
            <color indexed="8"/>
            <rFont val="Times New Roman"/>
            <family val="1"/>
          </rPr>
          <t xml:space="preserve">S'ha de posar, per a cada termini, quin serà el percentatge que es preveu cobrar de les vendes i ingressos realitzats. Per defecte, s'ha considerat que tots els cobraments es faran al comptat.
La suma dels percentatges ha de ser 100% (veieu casella del costat). Si suma més de 100 la cel.la del costat canvia de color.
</t>
        </r>
      </text>
    </comment>
    <comment ref="C392" authorId="0" shapeId="0" xr:uid="{00000000-0006-0000-0500-00004F000000}">
      <text>
        <r>
          <rPr>
            <sz val="8"/>
            <color indexed="8"/>
            <rFont val="Times New Roman"/>
            <family val="1"/>
          </rPr>
          <t>S'ha de posar, per a cada termini, el percentatge que es preveu pagar del total de compres realitzades. Per defecte, s'ha considerat que tots els pagaments es faran al comptat.
La suma dels percentatges ha de donar el 100% (veieu la casella del costat).
Si suma més de 100 la cel.la del costat canvia del color.</t>
        </r>
      </text>
    </comment>
    <comment ref="F394" authorId="0" shapeId="0" xr:uid="{00000000-0006-0000-0500-000050000000}">
      <text>
        <r>
          <rPr>
            <sz val="8"/>
            <color indexed="8"/>
            <rFont val="Times New Roman"/>
            <family val="1"/>
          </rPr>
          <t xml:space="preserve">El número indica a quant temps es realitzen els cobraments i pagaments. Exemple: 30 = a 30 dies.
</t>
        </r>
      </text>
    </comment>
    <comment ref="C395" authorId="0" shapeId="0" xr:uid="{00000000-0006-0000-0500-000051000000}">
      <text>
        <r>
          <rPr>
            <sz val="8"/>
            <color indexed="8"/>
            <rFont val="Times New Roman"/>
            <family val="1"/>
          </rPr>
          <t xml:space="preserve">S'ha de posar, per a cada termini, quin serà el percentatge que es preveu cobrar de les vendes i ingressos realitzats. Per defecte, s'ha considerat que tots els cobraments es faran al comptat.
La suma dels percentatges ha de ser el 100% (veieu la casella del costat). Si suma més de 100 la cel.la del costat canvia de color. 
</t>
        </r>
      </text>
    </comment>
    <comment ref="C396" authorId="0" shapeId="0" xr:uid="{00000000-0006-0000-0500-000052000000}">
      <text>
        <r>
          <rPr>
            <sz val="8"/>
            <color indexed="8"/>
            <rFont val="Times New Roman"/>
            <family val="1"/>
          </rPr>
          <t xml:space="preserve">S'ha de posar, per a cada termini, el percentatge que es preveu pagar del total de compres realitzades. Per defecte, s'ha considerat que tots els pagaments es faran al comptat.
La suma dels percentatges ha de ser el 100% (veieu la casella del costat). Si suma més de 100 la cel.la del costat canvia de color. </t>
        </r>
      </text>
    </comment>
    <comment ref="F398" authorId="0" shapeId="0" xr:uid="{00000000-0006-0000-0500-000053000000}">
      <text>
        <r>
          <rPr>
            <sz val="8"/>
            <color indexed="8"/>
            <rFont val="Times New Roman"/>
            <family val="1"/>
          </rPr>
          <t xml:space="preserve">El número indica a quant temps es realitzen els cobraments i pagaments. Exemple: 30 = a 30 dies.
</t>
        </r>
      </text>
    </comment>
    <comment ref="C399" authorId="0" shapeId="0" xr:uid="{00000000-0006-0000-0500-000054000000}">
      <text>
        <r>
          <rPr>
            <sz val="8"/>
            <color indexed="8"/>
            <rFont val="Times New Roman"/>
            <family val="1"/>
          </rPr>
          <t>S'ha de posar, per a cada termini, quin serà el percentatge que es preveu cobrar de les vendes i ingressos realitzats. Per defecte, s'ha considerat que tots els cobraments es faran al comptat. 
La suma dels percentatges ha de donar el 100% (veieu la casella del costat). Si suma més de 100 la cel·la del costat canvia de color.</t>
        </r>
      </text>
    </comment>
    <comment ref="C400" authorId="0" shapeId="0" xr:uid="{00000000-0006-0000-0500-000055000000}">
      <text>
        <r>
          <rPr>
            <sz val="8"/>
            <color indexed="8"/>
            <rFont val="Times New Roman"/>
            <family val="1"/>
          </rPr>
          <t>S'ha de posar, per a cada termini, el percentatge que es preveu pagar del total de compres realitzades. Per defecte, s'ha considerat que tots els pagaments es faran al comptat.
La suma dels percentatges ha de donar el 100% (veieu la casella del costat). Si suma més de 100 la cel·la del costat canvia de color.</t>
        </r>
      </text>
    </comment>
    <comment ref="C402" authorId="0" shapeId="0" xr:uid="{00000000-0006-0000-0500-000056000000}">
      <text>
        <r>
          <rPr>
            <sz val="8"/>
            <color indexed="8"/>
            <rFont val="Times New Roman"/>
            <family val="1"/>
          </rPr>
          <t xml:space="preserve">Tant per cent del total d'ingressos que l'empresa preveu cobrar amb la intermediació d'una entitat financera. Per exemple, cobrament mitjançant targes de crèdit.
</t>
        </r>
      </text>
    </comment>
    <comment ref="D402" authorId="0" shapeId="0" xr:uid="{00000000-0006-0000-0500-000057000000}">
      <text>
        <r>
          <rPr>
            <sz val="8"/>
            <color indexed="8"/>
            <rFont val="Times New Roman"/>
            <family val="1"/>
          </rPr>
          <t xml:space="preserve">Comissió que aplicarà l'entitat financera per la gestió de cobraments.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B3" authorId="0" shapeId="0" xr:uid="{00000000-0006-0000-0600-000001000000}">
      <text>
        <r>
          <rPr>
            <b/>
            <sz val="8"/>
            <color indexed="8"/>
            <rFont val="Times New Roman"/>
            <family val="1"/>
          </rPr>
          <t>S'ha de posar el tant per cent en què es preveu amortitzar l'immobilitzat.</t>
        </r>
      </text>
    </comment>
    <comment ref="C3" authorId="0" shapeId="0" xr:uid="{00000000-0006-0000-0600-000002000000}">
      <text>
        <r>
          <rPr>
            <b/>
            <sz val="8"/>
            <color indexed="8"/>
            <rFont val="Times New Roman"/>
            <family val="1"/>
          </rPr>
          <t>Aquí s'ha d'anotar el tipus d'IVA aplicable a cada tipus d'immobilitzat. Per defecte, s'ha posat el 16% per a tots, excepte per als immobles.</t>
        </r>
      </text>
    </comment>
    <comment ref="B26" authorId="0" shapeId="0" xr:uid="{00000000-0006-0000-0600-000003000000}">
      <text>
        <r>
          <rPr>
            <b/>
            <sz val="8"/>
            <color indexed="8"/>
            <rFont val="Times New Roman"/>
            <family val="1"/>
          </rPr>
          <t>S'han de posar els imports de les inversions a realitzar, sempre amb l'IVA inclòs.</t>
        </r>
      </text>
    </comment>
    <comment ref="B51" authorId="0" shapeId="0" xr:uid="{00000000-0006-0000-0600-000004000000}">
      <text>
        <r>
          <rPr>
            <b/>
            <sz val="8"/>
            <color indexed="8"/>
            <rFont val="Times New Roman"/>
            <family val="1"/>
          </rPr>
          <t>S'han de posar els imports de les inversions a realitzar, sempre amb l'IVA inclòs.</t>
        </r>
      </text>
    </comment>
    <comment ref="B76" authorId="0" shapeId="0" xr:uid="{00000000-0006-0000-0600-000005000000}">
      <text>
        <r>
          <rPr>
            <b/>
            <sz val="8"/>
            <color indexed="8"/>
            <rFont val="Times New Roman"/>
            <family val="1"/>
          </rPr>
          <t>S'han de posar els imports de les inversions a realitzar, sempre amb l'IVA inclòs.</t>
        </r>
      </text>
    </comment>
    <comment ref="C100" authorId="0" shapeId="0" xr:uid="{00000000-0006-0000-0600-000006000000}">
      <text>
        <r>
          <rPr>
            <b/>
            <sz val="8"/>
            <color indexed="8"/>
            <rFont val="Times New Roman"/>
            <family val="1"/>
          </rPr>
          <t xml:space="preserve">S'han d'anotar les disminucions previstes dels diferents elements de l'immobilitzat.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700-000001000000}">
      <text>
        <r>
          <rPr>
            <b/>
            <sz val="8"/>
            <color indexed="8"/>
            <rFont val="Times New Roman"/>
            <family val="1"/>
          </rPr>
          <t>Els recursos propis poden referir-se tant a aportacions dineràries, com a no dineràries (aportació de mobiliari, equips informàtics, vehicles, etc.)</t>
        </r>
      </text>
    </comment>
    <comment ref="A12" authorId="0" shapeId="0" xr:uid="{00000000-0006-0000-0700-000002000000}">
      <text>
        <r>
          <rPr>
            <b/>
            <sz val="8"/>
            <color indexed="8"/>
            <rFont val="Times New Roman"/>
            <family val="1"/>
          </rPr>
          <t xml:space="preserve">Només s'han de posar les subvencions quan sigui segur el seu cobrament. Per exemple, si s'ha demanat una subvenció el primer any i es preveu el seu cobrament durant el segon, llavors s'ha d'anotar l'import al segon any.
</t>
        </r>
      </text>
    </comment>
    <comment ref="A13" authorId="0" shapeId="0" xr:uid="{00000000-0006-0000-0700-000003000000}">
      <text>
        <r>
          <rPr>
            <b/>
            <sz val="8"/>
            <color indexed="8"/>
            <rFont val="Times New Roman"/>
            <family val="1"/>
          </rPr>
          <t>S'han d'anotar els cobraments provinents de la venda d'immobilitzat. Per defecte, s'ha considerat que les disminucions d'immobilitzat (immaterial, material i financer) són vendes d'immobilitzat.</t>
        </r>
      </text>
    </comment>
    <comment ref="A16" authorId="0" shapeId="0" xr:uid="{00000000-0006-0000-0700-000004000000}">
      <text>
        <r>
          <rPr>
            <b/>
            <sz val="8"/>
            <color indexed="8"/>
            <rFont val="Times New Roman"/>
            <family val="1"/>
          </rPr>
          <t>S'enten que la concessió de les subvencions té lloc quan es cobren.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9" authorId="0" shapeId="0" xr:uid="{00000000-0006-0000-0800-000001000000}">
      <text>
        <r>
          <rPr>
            <b/>
            <sz val="8"/>
            <color indexed="8"/>
            <rFont val="Times New Roman"/>
            <family val="1"/>
          </rPr>
          <t xml:space="preserve">Tipus d'interés al qual es fa l'operació
</t>
        </r>
      </text>
    </comment>
    <comment ref="A11" authorId="0" shapeId="0" xr:uid="{00000000-0006-0000-0800-000002000000}">
      <text>
        <r>
          <rPr>
            <b/>
            <sz val="8"/>
            <color indexed="8"/>
            <rFont val="Times New Roman"/>
            <family val="1"/>
          </rPr>
          <t xml:space="preserve">Els períodes s'expressen en anys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C2" authorId="0" shapeId="0" xr:uid="{00000000-0006-0000-0900-000001000000}">
      <text>
        <r>
          <rPr>
            <b/>
            <sz val="8"/>
            <color indexed="8"/>
            <rFont val="Times New Roman"/>
            <family val="1"/>
          </rPr>
          <t>S'ha de fer una previsió de les unitats de cada producte, que hom creu que pot produir com a màxim en un mes.
Per exemple, si es tracta d'una botiga de roba, s'haurà de valorar la capacitat que té la botiga per vendre jerseis, pantalons, camises, etc. en el termini d'un mes, tot considerant els m² de la botiga, la zona on està ubicada, la rotació d'existències mitjana al sector, el nombre de depenents, l'èstil de roba que ven, etc.</t>
        </r>
      </text>
    </comment>
    <comment ref="D2" authorId="0" shapeId="0" xr:uid="{00000000-0006-0000-0900-000002000000}">
      <text>
        <r>
          <rPr>
            <b/>
            <sz val="8"/>
            <color indexed="8"/>
            <rFont val="Times New Roman"/>
            <family val="1"/>
          </rPr>
          <t>S'ha de posar el preu unitari de cadascú dels productes de l'empresa.
Seguint amb l'exemple de la botiga de roba, s'haurà de posar el preu de venda unitari dels jerseis, de les camises, etc.</t>
        </r>
      </text>
    </comment>
    <comment ref="E2" authorId="0" shapeId="0" xr:uid="{00000000-0006-0000-0900-000003000000}">
      <text>
        <r>
          <rPr>
            <b/>
            <sz val="8"/>
            <color indexed="8"/>
            <rFont val="Times New Roman"/>
            <family val="1"/>
          </rPr>
          <t>S'ha de posar el marge comercial, és a dir, quin tan per cent del preu de venda es queda l'empresa, de cadascú dels productes.
Per exemple, si la botiga de roba compra les camises a 2.100 PTA i les ven al públic per 3.500 PTA, llavors el seu marge comercial (en percentatge) serà:
(3.500-2.100) / 3.500 = 40,0%.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C4" authorId="0" shapeId="0" xr:uid="{00000000-0006-0000-0A00-000001000000}">
      <text>
        <r>
          <rPr>
            <b/>
            <sz val="8"/>
            <color indexed="8"/>
            <rFont val="Times New Roman"/>
            <family val="1"/>
          </rPr>
          <t>S'ha d'anotar el tipus d'interès efectiu anual.
Per defecte, s'ha posat un tipus del 6,5%.</t>
        </r>
      </text>
    </comment>
    <comment ref="C5" authorId="0" shapeId="0" xr:uid="{00000000-0006-0000-0A00-000002000000}">
      <text>
        <r>
          <rPr>
            <b/>
            <sz val="8"/>
            <color indexed="8"/>
            <rFont val="Times New Roman"/>
            <family val="1"/>
          </rPr>
          <t xml:space="preserve">La durada és el número d'anys en què es pensa retornar el préstec, sense incloure els anys de carència.
Per defecte, es considera una durada de 5 anys. Com a màxim, la durada serà de 15 anys (inclosos els de carència).
</t>
        </r>
      </text>
    </comment>
    <comment ref="C6" authorId="0" shapeId="0" xr:uid="{00000000-0006-0000-0A00-000003000000}">
      <text>
        <r>
          <rPr>
            <b/>
            <sz val="8"/>
            <color indexed="8"/>
            <rFont val="Times New Roman"/>
            <family val="1"/>
          </rPr>
          <t>Anys de carència (només es paguen interessos). Com a màxim serà de 4 anys. Per defecte, s'ha considerat préstec sense període de carència.</t>
        </r>
      </text>
    </comment>
    <comment ref="C7" authorId="0" shapeId="0" xr:uid="{00000000-0006-0000-0A00-000004000000}">
      <text>
        <r>
          <rPr>
            <b/>
            <sz val="8"/>
            <color indexed="8"/>
            <rFont val="Times New Roman"/>
            <family val="1"/>
          </rPr>
          <t>Les opcions per a aquesta casella són MENSUAL, BIMENSUAL, TRIMESTRAL, CUATRIMESTRAL, SEMESTRAL o ANUAL.
Per defecte, s'ha posat una periodicitat mensual.</t>
        </r>
      </text>
    </comment>
    <comment ref="C9" authorId="0" shapeId="0" xr:uid="{00000000-0006-0000-0A00-000005000000}">
      <text>
        <r>
          <rPr>
            <b/>
            <sz val="8"/>
            <color indexed="8"/>
            <rFont val="Times New Roman"/>
            <family val="1"/>
          </rPr>
          <t>Anys de carència (només es paguen interessos). Com a màxim serà de 4 anys. Per defecte, s'ha considerat préstec sense període de carència.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E00-000001000000}">
      <text>
        <r>
          <rPr>
            <b/>
            <sz val="8"/>
            <color indexed="8"/>
            <rFont val="Times New Roman"/>
            <family val="1"/>
          </rPr>
          <t xml:space="preserve">Nombre de treballadors que hi ha en cada categoria
</t>
        </r>
      </text>
    </comment>
    <comment ref="A29" authorId="0" shapeId="0" xr:uid="{00000000-0006-0000-0E00-000002000000}">
      <text>
        <r>
          <rPr>
            <b/>
            <sz val="8"/>
            <color indexed="8"/>
            <rFont val="Times New Roman"/>
            <family val="1"/>
          </rPr>
          <t xml:space="preserve">S'ha de posar els mesos en què es paguen les pagues extres. S'han previst els mesos de juny i desembre com a els típics de paga extra. Si l'empresa té 15 pagues, només s'haurà de posar el mes de meritació de la tercera paga extra.
</t>
        </r>
      </text>
    </comment>
    <comment ref="A101" authorId="0" shapeId="0" xr:uid="{00000000-0006-0000-0E00-000003000000}">
      <text>
        <r>
          <rPr>
            <b/>
            <sz val="8"/>
            <color indexed="8"/>
            <rFont val="Times New Roman"/>
            <family val="1"/>
          </rPr>
          <t xml:space="preserve">Nombre de treballadors que hi ha en cada categoria
</t>
        </r>
      </text>
    </comment>
    <comment ref="A126" authorId="0" shapeId="0" xr:uid="{00000000-0006-0000-0E00-000004000000}">
      <text>
        <r>
          <rPr>
            <b/>
            <sz val="8"/>
            <color indexed="8"/>
            <rFont val="Times New Roman"/>
            <family val="1"/>
          </rPr>
          <t xml:space="preserve">S'ha de posar els mesos en què es paguen les pagues extres.
</t>
        </r>
      </text>
    </comment>
    <comment ref="A198" authorId="0" shapeId="0" xr:uid="{00000000-0006-0000-0E00-000005000000}">
      <text>
        <r>
          <rPr>
            <b/>
            <sz val="8"/>
            <color indexed="8"/>
            <rFont val="Times New Roman"/>
            <family val="1"/>
          </rPr>
          <t xml:space="preserve">Nombre de treballadors que hi ha en cada categoria
</t>
        </r>
      </text>
    </comment>
    <comment ref="A223" authorId="0" shapeId="0" xr:uid="{00000000-0006-0000-0E00-000006000000}">
      <text>
        <r>
          <rPr>
            <b/>
            <sz val="8"/>
            <color indexed="8"/>
            <rFont val="Times New Roman"/>
            <family val="1"/>
          </rPr>
          <t xml:space="preserve">S'ha de posar els mesos en què es paguen les pagues extres.
</t>
        </r>
      </text>
    </comment>
  </commentList>
</comments>
</file>

<file path=xl/sharedStrings.xml><?xml version="1.0" encoding="utf-8"?>
<sst xmlns="http://schemas.openxmlformats.org/spreadsheetml/2006/main" count="3412" uniqueCount="739">
  <si>
    <t>Pla d'empresa en línia</t>
  </si>
  <si>
    <t>Pla economicofinancer</t>
  </si>
  <si>
    <t>Versió imprimible</t>
  </si>
  <si>
    <t>ANY INICIAL</t>
  </si>
  <si>
    <t>MES INICIAL</t>
  </si>
  <si>
    <t>GENER</t>
  </si>
  <si>
    <t>FEBRER</t>
  </si>
  <si>
    <t>MARÇ</t>
  </si>
  <si>
    <t>ABRIL</t>
  </si>
  <si>
    <t>MAIG</t>
  </si>
  <si>
    <t>JUNY</t>
  </si>
  <si>
    <t>JULIOL</t>
  </si>
  <si>
    <t>AGOST</t>
  </si>
  <si>
    <t>SETEMBRE</t>
  </si>
  <si>
    <t>OCTUBRE</t>
  </si>
  <si>
    <t>NOVEMBRE</t>
  </si>
  <si>
    <t>DESEMBRE</t>
  </si>
  <si>
    <t>PRIMER EXERCICI</t>
  </si>
  <si>
    <t>PAGAMENTS NO DESPESES</t>
  </si>
  <si>
    <t>INGRESSOS NO COBRAMENTS</t>
  </si>
  <si>
    <t>Devolució de préstecs i leasing</t>
  </si>
  <si>
    <t>Clients per vendes</t>
  </si>
  <si>
    <t>IVA suportat pagat</t>
  </si>
  <si>
    <t>Clients per serveis</t>
  </si>
  <si>
    <t>Liquidacions d'IVA pagades</t>
  </si>
  <si>
    <t>Retenció IRC</t>
  </si>
  <si>
    <t>Devolució de crèdit</t>
  </si>
  <si>
    <t>Desinversions</t>
  </si>
  <si>
    <t>Inversions</t>
  </si>
  <si>
    <t>Interessos c/c no cobrats</t>
  </si>
  <si>
    <t>Despeses anticipades</t>
  </si>
  <si>
    <t>Variació d'existències</t>
  </si>
  <si>
    <t>Existències inicials</t>
  </si>
  <si>
    <t>DESPESES NO PAGAMENTS</t>
  </si>
  <si>
    <t>COBRAMENTS NO INGRESSOS</t>
  </si>
  <si>
    <t>Amortitzacions</t>
  </si>
  <si>
    <t>Disposició de crèdit</t>
  </si>
  <si>
    <t>Provisions per a insolvències</t>
  </si>
  <si>
    <t>Saldo inicial de tresoreria</t>
  </si>
  <si>
    <t>Organismes S. S. creditors</t>
  </si>
  <si>
    <t>IVA repercutit cobrat</t>
  </si>
  <si>
    <t>Remuneracions pendent de pagament</t>
  </si>
  <si>
    <t>Finançament inicial</t>
  </si>
  <si>
    <t>Retencions IRPF pendents pagament</t>
  </si>
  <si>
    <t>Proveïdors per compres</t>
  </si>
  <si>
    <t>Proveïdors per treballs</t>
  </si>
  <si>
    <t>IS</t>
  </si>
  <si>
    <t>SEGON EXERCICI</t>
  </si>
  <si>
    <t>Inversions realitzades</t>
  </si>
  <si>
    <t>Remuneracions exerc. anterior</t>
  </si>
  <si>
    <t>Pag. provs. exerc. ant. compres</t>
  </si>
  <si>
    <t>Pag. provs. exerc. ant. treballs</t>
  </si>
  <si>
    <t>Pagament retencions IRPF exerc. ant.</t>
  </si>
  <si>
    <t>Organismes S. S. exerc. anterior</t>
  </si>
  <si>
    <t>Pagament IS exerc. Anterior</t>
  </si>
  <si>
    <t>Interessos c/c exercici anterior</t>
  </si>
  <si>
    <t>Impost compensat</t>
  </si>
  <si>
    <t>TERCER EXERCICI</t>
  </si>
  <si>
    <t>INGRESSOS</t>
  </si>
  <si>
    <t>DESPESES</t>
  </si>
  <si>
    <t>RESULTATS</t>
  </si>
  <si>
    <t>MES</t>
  </si>
  <si>
    <t>MENSUALS</t>
  </si>
  <si>
    <t>ACUMULAT</t>
  </si>
  <si>
    <t>COBRAMENTS</t>
  </si>
  <si>
    <t>PAGAMENTS</t>
  </si>
  <si>
    <t>CRÈDIT</t>
  </si>
  <si>
    <t>CASH-FLOW</t>
  </si>
  <si>
    <t>ANY 1</t>
  </si>
  <si>
    <t>ANY 2</t>
  </si>
  <si>
    <t>ANY 3</t>
  </si>
  <si>
    <t>BALANÇ DE SITUACIÓ</t>
  </si>
  <si>
    <t>TRESORERIA</t>
  </si>
  <si>
    <t>Comissions pagades sobre ingressos</t>
  </si>
  <si>
    <t>Intermediaris</t>
  </si>
  <si>
    <t>Promotors</t>
  </si>
  <si>
    <t>Personal</t>
  </si>
  <si>
    <t>Total</t>
  </si>
  <si>
    <t>MENSUAL</t>
  </si>
  <si>
    <t>ANUAL</t>
  </si>
  <si>
    <t>APARTAT 1</t>
  </si>
  <si>
    <t>PLA ECONOMICOFINANCER</t>
  </si>
  <si>
    <t>TRIMESTRAL</t>
  </si>
  <si>
    <t>SEMESTRAL</t>
  </si>
  <si>
    <t>INVERSIONS</t>
  </si>
  <si>
    <t>COMPRA D'EXISTÈNCIES INICIAL</t>
  </si>
  <si>
    <t>Exempt</t>
  </si>
  <si>
    <t>Tipus Mig IVA</t>
  </si>
  <si>
    <t>ELEMENTS</t>
  </si>
  <si>
    <t>IVA</t>
  </si>
  <si>
    <t>DESPESES AMORTITZABLES</t>
  </si>
  <si>
    <t>Despeses de constitució</t>
  </si>
  <si>
    <t>Despeses d'1r establiment</t>
  </si>
  <si>
    <t>Unes altres despeses amortitzables</t>
  </si>
  <si>
    <t>INVERSIONS IMMATERIALS</t>
  </si>
  <si>
    <t>Propietat industrial (patents i marques)</t>
  </si>
  <si>
    <t>Drets de traspàs</t>
  </si>
  <si>
    <t>Aplicacions informàtiques</t>
  </si>
  <si>
    <t>Drets s/ béns en règ. d'arrend. fi.</t>
  </si>
  <si>
    <t>INVERSIONS MATERIALS</t>
  </si>
  <si>
    <t>Terrenys</t>
  </si>
  <si>
    <t>Construccions</t>
  </si>
  <si>
    <t>Maquinària</t>
  </si>
  <si>
    <t>Altres instal·lacions</t>
  </si>
  <si>
    <t>Mobiliari</t>
  </si>
  <si>
    <t>Equips processos informació</t>
  </si>
  <si>
    <t>Elements de transport</t>
  </si>
  <si>
    <t>Altre immobilitzat material</t>
  </si>
  <si>
    <t>carència</t>
  </si>
  <si>
    <t>DISMINUCIONS IMMOBILITZAT</t>
  </si>
  <si>
    <t>VALOR DE L'IMMOBILITZAT</t>
  </si>
  <si>
    <t>FINANÇAMENT</t>
  </si>
  <si>
    <t>Recursos propis</t>
  </si>
  <si>
    <t>Aportacions dels socis</t>
  </si>
  <si>
    <t>Capitalització</t>
  </si>
  <si>
    <t>Interès</t>
  </si>
  <si>
    <t>Períodes</t>
  </si>
  <si>
    <t>Carència</t>
  </si>
  <si>
    <t>Préstec</t>
  </si>
  <si>
    <t>Subvenció</t>
  </si>
  <si>
    <t>TOTAL FINANÇAMENT</t>
  </si>
  <si>
    <t>Mes previst de cobrament subvenció</t>
  </si>
  <si>
    <t>Leasing 1</t>
  </si>
  <si>
    <t>PRIMER ANY</t>
  </si>
  <si>
    <t>SEGON ANY</t>
  </si>
  <si>
    <t>TERCER ANY</t>
  </si>
  <si>
    <t>Leasing 2</t>
  </si>
  <si>
    <t>Leasing 3</t>
  </si>
  <si>
    <t>Periodicitat</t>
  </si>
  <si>
    <t>LÍNIA DE CRÈDIT</t>
  </si>
  <si>
    <t>SEGUNDO AÑO</t>
  </si>
  <si>
    <t>TERCER AÑO</t>
  </si>
  <si>
    <t>PAGAMENT D'INTERÈS</t>
  </si>
  <si>
    <t>TIPUS D'INTERÈS</t>
  </si>
  <si>
    <t>PRODUCTES I SERVEIS</t>
  </si>
  <si>
    <t>A</t>
  </si>
  <si>
    <t>D</t>
  </si>
  <si>
    <t>B</t>
  </si>
  <si>
    <t>E</t>
  </si>
  <si>
    <t>C</t>
  </si>
  <si>
    <t>F</t>
  </si>
  <si>
    <t>G</t>
  </si>
  <si>
    <t>H</t>
  </si>
  <si>
    <t>I</t>
  </si>
  <si>
    <t>J</t>
  </si>
  <si>
    <t>K</t>
  </si>
  <si>
    <t>L</t>
  </si>
  <si>
    <t>PREVISIÓ DE VENDES (En euros)</t>
  </si>
  <si>
    <t>LÍNIES DE PRODUCTE</t>
  </si>
  <si>
    <t>MARGE VARIABLE EN %</t>
  </si>
  <si>
    <t>PREVISIÓ D'INGRESSOS</t>
  </si>
  <si>
    <t>%</t>
  </si>
  <si>
    <t>TOTAL VENDES PRIMER ANY</t>
  </si>
  <si>
    <t>INCREMENT 2n ANY EN %</t>
  </si>
  <si>
    <t>INCREMENT 3r ANY EN %</t>
  </si>
  <si>
    <t>Gestió de cobraments i pagaments</t>
  </si>
  <si>
    <t>FORMES DE COBRAMENT I PAGAMENT</t>
  </si>
  <si>
    <t>COMPTAT</t>
  </si>
  <si>
    <t>COBRAMENT</t>
  </si>
  <si>
    <t>PAGAMENT</t>
  </si>
  <si>
    <t>COSTOS NO IMPUTABLES AL PRODUCTE / SERVEI</t>
  </si>
  <si>
    <t>TIPUS</t>
  </si>
  <si>
    <t>Despeses</t>
  </si>
  <si>
    <t>Retencions IRPF</t>
  </si>
  <si>
    <t>Lloguers</t>
  </si>
  <si>
    <t>Professionals</t>
  </si>
  <si>
    <t>SEGUND0 EXERCICI</t>
  </si>
  <si>
    <t>% INGRESSOS</t>
  </si>
  <si>
    <t>%COMISSIÓ</t>
  </si>
  <si>
    <t>COMISSIONS S/ INGRESSOS</t>
  </si>
  <si>
    <t>PUBLICITAT</t>
  </si>
  <si>
    <t>Part fixa</t>
  </si>
  <si>
    <t>Part variable s/ingressos</t>
  </si>
  <si>
    <t>PROVISIÓ PER INSOLVÈNCIES</t>
  </si>
  <si>
    <t>LLOGUERS</t>
  </si>
  <si>
    <t>REPARACIONS</t>
  </si>
  <si>
    <t>SERVEIS PROF. INDEPENDENTS</t>
  </si>
  <si>
    <t>TRANSPORTS</t>
  </si>
  <si>
    <t>PRIMES D'ASSEGURANCES</t>
  </si>
  <si>
    <t>SUBMINISTRAMENTS</t>
  </si>
  <si>
    <t>Aigua</t>
  </si>
  <si>
    <t>Gas</t>
  </si>
  <si>
    <t>Electricitat</t>
  </si>
  <si>
    <t>Combustible</t>
  </si>
  <si>
    <t>Telèfon, fax i internet</t>
  </si>
  <si>
    <t>DESPESES DIVERSES</t>
  </si>
  <si>
    <t>Gestoria</t>
  </si>
  <si>
    <t>Oficina</t>
  </si>
  <si>
    <t>Manutenció</t>
  </si>
  <si>
    <t>Varis</t>
  </si>
  <si>
    <t>INCREMENT COSTOS NO IMPUTABLES</t>
  </si>
  <si>
    <t>PROMOTOR</t>
  </si>
  <si>
    <t>Promotor 1</t>
  </si>
  <si>
    <t>Promotor 2</t>
  </si>
  <si>
    <t>Mes inicial de liquidació</t>
  </si>
  <si>
    <t>Mes inicial de pagament</t>
  </si>
  <si>
    <t>Nombre mesos liquidació</t>
  </si>
  <si>
    <t>Sou brut fix mensual</t>
  </si>
  <si>
    <t>Variable</t>
  </si>
  <si>
    <t>Aplicable a % ingressos</t>
  </si>
  <si>
    <t>Comissió</t>
  </si>
  <si>
    <t>BASE COTITZACIÓ S. S.</t>
  </si>
  <si>
    <t>TIPUS DE COTITZACIÓ</t>
  </si>
  <si>
    <t>TIPUS RETENCIÓ IRPF</t>
  </si>
  <si>
    <t>Nº mesos liquidació</t>
  </si>
  <si>
    <t>Nº mesos pagament</t>
  </si>
  <si>
    <t>SOUS</t>
  </si>
  <si>
    <t>PERSONAL</t>
  </si>
  <si>
    <t>Categoria A</t>
  </si>
  <si>
    <t>Categoria B</t>
  </si>
  <si>
    <t>Nombre de treballadors</t>
  </si>
  <si>
    <t>SOUS BRUTS</t>
  </si>
  <si>
    <t>Sous fixos mensuals unit.</t>
  </si>
  <si>
    <t>Aplicable al % ingressos</t>
  </si>
  <si>
    <t xml:space="preserve">Sous bruts </t>
  </si>
  <si>
    <t>NOMBRE DE PAGUES</t>
  </si>
  <si>
    <t>Empresa</t>
  </si>
  <si>
    <t>Treballador</t>
  </si>
  <si>
    <t>MESOS DE DEVENGAMENT DE PAGA EXTRA</t>
  </si>
  <si>
    <t>Categoria C</t>
  </si>
  <si>
    <t>Categoria D</t>
  </si>
  <si>
    <t>Categoria E</t>
  </si>
  <si>
    <t>NOMBRE DE PAGAMENTS</t>
  </si>
  <si>
    <t>COMISSIONS S/INGRESSOS BANCARIS</t>
  </si>
  <si>
    <t>ÍNDEX!A1</t>
  </si>
  <si>
    <t>CAPITAL SOCIAL</t>
  </si>
  <si>
    <t>Crèdits o préstecs</t>
  </si>
  <si>
    <t>COMPRES /</t>
  </si>
  <si>
    <t>INGRESSOS MENSUALS POTENCIALS</t>
  </si>
  <si>
    <t>TREBALLS</t>
  </si>
  <si>
    <t>PRODUCTES / SERVEIS</t>
  </si>
  <si>
    <t>UNITATS</t>
  </si>
  <si>
    <t>PREU</t>
  </si>
  <si>
    <t>MARGE</t>
  </si>
  <si>
    <t>TIPUS IVA</t>
  </si>
  <si>
    <t>Promotor 3</t>
  </si>
  <si>
    <t>Promotor 4</t>
  </si>
  <si>
    <t>Promotor 5</t>
  </si>
  <si>
    <t>Promotor 6</t>
  </si>
  <si>
    <t>Promotor 7</t>
  </si>
  <si>
    <t>Promotor 8</t>
  </si>
  <si>
    <t>Promotor 9</t>
  </si>
  <si>
    <t>Promotor 10</t>
  </si>
  <si>
    <t>EVOLUCIÓ DE L'IMMOBILITZAT</t>
  </si>
  <si>
    <t>TIPUS AMORT.</t>
  </si>
  <si>
    <t>TOTAL</t>
  </si>
  <si>
    <t>BASE</t>
  </si>
  <si>
    <t>Amb projecte</t>
  </si>
  <si>
    <t>Sense projecte</t>
  </si>
  <si>
    <t>FIANCES I DIPÒSITS A LLARG TERMINI</t>
  </si>
  <si>
    <t>Fiances a llarg termini</t>
  </si>
  <si>
    <t>Dipòsits a llarg termini</t>
  </si>
  <si>
    <t>AUGMENTS</t>
  </si>
  <si>
    <t>DISMINUCIONS</t>
  </si>
  <si>
    <t>SALDO FINAL</t>
  </si>
  <si>
    <t>SALDO INICIAL</t>
  </si>
  <si>
    <t>AMORTITZACIONS</t>
  </si>
  <si>
    <t>QUOTES</t>
  </si>
  <si>
    <t>VALOR COMPTABLE NET</t>
  </si>
  <si>
    <t>TOTAL INVERSIONS</t>
  </si>
  <si>
    <t>PLA DE FINANÇAMENT</t>
  </si>
  <si>
    <t>PTA</t>
  </si>
  <si>
    <t>Béns adquirits via leasing</t>
  </si>
  <si>
    <t>Total primer exercici</t>
  </si>
  <si>
    <t>Valor del bé</t>
  </si>
  <si>
    <t>Suma de valors</t>
  </si>
  <si>
    <t>TAE</t>
  </si>
  <si>
    <t>N</t>
  </si>
  <si>
    <t>INTERESSOS</t>
  </si>
  <si>
    <t>ACUMULAT INTERESSOS</t>
  </si>
  <si>
    <t>DEVOLUCIÓ</t>
  </si>
  <si>
    <t>ACUMULAT DEVOLUCIÓ</t>
  </si>
  <si>
    <t>DEUTE A CURT</t>
  </si>
  <si>
    <t>DEUTE A LLARG</t>
  </si>
  <si>
    <t>DEUTE PENDENT</t>
  </si>
  <si>
    <t>DESPESES A DISTRIBUIR</t>
  </si>
  <si>
    <t>Quota</t>
  </si>
  <si>
    <t>Suma de quotes</t>
  </si>
  <si>
    <t>Acumulat quotes</t>
  </si>
  <si>
    <t>Acumulat IVA</t>
  </si>
  <si>
    <t>Interessos</t>
  </si>
  <si>
    <t>Acumulutat interessos</t>
  </si>
  <si>
    <t>Devolució</t>
  </si>
  <si>
    <t>Acumulat devolució</t>
  </si>
  <si>
    <t>Deute a curt termini</t>
  </si>
  <si>
    <t>Deute a llarg termini</t>
  </si>
  <si>
    <t>Deute total</t>
  </si>
  <si>
    <t>Pendent de devolució</t>
  </si>
  <si>
    <t>Despeses a distribuir</t>
  </si>
  <si>
    <t>TOTAL DEUTE</t>
  </si>
  <si>
    <t>Total segon exercici</t>
  </si>
  <si>
    <t>Total tercer exercici</t>
  </si>
  <si>
    <t>VENDES MENSUALS POTENCIALS</t>
  </si>
  <si>
    <t>COMPRES</t>
  </si>
  <si>
    <t>PRODUCTES</t>
  </si>
  <si>
    <t>IMPORT</t>
  </si>
  <si>
    <t xml:space="preserve">TOTAL </t>
  </si>
  <si>
    <t>Compra inicial com a inversió?</t>
  </si>
  <si>
    <t>NO</t>
  </si>
  <si>
    <t>COMPRES (unitats)</t>
  </si>
  <si>
    <t>PREU UNITARI</t>
  </si>
  <si>
    <t>IMPORT COMPRES</t>
  </si>
  <si>
    <t>IVA SUPORTAT</t>
  </si>
  <si>
    <t>Marge comercial</t>
  </si>
  <si>
    <t>VENDES (%Stock)</t>
  </si>
  <si>
    <t>IMPORT VENDES</t>
  </si>
  <si>
    <t>IVA REPERCUTIT</t>
  </si>
  <si>
    <t>STOCK INICIAL</t>
  </si>
  <si>
    <t>STOCK FINAL</t>
  </si>
  <si>
    <t>VARIACIÓ STOCK</t>
  </si>
  <si>
    <t>ENTRADES</t>
  </si>
  <si>
    <t>VENDES</t>
  </si>
  <si>
    <t>SORTIDES</t>
  </si>
  <si>
    <t>VAR. STOCK</t>
  </si>
  <si>
    <t>TIPUS IVA REP.</t>
  </si>
  <si>
    <t>STOCK</t>
  </si>
  <si>
    <t>TIPUS IVA SUP.</t>
  </si>
  <si>
    <t>RESUM ANUAL</t>
  </si>
  <si>
    <t>CAPITAL</t>
  </si>
  <si>
    <t>Capital</t>
  </si>
  <si>
    <t>TIPUS INTERÈS</t>
  </si>
  <si>
    <t>AMORTITZACIÓ</t>
  </si>
  <si>
    <t>DURADA</t>
  </si>
  <si>
    <t>CARÈNCIA</t>
  </si>
  <si>
    <t>PERIODICITAT</t>
  </si>
  <si>
    <t>TERME</t>
  </si>
  <si>
    <t>RESERVA</t>
  </si>
  <si>
    <t>INTERÈS</t>
  </si>
  <si>
    <t>INT. ACUM.</t>
  </si>
  <si>
    <t>AMORTITZ.</t>
  </si>
  <si>
    <t>AMORT. ACUM.</t>
  </si>
  <si>
    <t>TERMES ACUM.</t>
  </si>
  <si>
    <t>TOTALES</t>
  </si>
  <si>
    <t>TREBALLS D'ALTRES</t>
  </si>
  <si>
    <t>SERVEIS</t>
  </si>
  <si>
    <t>RECARREC</t>
  </si>
  <si>
    <t>PREVISIÓ D'INGRESSOS PER PRESTACIÓ DE SERVEIS I TREBALLS D'ALTRES</t>
  </si>
  <si>
    <t>PREVISIÓ %</t>
  </si>
  <si>
    <t>IVA REP.</t>
  </si>
  <si>
    <t>IVA SUP.</t>
  </si>
  <si>
    <t>Venda de mercaderies</t>
  </si>
  <si>
    <t>Termini de cobrament</t>
  </si>
  <si>
    <t>Total cobraments</t>
  </si>
  <si>
    <t>Prestació de serveis</t>
  </si>
  <si>
    <t>Total ingressos</t>
  </si>
  <si>
    <t>Compres de mercaderies</t>
  </si>
  <si>
    <t>Termini de pagament</t>
  </si>
  <si>
    <t>Total pagaments</t>
  </si>
  <si>
    <t>Treballs d'altres</t>
  </si>
  <si>
    <t>Total compres</t>
  </si>
  <si>
    <t>REGULARITZACIONS VENDES 2n ANY</t>
  </si>
  <si>
    <t>1r ANY</t>
  </si>
  <si>
    <t>2n ANY</t>
  </si>
  <si>
    <t>3R ANY</t>
  </si>
  <si>
    <t>Vendes de mercaderies</t>
  </si>
  <si>
    <t>REGULARITZACIONS 2n ANY</t>
  </si>
  <si>
    <t>REGULARITZACIONS VENDES 3r ANY</t>
  </si>
  <si>
    <t>REGULARITZACIONS 3r ANY</t>
  </si>
  <si>
    <t>Sou brut fix anual</t>
  </si>
  <si>
    <t>Tipus resultant</t>
  </si>
  <si>
    <t>QUOTES MENSUALS</t>
  </si>
  <si>
    <t>Sous bruts</t>
  </si>
  <si>
    <t>Fix</t>
  </si>
  <si>
    <t>Variable (% ingressos)</t>
  </si>
  <si>
    <t>Quotes autònoms</t>
  </si>
  <si>
    <t>Cost Total</t>
  </si>
  <si>
    <t>Sous nets</t>
  </si>
  <si>
    <t>Sous pagats</t>
  </si>
  <si>
    <t>Sous pendents</t>
  </si>
  <si>
    <t>Nº mesos liquidats</t>
  </si>
  <si>
    <t>Nº mesos pagats</t>
  </si>
  <si>
    <t>Sous fixos anuals unit.</t>
  </si>
  <si>
    <t>Sous fixos totals</t>
  </si>
  <si>
    <t>Sou brut mensual</t>
  </si>
  <si>
    <t>Prorrata paga extra</t>
  </si>
  <si>
    <t>Treballadors</t>
  </si>
  <si>
    <t>Acumulada</t>
  </si>
  <si>
    <t>Devengada</t>
  </si>
  <si>
    <t>Quotes empresa</t>
  </si>
  <si>
    <t>Quotes treballadors</t>
  </si>
  <si>
    <t>Remuneracions pendents</t>
  </si>
  <si>
    <t>PERMÍS MUNICIPAL D'OBERTURA</t>
  </si>
  <si>
    <t>ACTIVITAT CLASSIFICADA (SI/NO)</t>
  </si>
  <si>
    <t>TIPUS D'ACTIVITAT</t>
  </si>
  <si>
    <t>QUOTA FIXA</t>
  </si>
  <si>
    <t>SUPERFÍCIE</t>
  </si>
  <si>
    <t>PTA/M²</t>
  </si>
  <si>
    <t>PERCENT.</t>
  </si>
  <si>
    <t>PROJECTE</t>
  </si>
  <si>
    <t>QUOTA VAR.</t>
  </si>
  <si>
    <t>CLASSIFICADA</t>
  </si>
  <si>
    <t>NO CLASSIFICADA</t>
  </si>
  <si>
    <t>Impost d'Activitats Econòmiques</t>
  </si>
  <si>
    <t>Pàgina web de l'Institut Municipal d'Hisenda</t>
  </si>
  <si>
    <t>http://bcnweb2.bcn.es/cgi-netdyn/ndCGI/IAE/pgMainIAE</t>
  </si>
  <si>
    <t>QUOTA ANUAL</t>
  </si>
  <si>
    <t>Nº DE TRIMESTRES</t>
  </si>
  <si>
    <t>QUOTA A PAGAR</t>
  </si>
  <si>
    <t>ARRENDAMENTS</t>
  </si>
  <si>
    <t>SERV. PROF. IND.</t>
  </si>
  <si>
    <t>PROMOTORS</t>
  </si>
  <si>
    <t>TOTAL RETENCIONS</t>
  </si>
  <si>
    <t>SERVEIS BANCARIS S/INGRESSOS</t>
  </si>
  <si>
    <t>RET. IRPF</t>
  </si>
  <si>
    <t>TIPUS IMPOSITIU</t>
  </si>
  <si>
    <t>PROFESSIONALS</t>
  </si>
  <si>
    <t>RETENCIÓ IS</t>
  </si>
  <si>
    <t>PROVISIÓ PER A INSOLVÈNCIES</t>
  </si>
  <si>
    <t>INGRESSOS D'EXPLOTACIÓ</t>
  </si>
  <si>
    <t>COMPRES I TREBALLS S'ALTRES</t>
  </si>
  <si>
    <t>DESPESES D'EXPLOTACIÓ</t>
  </si>
  <si>
    <t>COMISSIONS</t>
  </si>
  <si>
    <t>PRIMES D'ASSEG.</t>
  </si>
  <si>
    <t>SERVEIS BANCARIS</t>
  </si>
  <si>
    <t>GESTIÓ DE L'IVA</t>
  </si>
  <si>
    <t>IVA INGRESSOS</t>
  </si>
  <si>
    <t>IVA COMPRES</t>
  </si>
  <si>
    <t>IVA DESPESES</t>
  </si>
  <si>
    <t>IVA INVERSIONS</t>
  </si>
  <si>
    <t>LIQUIDACIÓ D'IVA</t>
  </si>
  <si>
    <t>IVA A INGRESSAR</t>
  </si>
  <si>
    <t>IVA A COMPENSAR</t>
  </si>
  <si>
    <t>IVA COBRAT</t>
  </si>
  <si>
    <t>IVA PAGAT</t>
  </si>
  <si>
    <t>IVA PENDENT DE PAGAMENT</t>
  </si>
  <si>
    <t>IVA PENDENT DE COMPENSAR</t>
  </si>
  <si>
    <t>GESTIÓ EST DIRECTA</t>
  </si>
  <si>
    <t>INGRESOS DE LA ACTIVIDAD</t>
  </si>
  <si>
    <t>GASTOS DE LA ACTIVIDAD</t>
  </si>
  <si>
    <t>PAGAMENT A COMPTE DEVENGAT</t>
  </si>
  <si>
    <t>PAGAMENT INGRESSAT</t>
  </si>
  <si>
    <t>PAGAMENT A COMPENSAR</t>
  </si>
  <si>
    <t>PENDENT DE PAGAMENT</t>
  </si>
  <si>
    <t>PENDENT DE COMPENSAR</t>
  </si>
  <si>
    <t>CONTROL</t>
  </si>
  <si>
    <t>MESOS</t>
  </si>
  <si>
    <t>Ingressos</t>
  </si>
  <si>
    <t>Ingressos financers</t>
  </si>
  <si>
    <t>Subvencions</t>
  </si>
  <si>
    <t>Finançament</t>
  </si>
  <si>
    <t>(1) TOTAL COBRAMENTS</t>
  </si>
  <si>
    <t>Compres i treballs d'altres</t>
  </si>
  <si>
    <t>Treballs d'altres empreses</t>
  </si>
  <si>
    <t>Existències</t>
  </si>
  <si>
    <t>Serveis externs</t>
  </si>
  <si>
    <t>Reparacions</t>
  </si>
  <si>
    <t>Serveis de professionals</t>
  </si>
  <si>
    <t>Comissions</t>
  </si>
  <si>
    <t>Transport d'existències</t>
  </si>
  <si>
    <t>Assegurances</t>
  </si>
  <si>
    <t>Serveis bancaris</t>
  </si>
  <si>
    <t>Publicitat</t>
  </si>
  <si>
    <t>Subministraments</t>
  </si>
  <si>
    <t>Despeses diverses</t>
  </si>
  <si>
    <t>Despeses de personal</t>
  </si>
  <si>
    <t>Retribucions (net)</t>
  </si>
  <si>
    <t>Treballadors (personal)</t>
  </si>
  <si>
    <t>Seguretat Social</t>
  </si>
  <si>
    <t>Empresa (personal)</t>
  </si>
  <si>
    <t xml:space="preserve">Hisenda Pública </t>
  </si>
  <si>
    <t>Despeses financeres (interessos)</t>
  </si>
  <si>
    <t>Devolució prèstecs i leasing</t>
  </si>
  <si>
    <t>(2) TOTAL PAGAMENTS</t>
  </si>
  <si>
    <t>COBRAMENTS-PAGAMENTS</t>
  </si>
  <si>
    <t>DISPOSICIÓ LÍNIA DE CRÈDIT</t>
  </si>
  <si>
    <t>DEVOLUCIÓ LÍNIA DE CRÈDIT</t>
  </si>
  <si>
    <t>CRÈDIT PENDENT DEVOLUCIÓ</t>
  </si>
  <si>
    <t>PAGAMENT D'INTERESSOS</t>
  </si>
  <si>
    <t>EVOLUCIÓ DE LA LÍNIA DE CRÈDIT</t>
  </si>
  <si>
    <t>DISPOSICIONS</t>
  </si>
  <si>
    <t>DEVOLUCIONS</t>
  </si>
  <si>
    <t>INTERESSOS DE LA LÍNIA DE CRÈDIT</t>
  </si>
  <si>
    <t>COMPTE CORRENT</t>
  </si>
  <si>
    <t>COBRAMENT D'INTERESSOS</t>
  </si>
  <si>
    <t>INTERESSOS BRUTS C/C</t>
  </si>
  <si>
    <t>RETENCIÓ I. R. C.</t>
  </si>
  <si>
    <t>INTERESSOS NETS C/C</t>
  </si>
  <si>
    <t>FISCALITAT</t>
  </si>
  <si>
    <t>ELEGEIX EL SISTEMA PEL QUAL TRIBUTARÀS</t>
  </si>
  <si>
    <t>1. IRPF</t>
  </si>
  <si>
    <t>SI</t>
  </si>
  <si>
    <t>2. IS</t>
  </si>
  <si>
    <t>No</t>
  </si>
  <si>
    <t>Gener</t>
  </si>
  <si>
    <t>Febrer</t>
  </si>
  <si>
    <t>Abril</t>
  </si>
  <si>
    <t>Maig</t>
  </si>
  <si>
    <t>Juliol</t>
  </si>
  <si>
    <t>Agost</t>
  </si>
  <si>
    <t>Octubre</t>
  </si>
  <si>
    <t>Novembre</t>
  </si>
  <si>
    <t>Combinacions</t>
  </si>
  <si>
    <t>Reserves</t>
  </si>
  <si>
    <t>IRPF MÒDULS - IVA MÒDULS</t>
  </si>
  <si>
    <t>IRPF MÒDULS - IVA REC EQUIV</t>
  </si>
  <si>
    <t>IRPF ED - IVA REG GRAL</t>
  </si>
  <si>
    <t>IRPF ED. - IVA REC EQUIV</t>
  </si>
  <si>
    <t>IS - IVA REG GRAL</t>
  </si>
  <si>
    <t>t</t>
  </si>
  <si>
    <t>Retencions</t>
  </si>
  <si>
    <t>COOPERATIVA</t>
  </si>
  <si>
    <t>COOPERATIVA FISC BONIFICADA</t>
  </si>
  <si>
    <t>PIME</t>
  </si>
  <si>
    <t>NO PIME</t>
  </si>
  <si>
    <t>Pagament a compte IRPF</t>
  </si>
  <si>
    <t>EXISTÈNCIES</t>
  </si>
  <si>
    <t>PROVISIÓ DE FONS</t>
  </si>
  <si>
    <t>Màxima necessitat de finançament (diners que necessitem per obrir i mantenir-nos)</t>
  </si>
  <si>
    <t>Mes en què es produeix</t>
  </si>
  <si>
    <t>Coberta amb finançament a llarg</t>
  </si>
  <si>
    <t>Coberta amb finançament a curt (màxima disponibilitat de la pòlissa de crèdit)</t>
  </si>
  <si>
    <t>Vendes/Prestació de serveis</t>
  </si>
  <si>
    <t>Subvencions a l'explotació</t>
  </si>
  <si>
    <t>Altres ingressos</t>
  </si>
  <si>
    <t>TOTAL INGRESSOS</t>
  </si>
  <si>
    <t>Compres/Treballs d'altres empreses</t>
  </si>
  <si>
    <t>Tributs</t>
  </si>
  <si>
    <t>Despeses financeres</t>
  </si>
  <si>
    <t>Provisions</t>
  </si>
  <si>
    <t>TOTAL DESPESES</t>
  </si>
  <si>
    <t>RESULTAT</t>
  </si>
  <si>
    <t>Núm.</t>
  </si>
  <si>
    <t>Compte</t>
  </si>
  <si>
    <t>Import</t>
  </si>
  <si>
    <t>TOTAL COBRAMENTS</t>
  </si>
  <si>
    <t>Despeses diversos</t>
  </si>
  <si>
    <t>TOTAL PAGAMENTS</t>
  </si>
  <si>
    <t>COBRAMENTS - PAGAMENTS</t>
  </si>
  <si>
    <t>LIQUIDACIÓ IVA</t>
  </si>
  <si>
    <t>CAP</t>
  </si>
  <si>
    <t>cobraments</t>
  </si>
  <si>
    <t>Pagaments</t>
  </si>
  <si>
    <t>Saldo</t>
  </si>
  <si>
    <t>Acumulat</t>
  </si>
  <si>
    <t>Max. necessitat financera</t>
  </si>
  <si>
    <t>Coberta amb finançament a curt (Màxima disponibilitat de la pòlissa de crèdit)</t>
  </si>
  <si>
    <t>Coberta amb autofinançament</t>
  </si>
  <si>
    <t>Serveis professionals</t>
  </si>
  <si>
    <t>Hisenda Pública</t>
  </si>
  <si>
    <t>ACTIU</t>
  </si>
  <si>
    <t>ANY</t>
  </si>
  <si>
    <t>IMMOBILITZAT</t>
  </si>
  <si>
    <t>Amort. Acum. Immob. Immaterial</t>
  </si>
  <si>
    <t>Amort. Acum. Immob. Material</t>
  </si>
  <si>
    <t>DEUTORS</t>
  </si>
  <si>
    <t>Bestretes a proveïdors</t>
  </si>
  <si>
    <t>Clients</t>
  </si>
  <si>
    <t>Efectes a cobrar</t>
  </si>
  <si>
    <t>Deutors diversos</t>
  </si>
  <si>
    <t>Bestretes remuneracions</t>
  </si>
  <si>
    <t>Hisenda Pública deutora</t>
  </si>
  <si>
    <t>Provisions per insolvències</t>
  </si>
  <si>
    <t>INVERSIONS FINANCERES TEMPORALS</t>
  </si>
  <si>
    <t>Altres inversions financeres temporals</t>
  </si>
  <si>
    <t>COMPTES FINANCERS</t>
  </si>
  <si>
    <t>Comptes corrents amb socis</t>
  </si>
  <si>
    <t>Tresoreria</t>
  </si>
  <si>
    <t>AJUSTAMENTS PER PERIODIFICACIÓ</t>
  </si>
  <si>
    <t>SUMA ACTIU</t>
  </si>
  <si>
    <t>PASSIU</t>
  </si>
  <si>
    <t>NO EXIGIBLE</t>
  </si>
  <si>
    <t>Capital social</t>
  </si>
  <si>
    <t>Romanent</t>
  </si>
  <si>
    <t>Resultat negatiu d'exercicis anteriors</t>
  </si>
  <si>
    <t>Pèrdues i guanys</t>
  </si>
  <si>
    <t>Subvencions oficials de capital</t>
  </si>
  <si>
    <t>EXIGIBLE A LLARG TERMINI</t>
  </si>
  <si>
    <t>Deutes a llarg termini amb ent. de crèdit</t>
  </si>
  <si>
    <t>Efectes a pagar a llarg termini</t>
  </si>
  <si>
    <t>EXIGIBLE A CURT TERMINI</t>
  </si>
  <si>
    <t>Proveïdors</t>
  </si>
  <si>
    <t>Creditors</t>
  </si>
  <si>
    <t>Bestretes de clients</t>
  </si>
  <si>
    <t>Hisenda pública creditora</t>
  </si>
  <si>
    <t>HP creditora per IS</t>
  </si>
  <si>
    <t>HP creditora per IRPF</t>
  </si>
  <si>
    <t>HP creditora per IVA</t>
  </si>
  <si>
    <t>Organismes Seg. Social creditors</t>
  </si>
  <si>
    <t>Deutes a curt amb ent. de crèdit</t>
  </si>
  <si>
    <t>SUMA PASSIU</t>
  </si>
  <si>
    <t>Punt d'equilibri anual</t>
  </si>
  <si>
    <t>Costos fixos</t>
  </si>
  <si>
    <t>Costos variables</t>
  </si>
  <si>
    <t xml:space="preserve">Marge </t>
  </si>
  <si>
    <t>Ingressos mensuals</t>
  </si>
  <si>
    <t>Costos variables mensuals</t>
  </si>
  <si>
    <t>Punt d'equilibri mensual</t>
  </si>
  <si>
    <t>Ingressos acumulats</t>
  </si>
  <si>
    <t>Costos acumulats</t>
  </si>
  <si>
    <t>Punt d'equilibri</t>
  </si>
  <si>
    <t>Maxi</t>
  </si>
  <si>
    <t>Mini</t>
  </si>
  <si>
    <t>Marge</t>
  </si>
  <si>
    <t>INGRESSOS MENSUALS</t>
  </si>
  <si>
    <t>COSTOS FIXOS MENSUALS</t>
  </si>
  <si>
    <t>VENS</t>
  </si>
  <si>
    <t>TRIBUTS</t>
  </si>
  <si>
    <t>DESPESES FINANCERES</t>
  </si>
  <si>
    <t>TOTAL COSTOS FIXOS</t>
  </si>
  <si>
    <t>Mínim</t>
  </si>
  <si>
    <t>Màxim</t>
  </si>
  <si>
    <t>MARGE COMERCIAL</t>
  </si>
  <si>
    <t>PUNT D'EQUILIBRI</t>
  </si>
  <si>
    <t>PUNT D'EQUILIBRI/INGRESSOS PREVISTOS</t>
  </si>
  <si>
    <t>MERCADERIES</t>
  </si>
  <si>
    <t>INGRESSOS PUNT D'EQUILIBRI</t>
  </si>
  <si>
    <t>TOTAL MERCADERIES</t>
  </si>
  <si>
    <t>SERVEIS / PRODUCTES</t>
  </si>
  <si>
    <t>TOTAL SERVEIS</t>
  </si>
  <si>
    <t>COMPTES D'EXPLOTACIÓ</t>
  </si>
  <si>
    <t>Marge brut</t>
  </si>
  <si>
    <t>Marge net (BAT)</t>
  </si>
  <si>
    <t>Rendiment de la inversió</t>
  </si>
  <si>
    <t>Rendiment dels fons</t>
  </si>
  <si>
    <t>Rendibilitat dels ingressos</t>
  </si>
  <si>
    <t>Pay-Back</t>
  </si>
  <si>
    <t>Fluxes financers</t>
  </si>
  <si>
    <t>Anys</t>
  </si>
  <si>
    <t>Valor actualitzat</t>
  </si>
  <si>
    <t>Valor actualitzat acumulat</t>
  </si>
  <si>
    <t>Taxa d'actualització (i)</t>
  </si>
  <si>
    <t>TIR</t>
  </si>
  <si>
    <t>VAN</t>
  </si>
  <si>
    <t>SUPÒSIT 1</t>
  </si>
  <si>
    <t>VARIACIÓ DELS INGRESSOS</t>
  </si>
  <si>
    <t>Resultat</t>
  </si>
  <si>
    <t>Rendibilitat de la inversió</t>
  </si>
  <si>
    <t>SUPÒSIT 2</t>
  </si>
  <si>
    <t>VARIACIÓ DELS COSTOS FIXOS</t>
  </si>
  <si>
    <t>SUPÒSIT 3</t>
  </si>
  <si>
    <t>VARIACIÓ DELS COSTOS VARIABLES</t>
  </si>
  <si>
    <t>Percentatge sobre els ingressos</t>
  </si>
  <si>
    <t>DESPESES VARIABLES</t>
  </si>
  <si>
    <t>RESULTAT NET</t>
  </si>
  <si>
    <t>RENDIBILITAT DELS INGRESSOS</t>
  </si>
  <si>
    <t>RENDIBILITAT DE LA INVERSIÓ</t>
  </si>
  <si>
    <t>RELACIONS BÀSIQUES</t>
  </si>
  <si>
    <t>FONS DE MANIOBRA</t>
  </si>
  <si>
    <t>COEFICIENT DE LIQUIDITAT</t>
  </si>
  <si>
    <t>ACID-TEST</t>
  </si>
  <si>
    <t>ROTACIÓ DELS ACTIUS</t>
  </si>
  <si>
    <t>RENDIBILITAT DELS FONS PROPIS</t>
  </si>
  <si>
    <t>COST LABORAL / COST TOTAL</t>
  </si>
  <si>
    <t>COST FINANCER / COST TOTAL</t>
  </si>
  <si>
    <t>AUTONOMIA FINANCERA</t>
  </si>
  <si>
    <t>EVOLUCIÓ DE LA XIFRA DE NEGOCI</t>
  </si>
  <si>
    <t>ANÀLISI DE LA LIQUIDITAT</t>
  </si>
  <si>
    <t>COEFICIENT DE TRESORERIA</t>
  </si>
  <si>
    <t>RÀTIO DE TRESORERIA</t>
  </si>
  <si>
    <t>ÍNDEX DE LIQUIDITAT</t>
  </si>
  <si>
    <t>COEFICIENTS DE ROTACIÓ</t>
  </si>
  <si>
    <t>ROTACIÓ COMPTES A COBRAR</t>
  </si>
  <si>
    <t>ROTACIÓ EXISTÈNCIES</t>
  </si>
  <si>
    <t>ROTACIÓ COMPTES A PAGAR</t>
  </si>
  <si>
    <t>PERÍODE MITJÀ DE COBRAMENT</t>
  </si>
  <si>
    <t>PERÍODE MITJÀ DE VENDA</t>
  </si>
  <si>
    <t>PERÍODE MITJÀ DE PAGAMENT</t>
  </si>
  <si>
    <t>PERÍODE MITJÀ DE MADURACIÓ ECONÒMICA</t>
  </si>
  <si>
    <t>PERÍODE MITJÀ DE MADURACIÓ FINANCERA</t>
  </si>
  <si>
    <t>ANÀLISI DE L'ESTRUCTURA DE CAPITAL I DE LA SOLVÈNCIA A LLARG TERMINI</t>
  </si>
  <si>
    <t>COST FINANCER NOMINAL</t>
  </si>
  <si>
    <t>COST FINANCER EFECTIU</t>
  </si>
  <si>
    <t>RENDIBILITAT DE L'ACTIU TOTAL</t>
  </si>
  <si>
    <t>DIFERÈNCIA</t>
  </si>
  <si>
    <t>ÍNDEX D'APALANCAMENT FINANCER</t>
  </si>
  <si>
    <t>RÀTIO D'APALANCAMENT FINANCER</t>
  </si>
  <si>
    <t>RÀTIOS DE L'ESTRUCTURA FINANCERA</t>
  </si>
  <si>
    <t>RÀTIO D'ENDEUTAMENT</t>
  </si>
  <si>
    <t>RELACIÓ DEUTES A LLARG TERMINI AMB FONS PROPIS</t>
  </si>
  <si>
    <t>RELACIÓ DEUTES A CURT TERMINI AMB DEUTE TOTAL</t>
  </si>
  <si>
    <t>RÀTIOS DE COBERTURA</t>
  </si>
  <si>
    <t>IMMOBILITZAT / FONS PROPIS</t>
  </si>
  <si>
    <t>IMMOBILITZAT MAT. NET / DEUTES A LLARG</t>
  </si>
  <si>
    <t>DEUTE TOTAL / (IMMOB. MAT. NET + COMP. COBRAR)</t>
  </si>
  <si>
    <t>COBERTURA DE DESPESES FINAN. AMB BENEFICIS</t>
  </si>
  <si>
    <t>COBERTURA DE REEMBORSAMENT DEL DEUTE</t>
  </si>
  <si>
    <t>COBERTURA DE DESPESES FINAN. AMB TRESORERIA</t>
  </si>
  <si>
    <t>ANÀLISI DEL RENDIMENT DE LA INVERSIÓ I DE LA UTILITZACIÓ D'ACTIUS</t>
  </si>
  <si>
    <t>INVERSIÓ = ACTIU TOTAL</t>
  </si>
  <si>
    <t>INVERSIÓ = CAPITALS PERMANENTS</t>
  </si>
  <si>
    <t>INVERSIÓ = FONS PROPIS</t>
  </si>
  <si>
    <t>DESEGREGATION DE DU PONT</t>
  </si>
  <si>
    <t>EFICIÈNCIA OPERATIVA DE L'EMPRESA</t>
  </si>
  <si>
    <t>GESTIÓ FISCAL DE L'EMPRESA</t>
  </si>
  <si>
    <t>ANÀLISI DE LA UTILITZACIÓ DELS ACTIUS</t>
  </si>
  <si>
    <t>COMPTES A COBRAR</t>
  </si>
  <si>
    <t>COMPTES A PAGAR</t>
  </si>
  <si>
    <t>TAXA DE CREIXEMENT DELS FONS PROPIS</t>
  </si>
  <si>
    <t>IMMATERIALS</t>
  </si>
  <si>
    <t>MATERIALS</t>
  </si>
  <si>
    <t>Equips procés informació</t>
  </si>
  <si>
    <t>Provisió per insolvències</t>
  </si>
  <si>
    <t>ACTIU TOTAL</t>
  </si>
  <si>
    <t>Resultat negatiu d'altres exercicis</t>
  </si>
  <si>
    <t>Deutes a llarg amb ent. de crèdit</t>
  </si>
  <si>
    <t>Remuneracions pendent pagament</t>
  </si>
  <si>
    <t>PASSIU TOTAL</t>
  </si>
  <si>
    <t>ACTIU CIRCULANT</t>
  </si>
  <si>
    <t>PASSIU CIRCULANT</t>
  </si>
  <si>
    <t>ACTIU FIX</t>
  </si>
  <si>
    <t>DEUTES A LLARG TERMINI</t>
  </si>
  <si>
    <t>FONS PROPIS</t>
  </si>
  <si>
    <t>PASSIU FIX</t>
  </si>
  <si>
    <t>Compres/Treball d'altres empreses</t>
  </si>
  <si>
    <t>RESULTAT ABANS D'IMPOST</t>
  </si>
  <si>
    <t>IMPOST SOBRE SOCIETATS</t>
  </si>
  <si>
    <t>COMPTE DE PÈRDUES I GUANYS ANALÍTIC</t>
  </si>
  <si>
    <t>COSTOS VARIABLES (PROPORCIONALS)</t>
  </si>
  <si>
    <t>MARGE BRUT</t>
  </si>
  <si>
    <t>COSTOS FIXOS (D'ESTRUCTURA)</t>
  </si>
  <si>
    <t>BAIT</t>
  </si>
  <si>
    <t>RESULTAT FINANCER</t>
  </si>
  <si>
    <t>BAT</t>
  </si>
  <si>
    <t>RESULTATS NETS</t>
  </si>
  <si>
    <t xml:space="preserve">Leasing </t>
  </si>
  <si>
    <t>PRIMER AÑO</t>
  </si>
  <si>
    <t>Leasing</t>
  </si>
  <si>
    <t>LEASING</t>
  </si>
  <si>
    <t>DESPESES DE CONSTITUCIÓ</t>
  </si>
  <si>
    <t>DESPESES  NO AMORTIZABLES</t>
  </si>
  <si>
    <t>Despeses de constitución</t>
  </si>
  <si>
    <t>IMMOBILITZAT INTANGIBLE</t>
  </si>
  <si>
    <t>112-114</t>
  </si>
  <si>
    <t>PATRIMONI NET</t>
  </si>
  <si>
    <t>PASIU CORRENT</t>
  </si>
  <si>
    <t>PASIU NO CORRENT</t>
  </si>
  <si>
    <t>IMMOBILITZAT MATERIAL</t>
  </si>
  <si>
    <t>MARGE DE CONTRIBUCIÓ</t>
  </si>
  <si>
    <t>EBITDA</t>
  </si>
  <si>
    <t>RESULTADO DE EXPLOTACIÓN</t>
  </si>
  <si>
    <t>RESULTAT D'EXPLOTACIÓ</t>
  </si>
  <si>
    <t>RESULTAT ABANS IMPOSTOS</t>
  </si>
  <si>
    <t>Basat en el Model Belloso Sanchez</t>
  </si>
  <si>
    <t>PUNT DE SUPERVIVÈNCIA</t>
  </si>
  <si>
    <t xml:space="preserve">Devolució préstec </t>
  </si>
  <si>
    <t>Periodes</t>
  </si>
  <si>
    <t>DESPESES NO AMORTITZABLES</t>
  </si>
  <si>
    <t>Despeses de Constitució</t>
  </si>
  <si>
    <t>INVERSIONS INTANGIBLES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</si>
</sst>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quot; Pts&quot;_-;\-* #,##0.00&quot; Pts&quot;_-;_-* \-??&quot; Pts&quot;_-;_-@_-"/>
    <numFmt numFmtId="165" formatCode="0.0%"/>
    <numFmt numFmtId="166" formatCode="_-* #,##0.00\ _P_t_s_-;\-* #,##0.00\ _P_t_s_-;_-* \-??\ _P_t_s_-;_-@_-"/>
    <numFmt numFmtId="167" formatCode="_-* #,##0\ _P_t_s_-;\-* #,##0\ _P_t_s_-;_-* \-??\ _P_t_s_-;_-@_-"/>
    <numFmt numFmtId="168" formatCode="0.0"/>
    <numFmt numFmtId="169" formatCode="#,##0.0"/>
    <numFmt numFmtId="170" formatCode="_-* #,##0\ _P_t_s_-;\-* #,##0\ _P_t_s_-;_-* &quot;- &quot;_P_t_s_-;_-@_-"/>
  </numFmts>
  <fonts count="69" x14ac:knownFonts="1">
    <font>
      <sz val="10"/>
      <name val="Arial"/>
      <family val="2"/>
    </font>
    <font>
      <b/>
      <sz val="14"/>
      <color indexed="16"/>
      <name val="Arial"/>
      <family val="2"/>
    </font>
    <font>
      <b/>
      <sz val="12"/>
      <name val="Arial"/>
      <family val="2"/>
    </font>
    <font>
      <sz val="8"/>
      <color indexed="8"/>
      <name val="Times New Roman"/>
      <family val="1"/>
    </font>
    <font>
      <sz val="8"/>
      <color indexed="52"/>
      <name val="Times New Roman"/>
      <family val="1"/>
    </font>
    <font>
      <b/>
      <sz val="10"/>
      <name val="Verdana"/>
      <family val="2"/>
    </font>
    <font>
      <b/>
      <sz val="10"/>
      <name val="Arial"/>
      <family val="2"/>
    </font>
    <font>
      <b/>
      <sz val="10"/>
      <color indexed="8"/>
      <name val="Arial"/>
      <family val="2"/>
    </font>
    <font>
      <b/>
      <sz val="8"/>
      <color indexed="8"/>
      <name val="Times New Roman"/>
      <family val="1"/>
    </font>
    <font>
      <b/>
      <sz val="10"/>
      <color indexed="18"/>
      <name val="Arial"/>
      <family val="2"/>
    </font>
    <font>
      <b/>
      <sz val="10"/>
      <color indexed="13"/>
      <name val="Arial"/>
      <family val="2"/>
    </font>
    <font>
      <b/>
      <sz val="8"/>
      <name val="Arial"/>
      <family val="2"/>
    </font>
    <font>
      <b/>
      <sz val="9"/>
      <name val="Arial"/>
      <family val="2"/>
    </font>
    <font>
      <b/>
      <sz val="8"/>
      <color indexed="10"/>
      <name val="Times New Roman"/>
      <family val="1"/>
    </font>
    <font>
      <sz val="8"/>
      <color indexed="10"/>
      <name val="Times New Roman"/>
      <family val="1"/>
    </font>
    <font>
      <u/>
      <sz val="10"/>
      <color indexed="12"/>
      <name val="Arial"/>
      <family val="2"/>
    </font>
    <font>
      <b/>
      <sz val="10"/>
      <color indexed="10"/>
      <name val="Arial"/>
      <family val="2"/>
    </font>
    <font>
      <sz val="10"/>
      <color indexed="10"/>
      <name val="Arial"/>
      <family val="2"/>
    </font>
    <font>
      <b/>
      <sz val="9"/>
      <color indexed="50"/>
      <name val="Arial"/>
      <family val="2"/>
    </font>
    <font>
      <b/>
      <sz val="10"/>
      <color indexed="50"/>
      <name val="Arial"/>
      <family val="2"/>
    </font>
    <font>
      <sz val="9"/>
      <name val="Arial"/>
      <family val="2"/>
    </font>
    <font>
      <b/>
      <sz val="10"/>
      <color indexed="55"/>
      <name val="Arial"/>
      <family val="2"/>
    </font>
    <font>
      <sz val="8"/>
      <name val="Arial"/>
      <family val="2"/>
    </font>
    <font>
      <b/>
      <sz val="8"/>
      <color indexed="10"/>
      <name val="Arial"/>
      <family val="2"/>
    </font>
    <font>
      <b/>
      <sz val="8"/>
      <color indexed="55"/>
      <name val="Arial"/>
      <family val="2"/>
    </font>
    <font>
      <b/>
      <sz val="11"/>
      <name val="Arial"/>
      <family val="2"/>
    </font>
    <font>
      <b/>
      <sz val="9"/>
      <color indexed="10"/>
      <name val="Arial"/>
      <family val="2"/>
    </font>
    <font>
      <b/>
      <sz val="8"/>
      <color indexed="50"/>
      <name val="Arial"/>
      <family val="2"/>
    </font>
    <font>
      <sz val="10"/>
      <color indexed="8"/>
      <name val="Arial"/>
      <family val="2"/>
    </font>
    <font>
      <b/>
      <sz val="6"/>
      <name val="Arial"/>
      <family val="2"/>
    </font>
    <font>
      <sz val="9"/>
      <color indexed="50"/>
      <name val="Arial"/>
      <family val="2"/>
    </font>
    <font>
      <sz val="9"/>
      <color indexed="10"/>
      <name val="Arial"/>
      <family val="2"/>
    </font>
    <font>
      <i/>
      <sz val="8"/>
      <name val="Arial"/>
      <family val="2"/>
    </font>
    <font>
      <b/>
      <i/>
      <sz val="8"/>
      <color indexed="10"/>
      <name val="Arial"/>
      <family val="2"/>
    </font>
    <font>
      <b/>
      <i/>
      <sz val="8"/>
      <name val="Arial"/>
      <family val="2"/>
    </font>
    <font>
      <b/>
      <i/>
      <sz val="8"/>
      <color indexed="50"/>
      <name val="Arial"/>
      <family val="2"/>
    </font>
    <font>
      <b/>
      <u/>
      <sz val="8"/>
      <color indexed="8"/>
      <name val="Times New Roman"/>
      <family val="1"/>
    </font>
    <font>
      <b/>
      <sz val="10"/>
      <color indexed="52"/>
      <name val="Arial"/>
      <family val="2"/>
    </font>
    <font>
      <b/>
      <sz val="9"/>
      <color indexed="52"/>
      <name val="Arial"/>
      <family val="2"/>
    </font>
    <font>
      <b/>
      <sz val="8"/>
      <color indexed="52"/>
      <name val="Arial"/>
      <family val="2"/>
    </font>
    <font>
      <sz val="12"/>
      <name val="Arial"/>
      <family val="2"/>
    </font>
    <font>
      <b/>
      <sz val="10"/>
      <color indexed="42"/>
      <name val="Arial"/>
      <family val="2"/>
    </font>
    <font>
      <b/>
      <sz val="8"/>
      <color indexed="8"/>
      <name val="Arial"/>
      <family val="2"/>
    </font>
    <font>
      <sz val="9"/>
      <color indexed="8"/>
      <name val="Arial"/>
      <family val="2"/>
    </font>
    <font>
      <b/>
      <sz val="9"/>
      <color indexed="8"/>
      <name val="Arial"/>
      <family val="2"/>
    </font>
    <font>
      <sz val="8"/>
      <color indexed="8"/>
      <name val="Arial"/>
      <family val="2"/>
    </font>
    <font>
      <b/>
      <sz val="14"/>
      <color indexed="18"/>
      <name val="Arial"/>
      <family val="2"/>
    </font>
    <font>
      <b/>
      <sz val="10"/>
      <color indexed="9"/>
      <name val="Arial"/>
      <family val="2"/>
    </font>
    <font>
      <b/>
      <sz val="8"/>
      <color indexed="9"/>
      <name val="Arial"/>
      <family val="2"/>
    </font>
    <font>
      <b/>
      <sz val="10"/>
      <color indexed="12"/>
      <name val="Arial"/>
      <family val="2"/>
    </font>
    <font>
      <b/>
      <sz val="10"/>
      <color indexed="46"/>
      <name val="Arial"/>
      <family val="2"/>
    </font>
    <font>
      <sz val="11"/>
      <name val="Arial"/>
      <family val="2"/>
    </font>
    <font>
      <b/>
      <sz val="11"/>
      <color indexed="8"/>
      <name val="Arial"/>
      <family val="2"/>
    </font>
    <font>
      <b/>
      <sz val="10"/>
      <color indexed="8"/>
      <name val="Tahoma"/>
      <family val="2"/>
    </font>
    <font>
      <sz val="8"/>
      <color indexed="81"/>
      <name val="Tahoma"/>
      <family val="2"/>
    </font>
    <font>
      <sz val="10"/>
      <color indexed="9"/>
      <name val="Arial"/>
      <family val="2"/>
    </font>
    <font>
      <sz val="12"/>
      <color indexed="9"/>
      <name val="Arial"/>
      <family val="2"/>
    </font>
    <font>
      <b/>
      <sz val="12"/>
      <color indexed="9"/>
      <name val="Arial"/>
      <family val="2"/>
    </font>
    <font>
      <b/>
      <sz val="8"/>
      <color indexed="81"/>
      <name val="Tahoma"/>
      <family val="2"/>
    </font>
    <font>
      <b/>
      <sz val="9"/>
      <color indexed="17"/>
      <name val="Arial"/>
      <family val="2"/>
    </font>
    <font>
      <b/>
      <sz val="8"/>
      <color indexed="17"/>
      <name val="Arial"/>
      <family val="2"/>
    </font>
    <font>
      <b/>
      <sz val="10"/>
      <color indexed="17"/>
      <name val="Arial"/>
      <family val="2"/>
    </font>
    <font>
      <sz val="9"/>
      <color indexed="17"/>
      <name val="Arial"/>
      <family val="2"/>
    </font>
    <font>
      <sz val="9"/>
      <color indexed="12"/>
      <name val="Arial"/>
      <family val="2"/>
    </font>
    <font>
      <b/>
      <sz val="10"/>
      <color indexed="47"/>
      <name val="Arial"/>
      <family val="2"/>
    </font>
    <font>
      <b/>
      <i/>
      <sz val="8"/>
      <color indexed="17"/>
      <name val="Arial"/>
      <family val="2"/>
    </font>
    <font>
      <sz val="10"/>
      <name val="Arial"/>
      <family val="2"/>
    </font>
    <font>
      <b/>
      <sz val="10"/>
      <color rgb="FFFFFFFF"/>
      <name val="Verdana"/>
      <family val="2"/>
    </font>
    <font>
      <b/>
      <sz val="8"/>
      <color rgb="FFFFFFFF"/>
      <name val="Verdana"/>
      <family val="2"/>
    </font>
  </fonts>
  <fills count="40">
    <fill>
      <patternFill patternType="none"/>
    </fill>
    <fill>
      <patternFill patternType="gray125"/>
    </fill>
    <fill>
      <patternFill patternType="solid">
        <fgColor indexed="9"/>
        <bgColor indexed="26"/>
      </patternFill>
    </fill>
    <fill>
      <patternFill patternType="solid">
        <fgColor indexed="42"/>
        <bgColor indexed="27"/>
      </patternFill>
    </fill>
    <fill>
      <patternFill patternType="solid">
        <fgColor indexed="49"/>
        <bgColor indexed="40"/>
      </patternFill>
    </fill>
    <fill>
      <patternFill patternType="solid">
        <fgColor indexed="19"/>
        <bgColor indexed="23"/>
      </patternFill>
    </fill>
    <fill>
      <patternFill patternType="solid">
        <fgColor indexed="29"/>
        <bgColor indexed="45"/>
      </patternFill>
    </fill>
    <fill>
      <patternFill patternType="solid">
        <fgColor indexed="47"/>
        <bgColor indexed="54"/>
      </patternFill>
    </fill>
    <fill>
      <patternFill patternType="solid">
        <fgColor indexed="44"/>
        <bgColor indexed="57"/>
      </patternFill>
    </fill>
    <fill>
      <patternFill patternType="solid">
        <fgColor indexed="22"/>
        <bgColor indexed="54"/>
      </patternFill>
    </fill>
    <fill>
      <patternFill patternType="solid">
        <fgColor indexed="43"/>
        <bgColor indexed="26"/>
      </patternFill>
    </fill>
    <fill>
      <patternFill patternType="solid">
        <fgColor indexed="10"/>
        <bgColor indexed="60"/>
      </patternFill>
    </fill>
    <fill>
      <patternFill patternType="solid">
        <fgColor indexed="55"/>
        <bgColor indexed="23"/>
      </patternFill>
    </fill>
    <fill>
      <patternFill patternType="solid">
        <fgColor indexed="11"/>
        <bgColor indexed="49"/>
      </patternFill>
    </fill>
    <fill>
      <patternFill patternType="solid">
        <fgColor indexed="14"/>
        <bgColor indexed="33"/>
      </patternFill>
    </fill>
    <fill>
      <patternFill patternType="solid">
        <fgColor indexed="15"/>
        <bgColor indexed="49"/>
      </patternFill>
    </fill>
    <fill>
      <patternFill patternType="solid">
        <fgColor indexed="58"/>
        <bgColor indexed="59"/>
      </patternFill>
    </fill>
    <fill>
      <patternFill patternType="solid">
        <fgColor indexed="8"/>
        <bgColor indexed="59"/>
      </patternFill>
    </fill>
    <fill>
      <patternFill patternType="solid">
        <fgColor indexed="27"/>
        <bgColor indexed="42"/>
      </patternFill>
    </fill>
    <fill>
      <patternFill patternType="solid">
        <fgColor indexed="54"/>
        <bgColor indexed="22"/>
      </patternFill>
    </fill>
    <fill>
      <patternFill patternType="solid">
        <fgColor indexed="34"/>
        <bgColor indexed="61"/>
      </patternFill>
    </fill>
    <fill>
      <patternFill patternType="solid">
        <fgColor indexed="61"/>
        <bgColor indexed="48"/>
      </patternFill>
    </fill>
    <fill>
      <patternFill patternType="solid">
        <fgColor indexed="41"/>
        <bgColor indexed="61"/>
      </patternFill>
    </fill>
    <fill>
      <patternFill patternType="solid">
        <fgColor indexed="51"/>
        <bgColor indexed="13"/>
      </patternFill>
    </fill>
    <fill>
      <patternFill patternType="solid">
        <fgColor indexed="35"/>
        <bgColor indexed="31"/>
      </patternFill>
    </fill>
    <fill>
      <patternFill patternType="solid">
        <fgColor indexed="56"/>
        <bgColor indexed="62"/>
      </patternFill>
    </fill>
    <fill>
      <patternFill patternType="solid">
        <fgColor indexed="57"/>
        <bgColor indexed="40"/>
      </patternFill>
    </fill>
    <fill>
      <patternFill patternType="solid">
        <fgColor indexed="40"/>
        <bgColor indexed="57"/>
      </patternFill>
    </fill>
    <fill>
      <patternFill patternType="solid">
        <fgColor indexed="48"/>
        <bgColor indexed="61"/>
      </patternFill>
    </fill>
    <fill>
      <patternFill patternType="solid">
        <fgColor indexed="53"/>
        <bgColor indexed="54"/>
      </patternFill>
    </fill>
    <fill>
      <patternFill patternType="solid">
        <fgColor indexed="45"/>
        <bgColor indexed="53"/>
      </patternFill>
    </fill>
    <fill>
      <patternFill patternType="solid">
        <fgColor indexed="26"/>
        <bgColor indexed="9"/>
      </patternFill>
    </fill>
    <fill>
      <patternFill patternType="solid">
        <fgColor indexed="13"/>
        <bgColor indexed="51"/>
      </patternFill>
    </fill>
    <fill>
      <patternFill patternType="solid">
        <fgColor indexed="21"/>
        <bgColor indexed="38"/>
      </patternFill>
    </fill>
    <fill>
      <patternFill patternType="solid">
        <fgColor indexed="22"/>
        <bgColor indexed="64"/>
      </patternFill>
    </fill>
    <fill>
      <patternFill patternType="solid">
        <fgColor indexed="22"/>
        <bgColor indexed="26"/>
      </patternFill>
    </fill>
    <fill>
      <patternFill patternType="solid">
        <fgColor indexed="9"/>
        <bgColor indexed="49"/>
      </patternFill>
    </fill>
    <fill>
      <patternFill patternType="solid">
        <fgColor indexed="43"/>
        <bgColor indexed="64"/>
      </patternFill>
    </fill>
    <fill>
      <patternFill patternType="solid">
        <fgColor indexed="41"/>
        <bgColor indexed="49"/>
      </patternFill>
    </fill>
    <fill>
      <patternFill patternType="solid">
        <fgColor indexed="41"/>
        <bgColor indexed="44"/>
      </patternFill>
    </fill>
  </fills>
  <borders count="134">
    <border>
      <left/>
      <right/>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medium">
        <color indexed="8"/>
      </left>
      <right style="thin">
        <color indexed="8"/>
      </right>
      <top style="thin">
        <color indexed="8"/>
      </top>
      <bottom style="thin">
        <color indexed="8"/>
      </bottom>
      <diagonal/>
    </border>
    <border>
      <left/>
      <right style="medium">
        <color indexed="8"/>
      </right>
      <top/>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medium">
        <color indexed="8"/>
      </right>
      <top style="medium">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top/>
      <bottom style="thin">
        <color indexed="8"/>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style="thin">
        <color indexed="8"/>
      </bottom>
      <diagonal/>
    </border>
    <border>
      <left style="medium">
        <color indexed="8"/>
      </left>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style="medium">
        <color indexed="8"/>
      </bottom>
      <diagonal/>
    </border>
    <border>
      <left style="thin">
        <color indexed="8"/>
      </left>
      <right style="thin">
        <color indexed="8"/>
      </right>
      <top/>
      <bottom style="thin">
        <color indexed="8"/>
      </bottom>
      <diagonal/>
    </border>
    <border>
      <left style="medium">
        <color indexed="8"/>
      </left>
      <right/>
      <top/>
      <bottom style="medium">
        <color indexed="8"/>
      </bottom>
      <diagonal/>
    </border>
    <border>
      <left style="thin">
        <color indexed="8"/>
      </left>
      <right style="thin">
        <color indexed="8"/>
      </right>
      <top style="medium">
        <color indexed="8"/>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style="medium">
        <color indexed="8"/>
      </right>
      <top style="medium">
        <color indexed="8"/>
      </top>
      <bottom style="thin">
        <color indexed="8"/>
      </bottom>
      <diagonal/>
    </border>
    <border>
      <left/>
      <right style="thin">
        <color indexed="8"/>
      </right>
      <top/>
      <bottom style="thin">
        <color indexed="8"/>
      </bottom>
      <diagonal/>
    </border>
    <border>
      <left style="medium">
        <color indexed="8"/>
      </left>
      <right style="medium">
        <color indexed="8"/>
      </right>
      <top/>
      <bottom style="thin">
        <color indexed="8"/>
      </bottom>
      <diagonal/>
    </border>
    <border>
      <left/>
      <right style="thin">
        <color indexed="8"/>
      </right>
      <top style="thin">
        <color indexed="8"/>
      </top>
      <bottom style="medium">
        <color indexed="8"/>
      </bottom>
      <diagonal/>
    </border>
    <border>
      <left style="medium">
        <color indexed="8"/>
      </left>
      <right style="thin">
        <color indexed="8"/>
      </right>
      <top/>
      <bottom style="thin">
        <color indexed="8"/>
      </bottom>
      <diagonal/>
    </border>
    <border>
      <left style="medium">
        <color indexed="8"/>
      </left>
      <right/>
      <top style="thin">
        <color indexed="8"/>
      </top>
      <bottom/>
      <diagonal/>
    </border>
    <border>
      <left style="medium">
        <color indexed="8"/>
      </left>
      <right style="medium">
        <color indexed="8"/>
      </right>
      <top/>
      <bottom style="medium">
        <color indexed="8"/>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style="medium">
        <color indexed="8"/>
      </right>
      <top style="thin">
        <color indexed="8"/>
      </top>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top/>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style="medium">
        <color indexed="8"/>
      </bottom>
      <diagonal/>
    </border>
    <border>
      <left/>
      <right/>
      <top style="medium">
        <color indexed="8"/>
      </top>
      <bottom style="thin">
        <color indexed="8"/>
      </bottom>
      <diagonal/>
    </border>
    <border>
      <left/>
      <right/>
      <top style="thin">
        <color indexed="8"/>
      </top>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top style="thin">
        <color indexed="8"/>
      </top>
      <bottom/>
      <diagonal/>
    </border>
    <border>
      <left style="medium">
        <color indexed="8"/>
      </left>
      <right style="thin">
        <color indexed="8"/>
      </right>
      <top style="medium">
        <color indexed="8"/>
      </top>
      <bottom style="medium">
        <color indexed="8"/>
      </bottom>
      <diagonal/>
    </border>
    <border>
      <left/>
      <right/>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medium">
        <color indexed="8"/>
      </left>
      <right style="thin">
        <color indexed="8"/>
      </right>
      <top/>
      <bottom style="medium">
        <color indexed="8"/>
      </bottom>
      <diagonal/>
    </border>
    <border>
      <left style="thin">
        <color indexed="8"/>
      </left>
      <right/>
      <top style="medium">
        <color indexed="8"/>
      </top>
      <bottom style="thin">
        <color indexed="8"/>
      </bottom>
      <diagonal/>
    </border>
    <border>
      <left/>
      <right style="thin">
        <color indexed="8"/>
      </right>
      <top style="medium">
        <color indexed="8"/>
      </top>
      <bottom style="medium">
        <color indexed="8"/>
      </bottom>
      <diagonal/>
    </border>
    <border>
      <left style="medium">
        <color indexed="8"/>
      </left>
      <right style="medium">
        <color indexed="8"/>
      </right>
      <top style="thin">
        <color indexed="8"/>
      </top>
      <bottom/>
      <diagonal/>
    </border>
    <border>
      <left style="medium">
        <color indexed="8"/>
      </left>
      <right style="medium">
        <color indexed="8"/>
      </right>
      <top/>
      <bottom/>
      <diagonal/>
    </border>
    <border>
      <left style="medium">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42"/>
      </left>
      <right style="medium">
        <color indexed="42"/>
      </right>
      <top style="medium">
        <color indexed="42"/>
      </top>
      <bottom style="medium">
        <color indexed="42"/>
      </bottom>
      <diagonal/>
    </border>
    <border>
      <left style="medium">
        <color indexed="8"/>
      </left>
      <right style="thin">
        <color indexed="8"/>
      </right>
      <top style="medium">
        <color indexed="8"/>
      </top>
      <bottom/>
      <diagonal/>
    </border>
    <border>
      <left style="hair">
        <color indexed="8"/>
      </left>
      <right style="thin">
        <color indexed="8"/>
      </right>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thin">
        <color indexed="8"/>
      </right>
      <top style="hair">
        <color indexed="8"/>
      </top>
      <bottom style="thin">
        <color indexed="8"/>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thin">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hair">
        <color indexed="8"/>
      </right>
      <top style="hair">
        <color indexed="8"/>
      </top>
      <bottom/>
      <diagonal/>
    </border>
    <border>
      <left style="hair">
        <color indexed="8"/>
      </left>
      <right style="hair">
        <color indexed="8"/>
      </right>
      <top style="hair">
        <color indexed="8"/>
      </top>
      <bottom style="thin">
        <color indexed="8"/>
      </bottom>
      <diagonal/>
    </border>
    <border>
      <left style="thin">
        <color indexed="8"/>
      </left>
      <right style="hair">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indexed="8"/>
      </left>
      <right/>
      <top style="medium">
        <color indexed="8"/>
      </top>
      <bottom/>
      <diagonal/>
    </border>
    <border>
      <left style="medium">
        <color indexed="8"/>
      </left>
      <right style="thin">
        <color indexed="8"/>
      </right>
      <top/>
      <bottom/>
      <diagonal/>
    </border>
    <border>
      <left style="thin">
        <color indexed="8"/>
      </left>
      <right/>
      <top style="medium">
        <color indexed="8"/>
      </top>
      <bottom style="medium">
        <color indexed="8"/>
      </bottom>
      <diagonal/>
    </border>
    <border>
      <left style="thin">
        <color indexed="8"/>
      </left>
      <right/>
      <top/>
      <bottom style="medium">
        <color indexed="8"/>
      </bottom>
      <diagonal/>
    </border>
    <border>
      <left style="double">
        <color indexed="8"/>
      </left>
      <right/>
      <top style="double">
        <color indexed="8"/>
      </top>
      <bottom style="double">
        <color indexed="8"/>
      </bottom>
      <diagonal/>
    </border>
    <border>
      <left style="double">
        <color indexed="8"/>
      </left>
      <right style="thin">
        <color indexed="8"/>
      </right>
      <top style="double">
        <color indexed="8"/>
      </top>
      <bottom style="double">
        <color indexed="8"/>
      </bottom>
      <diagonal/>
    </border>
    <border>
      <left style="thin">
        <color indexed="8"/>
      </left>
      <right style="thin">
        <color indexed="8"/>
      </right>
      <top style="double">
        <color indexed="8"/>
      </top>
      <bottom style="double">
        <color indexed="8"/>
      </bottom>
      <diagonal/>
    </border>
    <border>
      <left style="thin">
        <color indexed="8"/>
      </left>
      <right style="double">
        <color indexed="8"/>
      </right>
      <top style="double">
        <color indexed="8"/>
      </top>
      <bottom style="double">
        <color indexed="8"/>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style="double">
        <color indexed="8"/>
      </top>
      <bottom style="thin">
        <color indexed="8"/>
      </bottom>
      <diagonal/>
    </border>
    <border>
      <left style="double">
        <color indexed="8"/>
      </left>
      <right style="thin">
        <color indexed="8"/>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thin">
        <color indexed="8"/>
      </left>
      <right style="double">
        <color indexed="8"/>
      </right>
      <top style="double">
        <color indexed="8"/>
      </top>
      <bottom style="thin">
        <color indexed="8"/>
      </bottom>
      <diagonal/>
    </border>
    <border>
      <left style="double">
        <color indexed="8"/>
      </left>
      <right style="double">
        <color indexed="8"/>
      </right>
      <top/>
      <bottom style="double">
        <color indexed="8"/>
      </bottom>
      <diagonal/>
    </border>
    <border>
      <left style="double">
        <color indexed="8"/>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style="double">
        <color indexed="8"/>
      </left>
      <right style="double">
        <color indexed="8"/>
      </right>
      <top style="thin">
        <color indexed="8"/>
      </top>
      <bottom style="double">
        <color indexed="8"/>
      </bottom>
      <diagonal/>
    </border>
    <border>
      <left style="double">
        <color indexed="8"/>
      </left>
      <right/>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double">
        <color indexed="8"/>
      </right>
      <top style="thin">
        <color indexed="8"/>
      </top>
      <bottom style="thin">
        <color indexed="8"/>
      </bottom>
      <diagonal/>
    </border>
    <border>
      <left style="double">
        <color indexed="8"/>
      </left>
      <right/>
      <top/>
      <bottom style="double">
        <color indexed="8"/>
      </bottom>
      <diagonal/>
    </border>
    <border>
      <left/>
      <right style="thin">
        <color indexed="8"/>
      </right>
      <top/>
      <bottom/>
      <diagonal/>
    </border>
    <border>
      <left style="thin">
        <color indexed="8"/>
      </left>
      <right style="thin">
        <color indexed="8"/>
      </right>
      <top style="hair">
        <color indexed="8"/>
      </top>
      <bottom style="hair">
        <color indexed="8"/>
      </bottom>
      <diagonal/>
    </border>
    <border>
      <left style="thin">
        <color indexed="8"/>
      </left>
      <right style="thin">
        <color indexed="8"/>
      </right>
      <top style="thin">
        <color indexed="8"/>
      </top>
      <bottom style="hair">
        <color indexed="8"/>
      </bottom>
      <diagonal/>
    </border>
    <border>
      <left style="thin">
        <color indexed="8"/>
      </left>
      <right style="hair">
        <color indexed="8"/>
      </right>
      <top style="thin">
        <color indexed="8"/>
      </top>
      <bottom style="hair">
        <color indexed="8"/>
      </bottom>
      <diagonal/>
    </border>
    <border>
      <left style="hair">
        <color indexed="8"/>
      </left>
      <right style="thin">
        <color indexed="8"/>
      </right>
      <top style="thin">
        <color indexed="8"/>
      </top>
      <bottom style="hair">
        <color indexed="8"/>
      </bottom>
      <diagonal/>
    </border>
    <border>
      <left style="hair">
        <color indexed="8"/>
      </left>
      <right/>
      <top style="hair">
        <color indexed="8"/>
      </top>
      <bottom style="hair">
        <color indexed="8"/>
      </bottom>
      <diagonal/>
    </border>
    <border>
      <left style="thin">
        <color indexed="8"/>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diagonal/>
    </border>
    <border>
      <left style="thin">
        <color indexed="8"/>
      </left>
      <right style="thin">
        <color indexed="8"/>
      </right>
      <top/>
      <bottom style="hair">
        <color indexed="8"/>
      </bottom>
      <diagonal/>
    </border>
    <border>
      <left style="thin">
        <color indexed="8"/>
      </left>
      <right style="thin">
        <color indexed="8"/>
      </right>
      <top style="hair">
        <color indexed="8"/>
      </top>
      <bottom/>
      <diagonal/>
    </border>
    <border>
      <left style="thin">
        <color indexed="8"/>
      </left>
      <right style="thin">
        <color indexed="8"/>
      </right>
      <top style="hair">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8"/>
      </left>
      <right/>
      <top style="thin">
        <color indexed="64"/>
      </top>
      <bottom style="thin">
        <color indexed="64"/>
      </bottom>
      <diagonal/>
    </border>
    <border>
      <left style="thin">
        <color indexed="64"/>
      </left>
      <right/>
      <top style="thin">
        <color indexed="64"/>
      </top>
      <bottom style="thin">
        <color indexed="64"/>
      </bottom>
      <diagonal/>
    </border>
    <border>
      <left style="hair">
        <color indexed="8"/>
      </left>
      <right/>
      <top style="thin">
        <color indexed="64"/>
      </top>
      <bottom style="thin">
        <color indexed="64"/>
      </bottom>
      <diagonal/>
    </border>
    <border>
      <left style="hair">
        <color indexed="8"/>
      </left>
      <right style="thin">
        <color indexed="64"/>
      </right>
      <top style="thin">
        <color indexed="64"/>
      </top>
      <bottom style="thin">
        <color indexed="64"/>
      </bottom>
      <diagonal/>
    </border>
    <border>
      <left style="hair">
        <color indexed="8"/>
      </left>
      <right/>
      <top/>
      <bottom/>
      <diagonal/>
    </border>
    <border>
      <left style="thin">
        <color indexed="8"/>
      </left>
      <right style="hair">
        <color indexed="8"/>
      </right>
      <top/>
      <bottom/>
      <diagonal/>
    </border>
    <border>
      <left style="hair">
        <color indexed="8"/>
      </left>
      <right style="thin">
        <color indexed="8"/>
      </right>
      <top/>
      <bottom/>
      <diagonal/>
    </border>
    <border>
      <left/>
      <right style="thin">
        <color indexed="8"/>
      </right>
      <top style="thin">
        <color indexed="64"/>
      </top>
      <bottom style="thin">
        <color indexed="64"/>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64"/>
      </bottom>
      <diagonal/>
    </border>
    <border>
      <left style="thin">
        <color indexed="8"/>
      </left>
      <right style="hair">
        <color indexed="8"/>
      </right>
      <top style="hair">
        <color indexed="8"/>
      </top>
      <bottom style="thin">
        <color indexed="8"/>
      </bottom>
      <diagonal/>
    </border>
  </borders>
  <cellStyleXfs count="6">
    <xf numFmtId="0" fontId="0" fillId="0" borderId="0"/>
    <xf numFmtId="0" fontId="15" fillId="0" borderId="0" applyNumberFormat="0" applyFill="0" applyBorder="0" applyAlignment="0" applyProtection="0"/>
    <xf numFmtId="166" fontId="66" fillId="0" borderId="0" applyFill="0" applyBorder="0" applyAlignment="0" applyProtection="0"/>
    <xf numFmtId="170" fontId="66" fillId="0" borderId="0" applyFill="0" applyBorder="0" applyAlignment="0" applyProtection="0"/>
    <xf numFmtId="164" fontId="66" fillId="0" borderId="0" applyFill="0" applyBorder="0" applyAlignment="0" applyProtection="0"/>
    <xf numFmtId="9" fontId="66" fillId="0" borderId="0" applyFill="0" applyBorder="0" applyAlignment="0" applyProtection="0"/>
  </cellStyleXfs>
  <cellXfs count="1995">
    <xf numFmtId="0" fontId="0" fillId="0" borderId="0" xfId="0"/>
    <xf numFmtId="0" fontId="0" fillId="2" borderId="0" xfId="0" applyFill="1"/>
    <xf numFmtId="0" fontId="1" fillId="2" borderId="0" xfId="0" applyFont="1" applyFill="1"/>
    <xf numFmtId="0" fontId="6" fillId="2" borderId="0" xfId="0" applyFont="1" applyFill="1" applyAlignment="1">
      <alignment horizontal="center"/>
    </xf>
    <xf numFmtId="0" fontId="7" fillId="2" borderId="0" xfId="0" applyFont="1" applyFill="1" applyAlignment="1">
      <alignment horizontal="center"/>
    </xf>
    <xf numFmtId="0" fontId="9" fillId="2" borderId="0" xfId="0" applyFont="1" applyFill="1" applyAlignment="1">
      <alignment horizontal="center"/>
    </xf>
    <xf numFmtId="0" fontId="0" fillId="2" borderId="0" xfId="0" applyFill="1" applyAlignment="1">
      <alignment horizontal="left"/>
    </xf>
    <xf numFmtId="0" fontId="6" fillId="0" borderId="0" xfId="0" applyFont="1"/>
    <xf numFmtId="0" fontId="6" fillId="3" borderId="1" xfId="0" applyFont="1" applyFill="1" applyBorder="1" applyAlignment="1">
      <alignment horizontal="center"/>
    </xf>
    <xf numFmtId="3" fontId="6" fillId="0" borderId="0" xfId="0" applyNumberFormat="1" applyFont="1"/>
    <xf numFmtId="0" fontId="6" fillId="4" borderId="1" xfId="0" applyFont="1" applyFill="1" applyBorder="1" applyAlignment="1">
      <alignment horizontal="center"/>
    </xf>
    <xf numFmtId="4" fontId="10" fillId="5" borderId="1" xfId="0" applyNumberFormat="1" applyFont="1" applyFill="1" applyBorder="1" applyAlignment="1">
      <alignment horizontal="center"/>
    </xf>
    <xf numFmtId="4" fontId="0" fillId="0" borderId="0" xfId="0" applyNumberFormat="1"/>
    <xf numFmtId="4" fontId="6" fillId="4" borderId="1" xfId="0" applyNumberFormat="1" applyFont="1" applyFill="1" applyBorder="1" applyAlignment="1">
      <alignment horizontal="center"/>
    </xf>
    <xf numFmtId="4" fontId="6" fillId="0" borderId="1" xfId="0" applyNumberFormat="1" applyFont="1" applyBorder="1" applyAlignment="1">
      <alignment horizontal="left"/>
    </xf>
    <xf numFmtId="4" fontId="6" fillId="0" borderId="1" xfId="0" applyNumberFormat="1" applyFont="1" applyBorder="1"/>
    <xf numFmtId="0" fontId="6" fillId="0" borderId="1" xfId="0" applyFont="1" applyBorder="1" applyAlignment="1">
      <alignment horizontal="left"/>
    </xf>
    <xf numFmtId="4" fontId="6" fillId="6" borderId="1" xfId="0" applyNumberFormat="1" applyFont="1" applyFill="1" applyBorder="1" applyAlignment="1">
      <alignment horizontal="center"/>
    </xf>
    <xf numFmtId="4" fontId="6" fillId="0" borderId="0" xfId="0" applyNumberFormat="1" applyFont="1"/>
    <xf numFmtId="4" fontId="6" fillId="3" borderId="1" xfId="0" applyNumberFormat="1" applyFont="1" applyFill="1" applyBorder="1" applyAlignment="1">
      <alignment horizontal="center"/>
    </xf>
    <xf numFmtId="4" fontId="6" fillId="0" borderId="0" xfId="0" applyNumberFormat="1" applyFont="1" applyAlignment="1">
      <alignment horizontal="left"/>
    </xf>
    <xf numFmtId="3" fontId="0" fillId="0" borderId="0" xfId="0" applyNumberFormat="1"/>
    <xf numFmtId="3" fontId="6" fillId="0" borderId="1" xfId="0" applyNumberFormat="1" applyFont="1" applyBorder="1" applyAlignment="1">
      <alignment horizontal="center"/>
    </xf>
    <xf numFmtId="3" fontId="6" fillId="7" borderId="1" xfId="0" applyNumberFormat="1" applyFont="1" applyFill="1" applyBorder="1"/>
    <xf numFmtId="3" fontId="6" fillId="3" borderId="1" xfId="0" applyNumberFormat="1" applyFont="1" applyFill="1" applyBorder="1"/>
    <xf numFmtId="3" fontId="6" fillId="8" borderId="1" xfId="0" applyNumberFormat="1" applyFont="1" applyFill="1" applyBorder="1"/>
    <xf numFmtId="0" fontId="6" fillId="0" borderId="0" xfId="0" applyFont="1" applyAlignment="1">
      <alignment horizontal="center"/>
    </xf>
    <xf numFmtId="3" fontId="6" fillId="7" borderId="2" xfId="0" applyNumberFormat="1" applyFont="1" applyFill="1" applyBorder="1" applyAlignment="1">
      <alignment horizontal="center"/>
    </xf>
    <xf numFmtId="3" fontId="6" fillId="7" borderId="1" xfId="0" applyNumberFormat="1" applyFont="1" applyFill="1" applyBorder="1" applyAlignment="1">
      <alignment horizontal="center"/>
    </xf>
    <xf numFmtId="4" fontId="6" fillId="7" borderId="1" xfId="0" applyNumberFormat="1" applyFont="1" applyFill="1" applyBorder="1"/>
    <xf numFmtId="3" fontId="6" fillId="9" borderId="1" xfId="0" applyNumberFormat="1" applyFont="1" applyFill="1" applyBorder="1" applyAlignment="1">
      <alignment horizontal="center"/>
    </xf>
    <xf numFmtId="3" fontId="11" fillId="10" borderId="3" xfId="0" applyNumberFormat="1" applyFont="1" applyFill="1" applyBorder="1" applyAlignment="1">
      <alignment horizontal="center"/>
    </xf>
    <xf numFmtId="3" fontId="12" fillId="10" borderId="3" xfId="0" applyNumberFormat="1" applyFont="1" applyFill="1" applyBorder="1" applyAlignment="1">
      <alignment horizontal="center"/>
    </xf>
    <xf numFmtId="10" fontId="6" fillId="10" borderId="1" xfId="0" applyNumberFormat="1" applyFont="1" applyFill="1" applyBorder="1" applyAlignment="1">
      <alignment horizontal="center"/>
    </xf>
    <xf numFmtId="0" fontId="0" fillId="9" borderId="4" xfId="0" applyFill="1" applyBorder="1"/>
    <xf numFmtId="0" fontId="0" fillId="9" borderId="5" xfId="0" applyFill="1" applyBorder="1"/>
    <xf numFmtId="0" fontId="0" fillId="9" borderId="6" xfId="0" applyFill="1" applyBorder="1"/>
    <xf numFmtId="0" fontId="0" fillId="9" borderId="0" xfId="0" applyFill="1"/>
    <xf numFmtId="3" fontId="2" fillId="7" borderId="7" xfId="0" applyNumberFormat="1" applyFont="1" applyFill="1" applyBorder="1"/>
    <xf numFmtId="3" fontId="2" fillId="7" borderId="8" xfId="0" applyNumberFormat="1" applyFont="1" applyFill="1" applyBorder="1"/>
    <xf numFmtId="0" fontId="6" fillId="7" borderId="8" xfId="0" applyFont="1" applyFill="1" applyBorder="1"/>
    <xf numFmtId="0" fontId="6" fillId="7" borderId="9" xfId="0" applyFont="1" applyFill="1" applyBorder="1"/>
    <xf numFmtId="0" fontId="2" fillId="11" borderId="10" xfId="0" applyFont="1" applyFill="1" applyBorder="1" applyAlignment="1">
      <alignment horizontal="center"/>
    </xf>
    <xf numFmtId="3" fontId="2" fillId="4" borderId="11" xfId="0" applyNumberFormat="1" applyFont="1" applyFill="1" applyBorder="1"/>
    <xf numFmtId="0" fontId="15" fillId="9" borderId="0" xfId="1" applyNumberFormat="1" applyFill="1" applyBorder="1" applyAlignment="1" applyProtection="1"/>
    <xf numFmtId="0" fontId="2" fillId="7" borderId="4" xfId="0" applyFont="1" applyFill="1" applyBorder="1"/>
    <xf numFmtId="0" fontId="0" fillId="7" borderId="5" xfId="0" applyFill="1" applyBorder="1"/>
    <xf numFmtId="0" fontId="0" fillId="7" borderId="12" xfId="0" applyFill="1" applyBorder="1"/>
    <xf numFmtId="3" fontId="6" fillId="10" borderId="13" xfId="0" applyNumberFormat="1" applyFont="1" applyFill="1" applyBorder="1" applyAlignment="1">
      <alignment horizontal="center"/>
    </xf>
    <xf numFmtId="0" fontId="16" fillId="0" borderId="1" xfId="0" applyFont="1" applyBorder="1" applyAlignment="1" applyProtection="1">
      <alignment horizontal="center"/>
      <protection locked="0"/>
    </xf>
    <xf numFmtId="0" fontId="16" fillId="7" borderId="0" xfId="0" applyFont="1" applyFill="1" applyAlignment="1">
      <alignment horizontal="center"/>
    </xf>
    <xf numFmtId="0" fontId="0" fillId="7" borderId="0" xfId="0" applyFill="1"/>
    <xf numFmtId="0" fontId="0" fillId="7" borderId="14" xfId="0" applyFill="1" applyBorder="1"/>
    <xf numFmtId="0" fontId="6" fillId="7" borderId="0" xfId="0" applyFont="1" applyFill="1" applyAlignment="1">
      <alignment horizontal="center"/>
    </xf>
    <xf numFmtId="0" fontId="2" fillId="7" borderId="6" xfId="0" applyFont="1" applyFill="1" applyBorder="1"/>
    <xf numFmtId="3" fontId="6" fillId="10" borderId="7" xfId="0" applyNumberFormat="1" applyFont="1" applyFill="1" applyBorder="1"/>
    <xf numFmtId="0" fontId="6" fillId="10" borderId="10" xfId="0" applyFont="1" applyFill="1" applyBorder="1" applyAlignment="1">
      <alignment horizontal="center"/>
    </xf>
    <xf numFmtId="9" fontId="6" fillId="10" borderId="15" xfId="5" applyFont="1" applyFill="1" applyBorder="1" applyAlignment="1" applyProtection="1">
      <alignment horizontal="center"/>
    </xf>
    <xf numFmtId="9" fontId="6" fillId="10" borderId="16" xfId="5" applyFont="1" applyFill="1" applyBorder="1" applyAlignment="1" applyProtection="1">
      <alignment horizontal="center"/>
    </xf>
    <xf numFmtId="3" fontId="6" fillId="10" borderId="17" xfId="0" applyNumberFormat="1" applyFont="1" applyFill="1" applyBorder="1" applyAlignment="1">
      <alignment horizontal="center"/>
    </xf>
    <xf numFmtId="3" fontId="6" fillId="10" borderId="9" xfId="0" applyNumberFormat="1" applyFont="1" applyFill="1" applyBorder="1" applyAlignment="1">
      <alignment horizontal="center"/>
    </xf>
    <xf numFmtId="3" fontId="6" fillId="10" borderId="18" xfId="0" applyNumberFormat="1" applyFont="1" applyFill="1" applyBorder="1" applyAlignment="1">
      <alignment horizontal="center"/>
    </xf>
    <xf numFmtId="0" fontId="0" fillId="7" borderId="6" xfId="0" applyFill="1" applyBorder="1"/>
    <xf numFmtId="1" fontId="6" fillId="10" borderId="7" xfId="0" applyNumberFormat="1" applyFont="1" applyFill="1" applyBorder="1" applyAlignment="1">
      <alignment horizontal="center"/>
    </xf>
    <xf numFmtId="1" fontId="16" fillId="0" borderId="19" xfId="4" applyNumberFormat="1" applyFont="1" applyFill="1" applyBorder="1" applyAlignment="1" applyProtection="1">
      <alignment horizontal="center"/>
      <protection locked="0"/>
    </xf>
    <xf numFmtId="1" fontId="16" fillId="0" borderId="19" xfId="0" applyNumberFormat="1" applyFont="1" applyBorder="1" applyAlignment="1" applyProtection="1">
      <alignment horizontal="center"/>
      <protection locked="0"/>
    </xf>
    <xf numFmtId="1" fontId="16" fillId="0" borderId="20" xfId="0" applyNumberFormat="1" applyFont="1" applyBorder="1" applyAlignment="1" applyProtection="1">
      <alignment horizontal="center"/>
      <protection locked="0"/>
    </xf>
    <xf numFmtId="1" fontId="6" fillId="10" borderId="9" xfId="4" applyNumberFormat="1" applyFont="1" applyFill="1" applyBorder="1" applyAlignment="1" applyProtection="1">
      <alignment horizontal="center"/>
    </xf>
    <xf numFmtId="1" fontId="6" fillId="10" borderId="10" xfId="5" applyNumberFormat="1" applyFont="1" applyFill="1" applyBorder="1" applyAlignment="1" applyProtection="1">
      <alignment horizontal="center"/>
    </xf>
    <xf numFmtId="9" fontId="16" fillId="7" borderId="0" xfId="5" applyFont="1" applyFill="1" applyBorder="1" applyAlignment="1" applyProtection="1">
      <alignment horizontal="center"/>
    </xf>
    <xf numFmtId="3" fontId="12" fillId="10" borderId="13" xfId="0" applyNumberFormat="1" applyFont="1" applyFill="1" applyBorder="1" applyAlignment="1">
      <alignment horizontal="center"/>
    </xf>
    <xf numFmtId="3" fontId="6" fillId="10" borderId="1" xfId="0" applyNumberFormat="1" applyFont="1" applyFill="1" applyBorder="1" applyAlignment="1">
      <alignment horizontal="center"/>
    </xf>
    <xf numFmtId="165" fontId="6" fillId="10" borderId="1" xfId="5" applyNumberFormat="1" applyFont="1" applyFill="1" applyBorder="1" applyAlignment="1" applyProtection="1">
      <alignment horizontal="center"/>
    </xf>
    <xf numFmtId="3" fontId="12" fillId="10" borderId="13" xfId="0" applyNumberFormat="1" applyFont="1" applyFill="1" applyBorder="1" applyAlignment="1">
      <alignment horizontal="left"/>
    </xf>
    <xf numFmtId="9" fontId="16" fillId="10" borderId="1" xfId="5" applyFont="1" applyFill="1" applyBorder="1" applyAlignment="1" applyProtection="1">
      <alignment horizontal="center"/>
    </xf>
    <xf numFmtId="9" fontId="17" fillId="10" borderId="1" xfId="5" applyFont="1" applyFill="1" applyBorder="1" applyAlignment="1" applyProtection="1"/>
    <xf numFmtId="3" fontId="12" fillId="10" borderId="13" xfId="0" applyNumberFormat="1" applyFont="1" applyFill="1" applyBorder="1"/>
    <xf numFmtId="9" fontId="7" fillId="10" borderId="1" xfId="5" applyFont="1" applyFill="1" applyBorder="1" applyAlignment="1" applyProtection="1">
      <alignment horizontal="center"/>
    </xf>
    <xf numFmtId="9" fontId="16" fillId="10" borderId="1" xfId="0" applyNumberFormat="1" applyFont="1" applyFill="1" applyBorder="1" applyAlignment="1">
      <alignment horizontal="center"/>
    </xf>
    <xf numFmtId="3" fontId="12" fillId="7" borderId="6" xfId="0" applyNumberFormat="1" applyFont="1" applyFill="1" applyBorder="1"/>
    <xf numFmtId="10" fontId="18" fillId="7" borderId="0" xfId="0" applyNumberFormat="1" applyFont="1" applyFill="1" applyAlignment="1">
      <alignment horizontal="center"/>
    </xf>
    <xf numFmtId="10" fontId="19" fillId="7" borderId="0" xfId="0" applyNumberFormat="1" applyFont="1" applyFill="1" applyAlignment="1">
      <alignment horizontal="center"/>
    </xf>
    <xf numFmtId="0" fontId="6" fillId="3" borderId="7" xfId="0" applyFont="1" applyFill="1" applyBorder="1"/>
    <xf numFmtId="3" fontId="6" fillId="10" borderId="10" xfId="0" applyNumberFormat="1" applyFont="1" applyFill="1" applyBorder="1" applyAlignment="1">
      <alignment horizontal="center"/>
    </xf>
    <xf numFmtId="3" fontId="6" fillId="7" borderId="0" xfId="0" applyNumberFormat="1" applyFont="1" applyFill="1" applyAlignment="1">
      <alignment horizontal="center"/>
    </xf>
    <xf numFmtId="3" fontId="6" fillId="7" borderId="14" xfId="0" applyNumberFormat="1" applyFont="1" applyFill="1" applyBorder="1" applyAlignment="1">
      <alignment horizontal="center"/>
    </xf>
    <xf numFmtId="3" fontId="12" fillId="10" borderId="21" xfId="0" applyNumberFormat="1" applyFont="1" applyFill="1" applyBorder="1" applyAlignment="1">
      <alignment horizontal="left"/>
    </xf>
    <xf numFmtId="3" fontId="6" fillId="0" borderId="22" xfId="0" applyNumberFormat="1" applyFont="1" applyBorder="1"/>
    <xf numFmtId="3" fontId="6" fillId="7" borderId="0" xfId="0" applyNumberFormat="1" applyFont="1" applyFill="1"/>
    <xf numFmtId="3" fontId="6" fillId="7" borderId="14" xfId="0" applyNumberFormat="1" applyFont="1" applyFill="1" applyBorder="1"/>
    <xf numFmtId="0" fontId="0" fillId="0" borderId="0" xfId="0" applyAlignment="1">
      <alignment horizontal="left"/>
    </xf>
    <xf numFmtId="3" fontId="16" fillId="0" borderId="23" xfId="0" applyNumberFormat="1" applyFont="1" applyBorder="1" applyProtection="1">
      <protection locked="0"/>
    </xf>
    <xf numFmtId="3" fontId="16" fillId="7" borderId="0" xfId="0" applyNumberFormat="1" applyFont="1" applyFill="1"/>
    <xf numFmtId="3" fontId="16" fillId="7" borderId="14" xfId="0" applyNumberFormat="1" applyFont="1" applyFill="1" applyBorder="1"/>
    <xf numFmtId="3" fontId="16" fillId="0" borderId="20" xfId="0" applyNumberFormat="1" applyFont="1" applyBorder="1" applyProtection="1">
      <protection locked="0"/>
    </xf>
    <xf numFmtId="3" fontId="12" fillId="10" borderId="24" xfId="0" applyNumberFormat="1" applyFont="1" applyFill="1" applyBorder="1" applyAlignment="1">
      <alignment horizontal="left"/>
    </xf>
    <xf numFmtId="3" fontId="6" fillId="0" borderId="25" xfId="0" applyNumberFormat="1" applyFont="1" applyBorder="1"/>
    <xf numFmtId="3" fontId="20" fillId="10" borderId="26" xfId="0" applyNumberFormat="1" applyFont="1" applyFill="1" applyBorder="1"/>
    <xf numFmtId="3" fontId="20" fillId="10" borderId="27" xfId="0" applyNumberFormat="1" applyFont="1" applyFill="1" applyBorder="1"/>
    <xf numFmtId="3" fontId="20" fillId="10" borderId="21" xfId="0" applyNumberFormat="1" applyFont="1" applyFill="1" applyBorder="1"/>
    <xf numFmtId="3" fontId="6" fillId="0" borderId="28" xfId="0" applyNumberFormat="1" applyFont="1" applyBorder="1"/>
    <xf numFmtId="3" fontId="21" fillId="7" borderId="0" xfId="0" applyNumberFormat="1" applyFont="1" applyFill="1"/>
    <xf numFmtId="3" fontId="21" fillId="7" borderId="14" xfId="0" applyNumberFormat="1" applyFont="1" applyFill="1" applyBorder="1"/>
    <xf numFmtId="3" fontId="22" fillId="10" borderId="6" xfId="0" applyNumberFormat="1" applyFont="1" applyFill="1" applyBorder="1" applyAlignment="1">
      <alignment horizontal="right"/>
    </xf>
    <xf numFmtId="3" fontId="23" fillId="0" borderId="1" xfId="0" applyNumberFormat="1" applyFont="1" applyBorder="1"/>
    <xf numFmtId="3" fontId="24" fillId="7" borderId="0" xfId="0" applyNumberFormat="1" applyFont="1" applyFill="1"/>
    <xf numFmtId="3" fontId="24" fillId="7" borderId="14" xfId="0" applyNumberFormat="1" applyFont="1" applyFill="1" applyBorder="1"/>
    <xf numFmtId="3" fontId="23" fillId="0" borderId="3" xfId="0" applyNumberFormat="1" applyFont="1" applyBorder="1"/>
    <xf numFmtId="3" fontId="6" fillId="0" borderId="1" xfId="0" applyNumberFormat="1" applyFont="1" applyBorder="1"/>
    <xf numFmtId="3" fontId="16" fillId="0" borderId="1" xfId="0" applyNumberFormat="1" applyFont="1" applyBorder="1" applyProtection="1">
      <protection locked="0"/>
    </xf>
    <xf numFmtId="3" fontId="22" fillId="10" borderId="26" xfId="0" applyNumberFormat="1" applyFont="1" applyFill="1" applyBorder="1" applyAlignment="1">
      <alignment horizontal="right"/>
    </xf>
    <xf numFmtId="3" fontId="23" fillId="7" borderId="0" xfId="0" applyNumberFormat="1" applyFont="1" applyFill="1"/>
    <xf numFmtId="3" fontId="23" fillId="7" borderId="14" xfId="0" applyNumberFormat="1" applyFont="1" applyFill="1" applyBorder="1"/>
    <xf numFmtId="3" fontId="16" fillId="0" borderId="19" xfId="0" applyNumberFormat="1" applyFont="1" applyBorder="1" applyProtection="1">
      <protection locked="0"/>
    </xf>
    <xf numFmtId="3" fontId="12" fillId="10" borderId="24" xfId="0" applyNumberFormat="1" applyFont="1" applyFill="1" applyBorder="1"/>
    <xf numFmtId="3" fontId="12" fillId="10" borderId="29" xfId="0" applyNumberFormat="1" applyFont="1" applyFill="1" applyBorder="1" applyAlignment="1">
      <alignment horizontal="right"/>
    </xf>
    <xf numFmtId="3" fontId="6" fillId="0" borderId="30" xfId="0" applyNumberFormat="1" applyFont="1" applyBorder="1"/>
    <xf numFmtId="3" fontId="6" fillId="7" borderId="31" xfId="0" applyNumberFormat="1" applyFont="1" applyFill="1" applyBorder="1"/>
    <xf numFmtId="3" fontId="6" fillId="7" borderId="32" xfId="0" applyNumberFormat="1" applyFont="1" applyFill="1" applyBorder="1"/>
    <xf numFmtId="3" fontId="6" fillId="3" borderId="10" xfId="0" applyNumberFormat="1" applyFont="1" applyFill="1" applyBorder="1"/>
    <xf numFmtId="3" fontId="6" fillId="10" borderId="7" xfId="0" applyNumberFormat="1" applyFont="1" applyFill="1" applyBorder="1" applyAlignment="1">
      <alignment horizontal="center"/>
    </xf>
    <xf numFmtId="3" fontId="12" fillId="10" borderId="33" xfId="0" applyNumberFormat="1" applyFont="1" applyFill="1" applyBorder="1" applyAlignment="1">
      <alignment horizontal="left"/>
    </xf>
    <xf numFmtId="3" fontId="6" fillId="0" borderId="34" xfId="0" applyNumberFormat="1" applyFont="1" applyBorder="1"/>
    <xf numFmtId="3" fontId="20" fillId="10" borderId="35" xfId="0" applyNumberFormat="1" applyFont="1" applyFill="1" applyBorder="1" applyAlignment="1">
      <alignment horizontal="left"/>
    </xf>
    <xf numFmtId="3" fontId="16" fillId="0" borderId="2" xfId="0" applyNumberFormat="1" applyFont="1" applyBorder="1"/>
    <xf numFmtId="3" fontId="16" fillId="0" borderId="1" xfId="0" applyNumberFormat="1" applyFont="1" applyBorder="1"/>
    <xf numFmtId="3" fontId="16" fillId="0" borderId="36" xfId="0" applyNumberFormat="1" applyFont="1" applyBorder="1"/>
    <xf numFmtId="3" fontId="16" fillId="0" borderId="19" xfId="0" applyNumberFormat="1" applyFont="1" applyBorder="1"/>
    <xf numFmtId="3" fontId="12" fillId="10" borderId="35" xfId="0" applyNumberFormat="1" applyFont="1" applyFill="1" applyBorder="1" applyAlignment="1">
      <alignment horizontal="left"/>
    </xf>
    <xf numFmtId="3" fontId="20" fillId="10" borderId="37" xfId="0" applyNumberFormat="1" applyFont="1" applyFill="1" applyBorder="1" applyAlignment="1">
      <alignment horizontal="left"/>
    </xf>
    <xf numFmtId="3" fontId="6" fillId="0" borderId="38" xfId="0" applyNumberFormat="1" applyFont="1" applyBorder="1"/>
    <xf numFmtId="3" fontId="21" fillId="12" borderId="38" xfId="0" applyNumberFormat="1" applyFont="1" applyFill="1" applyBorder="1"/>
    <xf numFmtId="3" fontId="22" fillId="10" borderId="37" xfId="0" applyNumberFormat="1" applyFont="1" applyFill="1" applyBorder="1" applyAlignment="1">
      <alignment horizontal="right"/>
    </xf>
    <xf numFmtId="3" fontId="23" fillId="0" borderId="6" xfId="0" applyNumberFormat="1" applyFont="1" applyBorder="1"/>
    <xf numFmtId="3" fontId="24" fillId="12" borderId="6" xfId="0" applyNumberFormat="1" applyFont="1" applyFill="1" applyBorder="1"/>
    <xf numFmtId="3" fontId="12" fillId="10" borderId="37" xfId="0" applyNumberFormat="1" applyFont="1" applyFill="1" applyBorder="1" applyAlignment="1">
      <alignment horizontal="left"/>
    </xf>
    <xf numFmtId="3" fontId="6" fillId="0" borderId="4" xfId="0" applyNumberFormat="1" applyFont="1" applyBorder="1"/>
    <xf numFmtId="3" fontId="16" fillId="0" borderId="21" xfId="0" applyNumberFormat="1" applyFont="1" applyBorder="1"/>
    <xf numFmtId="3" fontId="16" fillId="0" borderId="26" xfId="0" applyNumberFormat="1" applyFont="1" applyBorder="1"/>
    <xf numFmtId="3" fontId="23" fillId="0" borderId="21" xfId="0" applyNumberFormat="1" applyFont="1" applyBorder="1"/>
    <xf numFmtId="3" fontId="16" fillId="0" borderId="27" xfId="0" applyNumberFormat="1" applyFont="1" applyBorder="1"/>
    <xf numFmtId="3" fontId="6" fillId="0" borderId="7" xfId="0" applyNumberFormat="1" applyFont="1" applyBorder="1"/>
    <xf numFmtId="3" fontId="20" fillId="10" borderId="21" xfId="0" applyNumberFormat="1" applyFont="1" applyFill="1" applyBorder="1" applyAlignment="1">
      <alignment horizontal="left"/>
    </xf>
    <xf numFmtId="3" fontId="22" fillId="10" borderId="21" xfId="0" applyNumberFormat="1" applyFont="1" applyFill="1" applyBorder="1" applyAlignment="1">
      <alignment horizontal="right"/>
    </xf>
    <xf numFmtId="3" fontId="12" fillId="10" borderId="6" xfId="0" applyNumberFormat="1" applyFont="1" applyFill="1" applyBorder="1" applyAlignment="1">
      <alignment horizontal="left"/>
    </xf>
    <xf numFmtId="0" fontId="0" fillId="7" borderId="7" xfId="0" applyFill="1" applyBorder="1"/>
    <xf numFmtId="0" fontId="0" fillId="7" borderId="8" xfId="0" applyFill="1" applyBorder="1"/>
    <xf numFmtId="3" fontId="25" fillId="13" borderId="39" xfId="0" applyNumberFormat="1" applyFont="1" applyFill="1" applyBorder="1"/>
    <xf numFmtId="4" fontId="6" fillId="3" borderId="4" xfId="0" applyNumberFormat="1" applyFont="1" applyFill="1" applyBorder="1" applyAlignment="1">
      <alignment horizontal="center"/>
    </xf>
    <xf numFmtId="4" fontId="6" fillId="3" borderId="12" xfId="0" applyNumberFormat="1" applyFont="1" applyFill="1" applyBorder="1" applyAlignment="1">
      <alignment horizontal="center"/>
    </xf>
    <xf numFmtId="4" fontId="6" fillId="0" borderId="0" xfId="0" applyNumberFormat="1" applyFont="1" applyAlignment="1">
      <alignment horizontal="center"/>
    </xf>
    <xf numFmtId="4" fontId="11" fillId="0" borderId="1" xfId="0" applyNumberFormat="1" applyFont="1" applyBorder="1" applyAlignment="1">
      <alignment horizontal="center"/>
    </xf>
    <xf numFmtId="4" fontId="11" fillId="0" borderId="0" xfId="0" applyNumberFormat="1" applyFont="1" applyAlignment="1">
      <alignment horizontal="center"/>
    </xf>
    <xf numFmtId="3" fontId="12" fillId="0" borderId="11" xfId="0" applyNumberFormat="1" applyFont="1" applyBorder="1"/>
    <xf numFmtId="4" fontId="6" fillId="0" borderId="40" xfId="0" applyNumberFormat="1" applyFont="1" applyBorder="1"/>
    <xf numFmtId="4" fontId="6" fillId="0" borderId="41" xfId="0" applyNumberFormat="1" applyFont="1" applyBorder="1"/>
    <xf numFmtId="3" fontId="20" fillId="0" borderId="11" xfId="0" applyNumberFormat="1" applyFont="1" applyBorder="1"/>
    <xf numFmtId="4" fontId="20" fillId="0" borderId="28" xfId="0" applyNumberFormat="1" applyFont="1" applyBorder="1"/>
    <xf numFmtId="4" fontId="20" fillId="0" borderId="22" xfId="0" applyNumberFormat="1" applyFont="1" applyBorder="1"/>
    <xf numFmtId="4" fontId="20" fillId="0" borderId="0" xfId="0" applyNumberFormat="1" applyFont="1"/>
    <xf numFmtId="4" fontId="20" fillId="0" borderId="1" xfId="0" applyNumberFormat="1" applyFont="1" applyBorder="1"/>
    <xf numFmtId="4" fontId="20" fillId="0" borderId="23" xfId="0" applyNumberFormat="1" applyFont="1" applyBorder="1"/>
    <xf numFmtId="4" fontId="20" fillId="0" borderId="19" xfId="0" applyNumberFormat="1" applyFont="1" applyBorder="1"/>
    <xf numFmtId="4" fontId="20" fillId="0" borderId="20" xfId="0" applyNumberFormat="1" applyFont="1" applyBorder="1"/>
    <xf numFmtId="4" fontId="6" fillId="12" borderId="16" xfId="0" applyNumberFormat="1" applyFont="1" applyFill="1" applyBorder="1"/>
    <xf numFmtId="4" fontId="6" fillId="12" borderId="17" xfId="0" applyNumberFormat="1" applyFont="1" applyFill="1" applyBorder="1"/>
    <xf numFmtId="4" fontId="26" fillId="0" borderId="28" xfId="0" applyNumberFormat="1" applyFont="1" applyBorder="1"/>
    <xf numFmtId="4" fontId="26" fillId="0" borderId="22" xfId="0" applyNumberFormat="1" applyFont="1" applyBorder="1"/>
    <xf numFmtId="4" fontId="26" fillId="0" borderId="1" xfId="0" applyNumberFormat="1" applyFont="1" applyBorder="1"/>
    <xf numFmtId="4" fontId="26" fillId="0" borderId="23" xfId="0" applyNumberFormat="1" applyFont="1" applyBorder="1"/>
    <xf numFmtId="4" fontId="26" fillId="12" borderId="3" xfId="0" applyNumberFormat="1" applyFont="1" applyFill="1" applyBorder="1"/>
    <xf numFmtId="4" fontId="26" fillId="12" borderId="42" xfId="0" applyNumberFormat="1" applyFont="1" applyFill="1" applyBorder="1"/>
    <xf numFmtId="3" fontId="22" fillId="0" borderId="11" xfId="0" applyNumberFormat="1" applyFont="1" applyBorder="1" applyAlignment="1">
      <alignment horizontal="right"/>
    </xf>
    <xf numFmtId="4" fontId="26" fillId="0" borderId="40" xfId="0" applyNumberFormat="1" applyFont="1" applyBorder="1"/>
    <xf numFmtId="4" fontId="26" fillId="0" borderId="41" xfId="0" applyNumberFormat="1" applyFont="1" applyBorder="1"/>
    <xf numFmtId="4" fontId="26" fillId="0" borderId="43" xfId="0" applyNumberFormat="1" applyFont="1" applyBorder="1"/>
    <xf numFmtId="4" fontId="26" fillId="0" borderId="44" xfId="0" applyNumberFormat="1" applyFont="1" applyBorder="1"/>
    <xf numFmtId="3" fontId="20" fillId="0" borderId="11" xfId="0" applyNumberFormat="1" applyFont="1" applyBorder="1" applyAlignment="1">
      <alignment horizontal="left"/>
    </xf>
    <xf numFmtId="4" fontId="26" fillId="0" borderId="19" xfId="0" applyNumberFormat="1" applyFont="1" applyBorder="1"/>
    <xf numFmtId="4" fontId="26" fillId="0" borderId="20" xfId="0" applyNumberFormat="1" applyFont="1" applyBorder="1"/>
    <xf numFmtId="3" fontId="20" fillId="0" borderId="10" xfId="0" applyNumberFormat="1" applyFont="1" applyBorder="1" applyAlignment="1">
      <alignment horizontal="left"/>
    </xf>
    <xf numFmtId="0" fontId="0" fillId="9" borderId="29" xfId="0" applyFill="1" applyBorder="1"/>
    <xf numFmtId="0" fontId="0" fillId="0" borderId="31" xfId="0" applyBorder="1"/>
    <xf numFmtId="0" fontId="0" fillId="7" borderId="4" xfId="0" applyFill="1" applyBorder="1"/>
    <xf numFmtId="0" fontId="6" fillId="7" borderId="6" xfId="0" applyFont="1" applyFill="1" applyBorder="1"/>
    <xf numFmtId="4" fontId="6" fillId="7" borderId="0" xfId="0" applyNumberFormat="1" applyFont="1" applyFill="1" applyAlignment="1">
      <alignment horizontal="center"/>
    </xf>
    <xf numFmtId="3" fontId="6" fillId="10" borderId="4" xfId="0" applyNumberFormat="1" applyFont="1" applyFill="1" applyBorder="1"/>
    <xf numFmtId="3" fontId="6" fillId="0" borderId="45" xfId="0" applyNumberFormat="1" applyFont="1" applyBorder="1"/>
    <xf numFmtId="3" fontId="6" fillId="10" borderId="46" xfId="0" applyNumberFormat="1" applyFont="1" applyFill="1" applyBorder="1"/>
    <xf numFmtId="3" fontId="16" fillId="0" borderId="47" xfId="0" applyNumberFormat="1" applyFont="1" applyBorder="1" applyProtection="1">
      <protection locked="0"/>
    </xf>
    <xf numFmtId="3" fontId="16" fillId="7" borderId="5" xfId="0" applyNumberFormat="1" applyFont="1" applyFill="1" applyBorder="1"/>
    <xf numFmtId="3" fontId="0" fillId="10" borderId="13" xfId="0" applyNumberFormat="1" applyFill="1" applyBorder="1" applyAlignment="1">
      <alignment horizontal="left" indent="2"/>
    </xf>
    <xf numFmtId="3" fontId="16" fillId="0" borderId="1" xfId="0" applyNumberFormat="1" applyFont="1" applyBorder="1" applyAlignment="1" applyProtection="1">
      <alignment horizontal="right"/>
      <protection locked="0"/>
    </xf>
    <xf numFmtId="3" fontId="16" fillId="7" borderId="0" xfId="0" applyNumberFormat="1" applyFont="1" applyFill="1" applyAlignment="1">
      <alignment horizontal="right"/>
    </xf>
    <xf numFmtId="3" fontId="6" fillId="10" borderId="13" xfId="0" applyNumberFormat="1" applyFont="1" applyFill="1" applyBorder="1"/>
    <xf numFmtId="3" fontId="20" fillId="10" borderId="2" xfId="0" applyNumberFormat="1" applyFont="1" applyFill="1" applyBorder="1"/>
    <xf numFmtId="3" fontId="0" fillId="10" borderId="1" xfId="0" applyNumberFormat="1" applyFill="1" applyBorder="1" applyAlignment="1">
      <alignment horizontal="left" vertical="center"/>
    </xf>
    <xf numFmtId="3" fontId="0" fillId="10" borderId="23" xfId="0" applyNumberFormat="1" applyFill="1" applyBorder="1" applyAlignment="1">
      <alignment horizontal="left" vertical="center"/>
    </xf>
    <xf numFmtId="10" fontId="26" fillId="0" borderId="2" xfId="0" applyNumberFormat="1" applyFont="1" applyBorder="1" applyAlignment="1" applyProtection="1">
      <alignment horizontal="center"/>
      <protection locked="0"/>
    </xf>
    <xf numFmtId="0" fontId="26" fillId="0" borderId="1" xfId="0" applyFont="1" applyBorder="1" applyAlignment="1" applyProtection="1">
      <alignment horizontal="center"/>
      <protection locked="0"/>
    </xf>
    <xf numFmtId="0" fontId="26" fillId="0" borderId="23" xfId="0" applyFont="1" applyBorder="1" applyAlignment="1" applyProtection="1">
      <alignment horizontal="center"/>
      <protection locked="0"/>
    </xf>
    <xf numFmtId="3" fontId="6" fillId="10" borderId="29" xfId="0" applyNumberFormat="1" applyFont="1" applyFill="1" applyBorder="1"/>
    <xf numFmtId="3" fontId="16" fillId="0" borderId="48" xfId="0" applyNumberFormat="1" applyFont="1" applyBorder="1"/>
    <xf numFmtId="3" fontId="6" fillId="10" borderId="29" xfId="0" applyNumberFormat="1" applyFont="1" applyFill="1" applyBorder="1" applyAlignment="1">
      <alignment horizontal="center"/>
    </xf>
    <xf numFmtId="3" fontId="6" fillId="10" borderId="19" xfId="0" applyNumberFormat="1" applyFont="1" applyFill="1" applyBorder="1"/>
    <xf numFmtId="0" fontId="0" fillId="7" borderId="32" xfId="0" applyFill="1" applyBorder="1"/>
    <xf numFmtId="1" fontId="0" fillId="7" borderId="0" xfId="0" applyNumberFormat="1" applyFill="1"/>
    <xf numFmtId="3" fontId="16" fillId="0" borderId="1" xfId="0" applyNumberFormat="1" applyFont="1" applyBorder="1" applyAlignment="1">
      <alignment horizontal="center"/>
    </xf>
    <xf numFmtId="3" fontId="16" fillId="0" borderId="49" xfId="0" applyNumberFormat="1" applyFont="1" applyBorder="1" applyAlignment="1">
      <alignment horizontal="center"/>
    </xf>
    <xf numFmtId="3" fontId="6" fillId="10" borderId="26" xfId="0" applyNumberFormat="1" applyFont="1" applyFill="1" applyBorder="1" applyAlignment="1">
      <alignment horizontal="center" vertical="center"/>
    </xf>
    <xf numFmtId="3" fontId="6" fillId="3" borderId="1" xfId="0" applyNumberFormat="1" applyFont="1" applyFill="1" applyBorder="1" applyAlignment="1">
      <alignment horizontal="center" vertical="center"/>
    </xf>
    <xf numFmtId="3" fontId="6" fillId="3" borderId="2" xfId="0" applyNumberFormat="1" applyFont="1" applyFill="1" applyBorder="1" applyAlignment="1">
      <alignment horizontal="center" vertical="center"/>
    </xf>
    <xf numFmtId="3" fontId="6" fillId="3" borderId="50" xfId="0" applyNumberFormat="1" applyFont="1" applyFill="1" applyBorder="1" applyAlignment="1">
      <alignment horizontal="center" vertical="center"/>
    </xf>
    <xf numFmtId="3" fontId="0" fillId="10" borderId="13" xfId="0" applyNumberFormat="1" applyFill="1" applyBorder="1" applyAlignment="1">
      <alignment horizontal="left" vertical="center"/>
    </xf>
    <xf numFmtId="10" fontId="16" fillId="0" borderId="1" xfId="0" applyNumberFormat="1" applyFont="1" applyBorder="1" applyAlignment="1">
      <alignment horizontal="center" vertical="center"/>
    </xf>
    <xf numFmtId="10" fontId="19" fillId="0" borderId="1" xfId="0" applyNumberFormat="1" applyFont="1" applyBorder="1" applyAlignment="1">
      <alignment horizontal="center" vertical="center"/>
    </xf>
    <xf numFmtId="10" fontId="19" fillId="0" borderId="49" xfId="0" applyNumberFormat="1" applyFont="1" applyBorder="1" applyAlignment="1">
      <alignment horizontal="center" vertical="center"/>
    </xf>
    <xf numFmtId="0" fontId="16" fillId="0" borderId="1" xfId="0" applyFont="1" applyBorder="1" applyAlignment="1">
      <alignment horizontal="center" vertical="center"/>
    </xf>
    <xf numFmtId="0" fontId="19" fillId="0" borderId="1" xfId="0" applyFont="1" applyBorder="1" applyAlignment="1">
      <alignment horizontal="center" vertical="center"/>
    </xf>
    <xf numFmtId="0" fontId="19" fillId="0" borderId="49" xfId="0" applyFont="1" applyBorder="1" applyAlignment="1">
      <alignment horizontal="center" vertical="center"/>
    </xf>
    <xf numFmtId="3" fontId="6" fillId="10" borderId="13" xfId="0" applyNumberFormat="1" applyFont="1" applyFill="1" applyBorder="1" applyAlignment="1">
      <alignment horizontal="center" vertical="center"/>
    </xf>
    <xf numFmtId="0" fontId="6" fillId="14" borderId="1" xfId="0" applyFont="1" applyFill="1" applyBorder="1" applyAlignment="1">
      <alignment horizontal="center" vertical="center"/>
    </xf>
    <xf numFmtId="0" fontId="6" fillId="14" borderId="49" xfId="0" applyFont="1" applyFill="1" applyBorder="1" applyAlignment="1">
      <alignment horizontal="center" vertical="center"/>
    </xf>
    <xf numFmtId="3" fontId="20" fillId="10" borderId="13" xfId="0" applyNumberFormat="1" applyFont="1" applyFill="1" applyBorder="1"/>
    <xf numFmtId="10" fontId="26" fillId="0" borderId="1" xfId="0" applyNumberFormat="1" applyFont="1" applyBorder="1" applyAlignment="1">
      <alignment horizontal="center"/>
    </xf>
    <xf numFmtId="0" fontId="6" fillId="14" borderId="23" xfId="0" applyFont="1" applyFill="1" applyBorder="1" applyAlignment="1">
      <alignment horizontal="center" vertical="center"/>
    </xf>
    <xf numFmtId="0" fontId="26" fillId="0" borderId="1" xfId="0" applyFont="1" applyBorder="1" applyAlignment="1">
      <alignment horizontal="center"/>
    </xf>
    <xf numFmtId="10" fontId="18" fillId="0" borderId="1" xfId="0" applyNumberFormat="1" applyFont="1" applyBorder="1" applyAlignment="1">
      <alignment horizontal="center"/>
    </xf>
    <xf numFmtId="10" fontId="18" fillId="0" borderId="23" xfId="0" applyNumberFormat="1" applyFont="1" applyBorder="1" applyAlignment="1">
      <alignment horizontal="center"/>
    </xf>
    <xf numFmtId="0" fontId="18" fillId="0" borderId="1" xfId="0" applyFont="1" applyBorder="1" applyAlignment="1">
      <alignment horizontal="center"/>
    </xf>
    <xf numFmtId="0" fontId="18" fillId="0" borderId="23" xfId="0" applyFont="1" applyBorder="1" applyAlignment="1">
      <alignment horizontal="center"/>
    </xf>
    <xf numFmtId="3" fontId="26" fillId="0" borderId="1" xfId="0" applyNumberFormat="1" applyFont="1" applyBorder="1" applyAlignment="1">
      <alignment horizontal="center"/>
    </xf>
    <xf numFmtId="0" fontId="12" fillId="7" borderId="6" xfId="0" applyFont="1" applyFill="1" applyBorder="1"/>
    <xf numFmtId="0" fontId="26" fillId="7" borderId="0" xfId="0" applyFont="1" applyFill="1" applyAlignment="1">
      <alignment horizontal="center"/>
    </xf>
    <xf numFmtId="0" fontId="26" fillId="7" borderId="14" xfId="0" applyFont="1" applyFill="1" applyBorder="1" applyAlignment="1">
      <alignment horizontal="center"/>
    </xf>
    <xf numFmtId="0" fontId="0" fillId="10" borderId="13" xfId="0" applyFill="1" applyBorder="1" applyAlignment="1">
      <alignment vertical="center"/>
    </xf>
    <xf numFmtId="0" fontId="0" fillId="0" borderId="1" xfId="0" applyBorder="1" applyAlignment="1">
      <alignment vertical="center"/>
    </xf>
    <xf numFmtId="0" fontId="6" fillId="3" borderId="1" xfId="0" applyFont="1" applyFill="1" applyBorder="1" applyAlignment="1">
      <alignment horizontal="center" vertical="center"/>
    </xf>
    <xf numFmtId="0" fontId="6" fillId="3" borderId="23" xfId="0" applyFont="1" applyFill="1" applyBorder="1" applyAlignment="1">
      <alignment horizontal="center" vertical="center"/>
    </xf>
    <xf numFmtId="3" fontId="22" fillId="10" borderId="13" xfId="0" applyNumberFormat="1" applyFont="1" applyFill="1" applyBorder="1" applyAlignment="1">
      <alignment horizontal="center" vertical="center"/>
    </xf>
    <xf numFmtId="3" fontId="23" fillId="0" borderId="1" xfId="0" applyNumberFormat="1" applyFont="1" applyBorder="1" applyAlignment="1">
      <alignment horizontal="center" vertical="center"/>
    </xf>
    <xf numFmtId="0" fontId="26" fillId="0" borderId="23" xfId="0" applyFont="1" applyBorder="1" applyAlignment="1">
      <alignment horizontal="center"/>
    </xf>
    <xf numFmtId="10" fontId="23" fillId="0" borderId="1" xfId="0" applyNumberFormat="1" applyFont="1" applyBorder="1" applyAlignment="1">
      <alignment horizontal="center" vertical="center"/>
    </xf>
    <xf numFmtId="0" fontId="27" fillId="0" borderId="1" xfId="0" applyFont="1" applyBorder="1" applyAlignment="1">
      <alignment horizontal="center" vertical="center"/>
    </xf>
    <xf numFmtId="0" fontId="27" fillId="0" borderId="23" xfId="0" applyFont="1" applyBorder="1" applyAlignment="1">
      <alignment horizontal="center" vertical="center"/>
    </xf>
    <xf numFmtId="0" fontId="12" fillId="7" borderId="29" xfId="0" applyFont="1" applyFill="1" applyBorder="1"/>
    <xf numFmtId="0" fontId="26" fillId="7" borderId="31" xfId="0" applyFont="1" applyFill="1" applyBorder="1" applyAlignment="1">
      <alignment horizontal="center"/>
    </xf>
    <xf numFmtId="10" fontId="27" fillId="0" borderId="1" xfId="0" applyNumberFormat="1" applyFont="1" applyBorder="1" applyAlignment="1">
      <alignment horizontal="center" vertical="center"/>
    </xf>
    <xf numFmtId="10" fontId="27" fillId="0" borderId="23" xfId="0" applyNumberFormat="1" applyFont="1" applyBorder="1" applyAlignment="1">
      <alignment horizontal="center" vertical="center"/>
    </xf>
    <xf numFmtId="0" fontId="12" fillId="9" borderId="0" xfId="0" applyFont="1" applyFill="1"/>
    <xf numFmtId="4" fontId="12" fillId="9" borderId="0" xfId="0" applyNumberFormat="1" applyFont="1" applyFill="1" applyAlignment="1">
      <alignment horizontal="center"/>
    </xf>
    <xf numFmtId="0" fontId="6" fillId="7" borderId="5" xfId="0" applyFont="1" applyFill="1" applyBorder="1" applyAlignment="1">
      <alignment horizontal="center"/>
    </xf>
    <xf numFmtId="0" fontId="6" fillId="7" borderId="6" xfId="0" applyFont="1" applyFill="1" applyBorder="1" applyAlignment="1">
      <alignment horizontal="left"/>
    </xf>
    <xf numFmtId="0" fontId="6" fillId="7" borderId="0" xfId="0" applyFont="1" applyFill="1" applyAlignment="1">
      <alignment horizontal="left"/>
    </xf>
    <xf numFmtId="165" fontId="6" fillId="7" borderId="0" xfId="5" applyNumberFormat="1" applyFont="1" applyFill="1" applyBorder="1" applyAlignment="1" applyProtection="1">
      <alignment horizontal="center"/>
    </xf>
    <xf numFmtId="0" fontId="6" fillId="7" borderId="6" xfId="0" applyFont="1" applyFill="1" applyBorder="1" applyAlignment="1">
      <alignment horizontal="center"/>
    </xf>
    <xf numFmtId="0" fontId="16" fillId="7" borderId="6" xfId="0" applyFont="1" applyFill="1" applyBorder="1" applyAlignment="1">
      <alignment horizontal="left"/>
    </xf>
    <xf numFmtId="166" fontId="16" fillId="7" borderId="0" xfId="2" applyFont="1" applyFill="1" applyBorder="1" applyAlignment="1" applyProtection="1"/>
    <xf numFmtId="9" fontId="16" fillId="7" borderId="0" xfId="0" applyNumberFormat="1" applyFont="1" applyFill="1" applyAlignment="1">
      <alignment horizontal="center"/>
    </xf>
    <xf numFmtId="10" fontId="16" fillId="7" borderId="0" xfId="0" applyNumberFormat="1" applyFont="1" applyFill="1" applyAlignment="1">
      <alignment horizontal="center"/>
    </xf>
    <xf numFmtId="10" fontId="16" fillId="7" borderId="14" xfId="0" applyNumberFormat="1" applyFont="1" applyFill="1" applyBorder="1" applyAlignment="1">
      <alignment horizontal="center"/>
    </xf>
    <xf numFmtId="3" fontId="16" fillId="10" borderId="13" xfId="0" applyNumberFormat="1" applyFont="1" applyFill="1" applyBorder="1" applyAlignment="1">
      <alignment horizontal="left"/>
    </xf>
    <xf numFmtId="3" fontId="16" fillId="10" borderId="37" xfId="0" applyNumberFormat="1" applyFont="1" applyFill="1" applyBorder="1" applyAlignment="1">
      <alignment horizontal="left"/>
    </xf>
    <xf numFmtId="166" fontId="16" fillId="0" borderId="28" xfId="2" applyFont="1" applyFill="1" applyBorder="1" applyAlignment="1" applyProtection="1"/>
    <xf numFmtId="9" fontId="16" fillId="0" borderId="48" xfId="0" applyNumberFormat="1" applyFont="1" applyBorder="1" applyAlignment="1">
      <alignment horizontal="center"/>
    </xf>
    <xf numFmtId="9" fontId="16" fillId="0" borderId="48" xfId="5" applyFont="1" applyFill="1" applyBorder="1" applyAlignment="1" applyProtection="1">
      <alignment horizontal="center"/>
    </xf>
    <xf numFmtId="166" fontId="16" fillId="0" borderId="1" xfId="2" applyFont="1" applyFill="1" applyBorder="1" applyAlignment="1" applyProtection="1"/>
    <xf numFmtId="9" fontId="16" fillId="0" borderId="49" xfId="0" applyNumberFormat="1" applyFont="1" applyBorder="1" applyAlignment="1">
      <alignment horizontal="center"/>
    </xf>
    <xf numFmtId="9" fontId="16" fillId="0" borderId="49" xfId="5" applyFont="1" applyFill="1" applyBorder="1" applyAlignment="1" applyProtection="1">
      <alignment horizontal="center"/>
    </xf>
    <xf numFmtId="166" fontId="16" fillId="0" borderId="49" xfId="2" applyFont="1" applyFill="1" applyBorder="1" applyAlignment="1" applyProtection="1">
      <alignment horizontal="center"/>
    </xf>
    <xf numFmtId="0" fontId="6" fillId="10" borderId="11" xfId="0" applyFont="1" applyFill="1" applyBorder="1" applyAlignment="1">
      <alignment horizontal="center" vertical="center" wrapText="1"/>
    </xf>
    <xf numFmtId="3" fontId="6" fillId="10" borderId="50" xfId="0" applyNumberFormat="1" applyFont="1" applyFill="1" applyBorder="1" applyAlignment="1">
      <alignment horizontal="left"/>
    </xf>
    <xf numFmtId="0" fontId="0" fillId="10" borderId="50" xfId="0" applyFill="1" applyBorder="1" applyAlignment="1">
      <alignment horizontal="left"/>
    </xf>
    <xf numFmtId="0" fontId="0" fillId="10" borderId="2" xfId="0" applyFill="1" applyBorder="1" applyAlignment="1">
      <alignment horizontal="left"/>
    </xf>
    <xf numFmtId="0" fontId="0" fillId="7" borderId="0" xfId="0" applyFill="1" applyAlignment="1">
      <alignment horizontal="left"/>
    </xf>
    <xf numFmtId="0" fontId="2" fillId="7" borderId="0" xfId="0" applyFont="1" applyFill="1"/>
    <xf numFmtId="3" fontId="6" fillId="10" borderId="13" xfId="0" applyNumberFormat="1" applyFont="1" applyFill="1" applyBorder="1" applyAlignment="1">
      <alignment horizontal="left" vertical="center" wrapText="1"/>
    </xf>
    <xf numFmtId="3" fontId="16" fillId="10" borderId="50" xfId="0" applyNumberFormat="1" applyFont="1" applyFill="1" applyBorder="1" applyAlignment="1" applyProtection="1">
      <alignment horizontal="center"/>
      <protection locked="0"/>
    </xf>
    <xf numFmtId="3" fontId="16" fillId="10" borderId="49" xfId="0" applyNumberFormat="1" applyFont="1" applyFill="1" applyBorder="1" applyAlignment="1" applyProtection="1">
      <alignment horizontal="center"/>
      <protection locked="0"/>
    </xf>
    <xf numFmtId="3" fontId="16" fillId="10" borderId="1" xfId="0" applyNumberFormat="1" applyFont="1" applyFill="1" applyBorder="1" applyAlignment="1" applyProtection="1">
      <alignment horizontal="center"/>
      <protection locked="0"/>
    </xf>
    <xf numFmtId="9" fontId="16" fillId="15" borderId="2" xfId="5" applyFont="1" applyFill="1" applyBorder="1" applyAlignment="1" applyProtection="1">
      <alignment horizontal="center"/>
      <protection locked="0"/>
    </xf>
    <xf numFmtId="9" fontId="16" fillId="2" borderId="1" xfId="5" applyFont="1" applyFill="1" applyBorder="1" applyAlignment="1" applyProtection="1">
      <alignment horizontal="center"/>
      <protection locked="0"/>
    </xf>
    <xf numFmtId="9" fontId="16" fillId="15" borderId="1" xfId="5" applyFont="1" applyFill="1" applyBorder="1" applyAlignment="1" applyProtection="1">
      <alignment horizontal="center"/>
      <protection locked="0"/>
    </xf>
    <xf numFmtId="0" fontId="6" fillId="7" borderId="14" xfId="0" applyFont="1" applyFill="1" applyBorder="1" applyAlignment="1">
      <alignment horizontal="center" vertical="center"/>
    </xf>
    <xf numFmtId="0" fontId="6" fillId="10" borderId="37" xfId="0" applyFont="1" applyFill="1" applyBorder="1"/>
    <xf numFmtId="167" fontId="16" fillId="15" borderId="1" xfId="2" applyNumberFormat="1" applyFont="1" applyFill="1" applyBorder="1" applyAlignment="1" applyProtection="1">
      <alignment horizontal="center"/>
      <protection locked="0"/>
    </xf>
    <xf numFmtId="167" fontId="16" fillId="2" borderId="1" xfId="2" applyNumberFormat="1" applyFont="1" applyFill="1" applyBorder="1" applyAlignment="1" applyProtection="1">
      <alignment horizontal="center"/>
      <protection locked="0"/>
    </xf>
    <xf numFmtId="0" fontId="12" fillId="7" borderId="0" xfId="0" applyFont="1" applyFill="1" applyAlignment="1">
      <alignment horizontal="right" vertical="center"/>
    </xf>
    <xf numFmtId="9" fontId="12" fillId="7" borderId="0" xfId="0" applyNumberFormat="1" applyFont="1" applyFill="1" applyAlignment="1">
      <alignment horizontal="center" vertical="center"/>
    </xf>
    <xf numFmtId="9" fontId="16" fillId="7" borderId="14" xfId="5" applyFont="1" applyFill="1" applyBorder="1" applyAlignment="1" applyProtection="1">
      <alignment horizontal="center" vertical="center"/>
    </xf>
    <xf numFmtId="0" fontId="6" fillId="10" borderId="13" xfId="0" applyFont="1" applyFill="1" applyBorder="1"/>
    <xf numFmtId="9" fontId="19" fillId="7" borderId="0" xfId="5" applyFont="1" applyFill="1" applyBorder="1" applyAlignment="1" applyProtection="1">
      <alignment horizontal="center"/>
    </xf>
    <xf numFmtId="9" fontId="19" fillId="7" borderId="14" xfId="5" applyFont="1" applyFill="1" applyBorder="1" applyAlignment="1" applyProtection="1">
      <alignment horizontal="center" vertical="center"/>
    </xf>
    <xf numFmtId="9" fontId="19" fillId="7" borderId="14" xfId="5" applyFont="1" applyFill="1" applyBorder="1" applyAlignment="1" applyProtection="1">
      <alignment horizontal="center"/>
    </xf>
    <xf numFmtId="165" fontId="16" fillId="7" borderId="0" xfId="5" applyNumberFormat="1" applyFont="1" applyFill="1" applyBorder="1" applyAlignment="1" applyProtection="1">
      <alignment horizontal="center"/>
    </xf>
    <xf numFmtId="4" fontId="16" fillId="7" borderId="0" xfId="0" applyNumberFormat="1" applyFont="1" applyFill="1"/>
    <xf numFmtId="4" fontId="6" fillId="7" borderId="0" xfId="0" applyNumberFormat="1" applyFont="1" applyFill="1"/>
    <xf numFmtId="3" fontId="16" fillId="10" borderId="49" xfId="0" applyNumberFormat="1" applyFont="1" applyFill="1" applyBorder="1" applyAlignment="1">
      <alignment horizontal="left"/>
    </xf>
    <xf numFmtId="0" fontId="17" fillId="0" borderId="50" xfId="0" applyFont="1" applyBorder="1" applyAlignment="1">
      <alignment horizontal="left"/>
    </xf>
    <xf numFmtId="0" fontId="0" fillId="7" borderId="14" xfId="0" applyFill="1" applyBorder="1" applyAlignment="1">
      <alignment horizontal="left"/>
    </xf>
    <xf numFmtId="0" fontId="16" fillId="10" borderId="49" xfId="0" applyFont="1" applyFill="1" applyBorder="1" applyAlignment="1">
      <alignment horizontal="center"/>
    </xf>
    <xf numFmtId="0" fontId="6" fillId="7" borderId="14" xfId="0" applyFont="1" applyFill="1" applyBorder="1" applyAlignment="1">
      <alignment horizontal="center"/>
    </xf>
    <xf numFmtId="3" fontId="16" fillId="10" borderId="1" xfId="0" applyNumberFormat="1" applyFont="1" applyFill="1" applyBorder="1" applyAlignment="1">
      <alignment horizontal="center"/>
    </xf>
    <xf numFmtId="0" fontId="16" fillId="10" borderId="1" xfId="0" applyFont="1" applyFill="1" applyBorder="1" applyAlignment="1">
      <alignment horizontal="center"/>
    </xf>
    <xf numFmtId="10" fontId="16" fillId="10" borderId="49" xfId="0" applyNumberFormat="1" applyFont="1" applyFill="1" applyBorder="1" applyAlignment="1">
      <alignment horizontal="center"/>
    </xf>
    <xf numFmtId="9" fontId="16" fillId="15" borderId="1" xfId="5" applyFont="1" applyFill="1" applyBorder="1" applyAlignment="1" applyProtection="1">
      <alignment horizontal="center"/>
    </xf>
    <xf numFmtId="9" fontId="16" fillId="15" borderId="49" xfId="5" applyFont="1" applyFill="1" applyBorder="1" applyAlignment="1" applyProtection="1">
      <alignment horizontal="center"/>
    </xf>
    <xf numFmtId="0" fontId="17" fillId="7" borderId="0" xfId="0" applyFont="1" applyFill="1"/>
    <xf numFmtId="9" fontId="16" fillId="2" borderId="1" xfId="5" applyFont="1" applyFill="1" applyBorder="1" applyAlignment="1" applyProtection="1">
      <alignment horizontal="center"/>
    </xf>
    <xf numFmtId="9" fontId="16" fillId="2" borderId="49" xfId="5" applyFont="1" applyFill="1" applyBorder="1" applyAlignment="1" applyProtection="1">
      <alignment horizontal="center"/>
    </xf>
    <xf numFmtId="167" fontId="16" fillId="15" borderId="1" xfId="5" applyNumberFormat="1" applyFont="1" applyFill="1" applyBorder="1" applyAlignment="1" applyProtection="1">
      <alignment horizontal="center"/>
    </xf>
    <xf numFmtId="167" fontId="16" fillId="2" borderId="1" xfId="5" applyNumberFormat="1" applyFont="1" applyFill="1" applyBorder="1" applyAlignment="1" applyProtection="1">
      <alignment horizontal="center"/>
    </xf>
    <xf numFmtId="3" fontId="6" fillId="10" borderId="13" xfId="0" applyNumberFormat="1" applyFont="1" applyFill="1" applyBorder="1" applyAlignment="1">
      <alignment wrapText="1"/>
    </xf>
    <xf numFmtId="3" fontId="6" fillId="10" borderId="51" xfId="0" applyNumberFormat="1" applyFont="1" applyFill="1" applyBorder="1" applyAlignment="1">
      <alignment wrapText="1"/>
    </xf>
    <xf numFmtId="9" fontId="16" fillId="15" borderId="19" xfId="5" applyFont="1" applyFill="1" applyBorder="1" applyAlignment="1" applyProtection="1">
      <alignment horizontal="center"/>
      <protection locked="0"/>
    </xf>
    <xf numFmtId="9" fontId="16" fillId="2" borderId="19" xfId="5" applyFont="1" applyFill="1" applyBorder="1" applyAlignment="1" applyProtection="1">
      <alignment horizontal="center"/>
      <protection locked="0"/>
    </xf>
    <xf numFmtId="165" fontId="19" fillId="7" borderId="31" xfId="5" applyNumberFormat="1" applyFont="1" applyFill="1" applyBorder="1" applyAlignment="1" applyProtection="1">
      <alignment horizontal="center"/>
    </xf>
    <xf numFmtId="165" fontId="19" fillId="7" borderId="32" xfId="5" applyNumberFormat="1" applyFont="1" applyFill="1" applyBorder="1" applyAlignment="1" applyProtection="1">
      <alignment horizontal="center"/>
    </xf>
    <xf numFmtId="0" fontId="6" fillId="7" borderId="0" xfId="0" applyFont="1" applyFill="1"/>
    <xf numFmtId="165" fontId="19" fillId="7" borderId="0" xfId="5" applyNumberFormat="1" applyFont="1" applyFill="1" applyBorder="1" applyAlignment="1" applyProtection="1">
      <alignment horizontal="center"/>
    </xf>
    <xf numFmtId="3" fontId="6" fillId="10" borderId="47" xfId="0" applyNumberFormat="1" applyFont="1" applyFill="1" applyBorder="1" applyAlignment="1">
      <alignment horizontal="center" vertical="center"/>
    </xf>
    <xf numFmtId="0" fontId="6" fillId="10" borderId="47" xfId="0" applyFont="1" applyFill="1" applyBorder="1" applyAlignment="1">
      <alignment horizontal="center" vertical="center"/>
    </xf>
    <xf numFmtId="0" fontId="6" fillId="10" borderId="25" xfId="0" applyFont="1" applyFill="1" applyBorder="1" applyAlignment="1">
      <alignment horizontal="center" vertical="center"/>
    </xf>
    <xf numFmtId="0" fontId="6" fillId="10" borderId="52" xfId="0" applyFont="1" applyFill="1" applyBorder="1" applyAlignment="1">
      <alignment horizontal="center" vertical="center"/>
    </xf>
    <xf numFmtId="3" fontId="12" fillId="10" borderId="26" xfId="0" applyNumberFormat="1" applyFont="1" applyFill="1" applyBorder="1" applyAlignment="1">
      <alignment horizontal="right" vertical="center"/>
    </xf>
    <xf numFmtId="9" fontId="12" fillId="0" borderId="1" xfId="0" applyNumberFormat="1" applyFont="1" applyBorder="1" applyAlignment="1">
      <alignment horizontal="center" vertical="center"/>
    </xf>
    <xf numFmtId="9" fontId="16" fillId="0" borderId="1" xfId="5" applyFont="1" applyFill="1" applyBorder="1" applyAlignment="1" applyProtection="1">
      <alignment horizontal="center" vertical="center"/>
      <protection locked="0"/>
    </xf>
    <xf numFmtId="9" fontId="19" fillId="0" borderId="1" xfId="5" applyFont="1" applyFill="1" applyBorder="1" applyAlignment="1" applyProtection="1">
      <alignment horizontal="center" vertical="center"/>
      <protection locked="0"/>
    </xf>
    <xf numFmtId="9" fontId="19" fillId="0" borderId="23" xfId="5" applyFont="1" applyFill="1" applyBorder="1" applyAlignment="1" applyProtection="1">
      <alignment horizontal="center" vertical="center"/>
      <protection locked="0"/>
    </xf>
    <xf numFmtId="9" fontId="19" fillId="0" borderId="50" xfId="5" applyFont="1" applyFill="1" applyBorder="1" applyAlignment="1" applyProtection="1">
      <alignment horizontal="center" vertical="center"/>
    </xf>
    <xf numFmtId="9" fontId="12" fillId="0" borderId="3" xfId="0" applyNumberFormat="1" applyFont="1" applyBorder="1" applyAlignment="1">
      <alignment horizontal="center" vertical="center"/>
    </xf>
    <xf numFmtId="9" fontId="16" fillId="0" borderId="3" xfId="5" applyFont="1" applyFill="1" applyBorder="1" applyAlignment="1" applyProtection="1">
      <alignment horizontal="center" vertical="center"/>
      <protection locked="0"/>
    </xf>
    <xf numFmtId="9" fontId="19" fillId="0" borderId="3" xfId="5" applyFont="1" applyFill="1" applyBorder="1" applyAlignment="1" applyProtection="1">
      <alignment horizontal="center" vertical="center"/>
      <protection locked="0"/>
    </xf>
    <xf numFmtId="9" fontId="19" fillId="0" borderId="42" xfId="5" applyFont="1" applyFill="1" applyBorder="1" applyAlignment="1" applyProtection="1">
      <alignment horizontal="center" vertical="center"/>
      <protection locked="0"/>
    </xf>
    <xf numFmtId="9" fontId="19" fillId="0" borderId="53" xfId="5" applyFont="1" applyFill="1" applyBorder="1" applyAlignment="1" applyProtection="1">
      <alignment horizontal="center" vertical="center"/>
    </xf>
    <xf numFmtId="0" fontId="0" fillId="9" borderId="54" xfId="0" applyFill="1" applyBorder="1"/>
    <xf numFmtId="0" fontId="0" fillId="9" borderId="55" xfId="0" applyFill="1" applyBorder="1"/>
    <xf numFmtId="0" fontId="0" fillId="9" borderId="50" xfId="0" applyFill="1" applyBorder="1"/>
    <xf numFmtId="0" fontId="0" fillId="9" borderId="21" xfId="0" applyFill="1" applyBorder="1"/>
    <xf numFmtId="3" fontId="6" fillId="10" borderId="28" xfId="0" applyNumberFormat="1" applyFont="1" applyFill="1" applyBorder="1" applyAlignment="1">
      <alignment horizontal="center" vertical="center"/>
    </xf>
    <xf numFmtId="0" fontId="6" fillId="10" borderId="28" xfId="0" applyFont="1" applyFill="1" applyBorder="1" applyAlignment="1">
      <alignment horizontal="center" vertical="center"/>
    </xf>
    <xf numFmtId="0" fontId="6" fillId="10" borderId="48" xfId="0" applyFont="1" applyFill="1" applyBorder="1" applyAlignment="1">
      <alignment horizontal="center" vertical="center"/>
    </xf>
    <xf numFmtId="9" fontId="19" fillId="0" borderId="1" xfId="5" applyFont="1" applyFill="1" applyBorder="1" applyAlignment="1" applyProtection="1">
      <alignment horizontal="center" vertical="center"/>
    </xf>
    <xf numFmtId="9" fontId="19" fillId="0" borderId="49" xfId="5" applyFont="1" applyFill="1" applyBorder="1" applyAlignment="1" applyProtection="1">
      <alignment horizontal="center" vertical="center"/>
    </xf>
    <xf numFmtId="9" fontId="19" fillId="0" borderId="3" xfId="5" applyFont="1" applyFill="1" applyBorder="1" applyAlignment="1" applyProtection="1">
      <alignment horizontal="center" vertical="center"/>
    </xf>
    <xf numFmtId="9" fontId="19" fillId="0" borderId="56" xfId="5" applyFont="1" applyFill="1" applyBorder="1" applyAlignment="1" applyProtection="1">
      <alignment horizontal="center" vertical="center"/>
    </xf>
    <xf numFmtId="0" fontId="0" fillId="9" borderId="26" xfId="0" applyFill="1" applyBorder="1"/>
    <xf numFmtId="0" fontId="2" fillId="11" borderId="7" xfId="0" applyFont="1" applyFill="1" applyBorder="1" applyAlignment="1">
      <alignment horizontal="center"/>
    </xf>
    <xf numFmtId="3" fontId="2" fillId="4" borderId="4" xfId="0" applyNumberFormat="1" applyFont="1" applyFill="1" applyBorder="1"/>
    <xf numFmtId="3" fontId="2" fillId="4" borderId="5" xfId="0" applyNumberFormat="1" applyFont="1" applyFill="1" applyBorder="1"/>
    <xf numFmtId="3" fontId="6" fillId="7" borderId="4" xfId="0" applyNumberFormat="1" applyFont="1" applyFill="1" applyBorder="1"/>
    <xf numFmtId="3" fontId="6" fillId="10" borderId="28" xfId="0" applyNumberFormat="1" applyFont="1" applyFill="1" applyBorder="1" applyAlignment="1">
      <alignment horizontal="center"/>
    </xf>
    <xf numFmtId="9" fontId="16" fillId="0" borderId="1" xfId="5" applyFont="1" applyFill="1" applyBorder="1" applyAlignment="1" applyProtection="1">
      <alignment horizontal="center"/>
    </xf>
    <xf numFmtId="3" fontId="0" fillId="10" borderId="13" xfId="0" applyNumberFormat="1" applyFill="1" applyBorder="1" applyAlignment="1">
      <alignment horizontal="left"/>
    </xf>
    <xf numFmtId="3" fontId="7" fillId="3" borderId="10" xfId="0" applyNumberFormat="1" applyFont="1" applyFill="1" applyBorder="1" applyAlignment="1">
      <alignment horizontal="center"/>
    </xf>
    <xf numFmtId="3" fontId="11" fillId="10" borderId="57" xfId="0" applyNumberFormat="1" applyFont="1" applyFill="1" applyBorder="1" applyAlignment="1">
      <alignment horizontal="center"/>
    </xf>
    <xf numFmtId="3" fontId="11" fillId="10" borderId="18" xfId="0" applyNumberFormat="1" applyFont="1" applyFill="1" applyBorder="1" applyAlignment="1">
      <alignment horizontal="center"/>
    </xf>
    <xf numFmtId="0" fontId="0" fillId="7" borderId="6" xfId="0" applyFill="1" applyBorder="1" applyAlignment="1">
      <alignment horizontal="left"/>
    </xf>
    <xf numFmtId="9" fontId="16" fillId="0" borderId="34" xfId="5" applyFont="1" applyFill="1" applyBorder="1" applyAlignment="1" applyProtection="1">
      <alignment horizontal="right"/>
    </xf>
    <xf numFmtId="10" fontId="16" fillId="0" borderId="28" xfId="5" applyNumberFormat="1" applyFont="1" applyFill="1" applyBorder="1" applyAlignment="1" applyProtection="1">
      <alignment horizontal="right"/>
    </xf>
    <xf numFmtId="9" fontId="19" fillId="0" borderId="28" xfId="5" applyFont="1" applyFill="1" applyBorder="1" applyAlignment="1" applyProtection="1">
      <alignment horizontal="right"/>
    </xf>
    <xf numFmtId="10" fontId="19" fillId="0" borderId="28" xfId="5" applyNumberFormat="1" applyFont="1" applyFill="1" applyBorder="1" applyAlignment="1" applyProtection="1">
      <alignment horizontal="right"/>
    </xf>
    <xf numFmtId="3" fontId="6" fillId="10" borderId="33" xfId="0" applyNumberFormat="1" applyFont="1" applyFill="1" applyBorder="1" applyAlignment="1">
      <alignment horizontal="left"/>
    </xf>
    <xf numFmtId="0" fontId="16" fillId="9" borderId="58" xfId="0" applyFont="1" applyFill="1" applyBorder="1" applyAlignment="1">
      <alignment horizontal="right"/>
    </xf>
    <xf numFmtId="0" fontId="0" fillId="9" borderId="1" xfId="0" applyFill="1" applyBorder="1" applyAlignment="1">
      <alignment horizontal="left"/>
    </xf>
    <xf numFmtId="0" fontId="16" fillId="9" borderId="0" xfId="0" applyFont="1" applyFill="1" applyAlignment="1">
      <alignment horizontal="right"/>
    </xf>
    <xf numFmtId="4" fontId="16" fillId="9" borderId="0" xfId="0" applyNumberFormat="1" applyFont="1" applyFill="1" applyAlignment="1">
      <alignment horizontal="right"/>
    </xf>
    <xf numFmtId="165" fontId="16" fillId="7" borderId="14" xfId="5" applyNumberFormat="1" applyFont="1" applyFill="1" applyBorder="1" applyAlignment="1" applyProtection="1">
      <alignment horizontal="center"/>
    </xf>
    <xf numFmtId="3" fontId="6" fillId="10" borderId="59" xfId="0" applyNumberFormat="1" applyFont="1" applyFill="1" applyBorder="1" applyAlignment="1">
      <alignment horizontal="left"/>
    </xf>
    <xf numFmtId="3" fontId="16" fillId="0" borderId="58" xfId="0" applyNumberFormat="1" applyFont="1" applyBorder="1" applyAlignment="1">
      <alignment horizontal="right"/>
    </xf>
    <xf numFmtId="3" fontId="0" fillId="9" borderId="1" xfId="0" applyNumberFormat="1" applyFill="1" applyBorder="1" applyAlignment="1">
      <alignment horizontal="left"/>
    </xf>
    <xf numFmtId="3" fontId="19" fillId="0" borderId="52" xfId="0" applyNumberFormat="1" applyFont="1" applyBorder="1" applyAlignment="1">
      <alignment horizontal="right"/>
    </xf>
    <xf numFmtId="3" fontId="0" fillId="10" borderId="59" xfId="0" applyNumberFormat="1" applyFill="1" applyBorder="1" applyAlignment="1">
      <alignment horizontal="right"/>
    </xf>
    <xf numFmtId="9" fontId="16" fillId="0" borderId="53" xfId="5" applyFont="1" applyFill="1" applyBorder="1" applyAlignment="1" applyProtection="1">
      <alignment horizontal="right"/>
    </xf>
    <xf numFmtId="9" fontId="19" fillId="0" borderId="52" xfId="5" applyFont="1" applyFill="1" applyBorder="1" applyAlignment="1" applyProtection="1">
      <alignment horizontal="right"/>
    </xf>
    <xf numFmtId="3" fontId="28" fillId="9" borderId="1" xfId="0" applyNumberFormat="1" applyFont="1" applyFill="1" applyBorder="1" applyAlignment="1">
      <alignment horizontal="left"/>
    </xf>
    <xf numFmtId="0" fontId="29" fillId="7" borderId="0" xfId="0" applyFont="1" applyFill="1" applyAlignment="1">
      <alignment horizontal="left"/>
    </xf>
    <xf numFmtId="9" fontId="16" fillId="0" borderId="2" xfId="5" applyFont="1" applyFill="1" applyBorder="1" applyAlignment="1" applyProtection="1">
      <alignment horizontal="right"/>
    </xf>
    <xf numFmtId="9" fontId="19" fillId="0" borderId="8" xfId="5" applyFont="1" applyFill="1" applyBorder="1" applyAlignment="1" applyProtection="1">
      <alignment horizontal="right"/>
    </xf>
    <xf numFmtId="3" fontId="6" fillId="10" borderId="60" xfId="0" applyNumberFormat="1" applyFont="1" applyFill="1" applyBorder="1" applyAlignment="1">
      <alignment horizontal="left"/>
    </xf>
    <xf numFmtId="10" fontId="16" fillId="7" borderId="0" xfId="0" applyNumberFormat="1" applyFont="1" applyFill="1" applyAlignment="1">
      <alignment horizontal="right"/>
    </xf>
    <xf numFmtId="4" fontId="19" fillId="7" borderId="0" xfId="0" applyNumberFormat="1" applyFont="1" applyFill="1" applyAlignment="1">
      <alignment horizontal="right"/>
    </xf>
    <xf numFmtId="3" fontId="7" fillId="10" borderId="3" xfId="0" applyNumberFormat="1" applyFont="1" applyFill="1" applyBorder="1" applyAlignment="1">
      <alignment horizontal="center"/>
    </xf>
    <xf numFmtId="0" fontId="7" fillId="7" borderId="0" xfId="0" applyFont="1" applyFill="1" applyAlignment="1">
      <alignment horizontal="center"/>
    </xf>
    <xf numFmtId="0" fontId="7" fillId="7" borderId="14" xfId="0" applyFont="1" applyFill="1" applyBorder="1" applyAlignment="1">
      <alignment horizontal="center"/>
    </xf>
    <xf numFmtId="0" fontId="7" fillId="3" borderId="6" xfId="0" applyFont="1" applyFill="1" applyBorder="1" applyAlignment="1">
      <alignment horizontal="center"/>
    </xf>
    <xf numFmtId="0" fontId="7" fillId="3" borderId="0" xfId="0" applyFont="1" applyFill="1" applyAlignment="1">
      <alignment horizontal="center"/>
    </xf>
    <xf numFmtId="3" fontId="30" fillId="7" borderId="0" xfId="0" applyNumberFormat="1" applyFont="1" applyFill="1" applyAlignment="1">
      <alignment horizontal="right"/>
    </xf>
    <xf numFmtId="3" fontId="30" fillId="7" borderId="14" xfId="0" applyNumberFormat="1" applyFont="1" applyFill="1" applyBorder="1" applyAlignment="1">
      <alignment horizontal="right"/>
    </xf>
    <xf numFmtId="3" fontId="12" fillId="10" borderId="21" xfId="0" applyNumberFormat="1" applyFont="1" applyFill="1" applyBorder="1"/>
    <xf numFmtId="3" fontId="31" fillId="0" borderId="28" xfId="0" applyNumberFormat="1" applyFont="1" applyBorder="1" applyAlignment="1" applyProtection="1">
      <alignment horizontal="right"/>
      <protection locked="0"/>
    </xf>
    <xf numFmtId="3" fontId="12" fillId="10" borderId="26" xfId="0" applyNumberFormat="1" applyFont="1" applyFill="1" applyBorder="1"/>
    <xf numFmtId="3" fontId="31" fillId="0" borderId="1" xfId="0" applyNumberFormat="1" applyFont="1" applyBorder="1" applyAlignment="1" applyProtection="1">
      <alignment horizontal="right"/>
      <protection locked="0"/>
    </xf>
    <xf numFmtId="3" fontId="20" fillId="7" borderId="0" xfId="0" applyNumberFormat="1" applyFont="1" applyFill="1" applyAlignment="1">
      <alignment horizontal="right"/>
    </xf>
    <xf numFmtId="3" fontId="20" fillId="7" borderId="14" xfId="0" applyNumberFormat="1" applyFont="1" applyFill="1" applyBorder="1" applyAlignment="1">
      <alignment horizontal="right"/>
    </xf>
    <xf numFmtId="3" fontId="20" fillId="9" borderId="1" xfId="0" applyNumberFormat="1" applyFont="1" applyFill="1" applyBorder="1" applyAlignment="1">
      <alignment horizontal="right"/>
    </xf>
    <xf numFmtId="3" fontId="20" fillId="10" borderId="26" xfId="0" applyNumberFormat="1" applyFont="1" applyFill="1" applyBorder="1" applyAlignment="1">
      <alignment horizontal="right"/>
    </xf>
    <xf numFmtId="3" fontId="20" fillId="10" borderId="6" xfId="0" applyNumberFormat="1" applyFont="1" applyFill="1" applyBorder="1" applyAlignment="1">
      <alignment horizontal="right"/>
    </xf>
    <xf numFmtId="3" fontId="6" fillId="10" borderId="26" xfId="0" applyNumberFormat="1" applyFont="1" applyFill="1" applyBorder="1" applyAlignment="1">
      <alignment horizontal="left"/>
    </xf>
    <xf numFmtId="3" fontId="31" fillId="10" borderId="0" xfId="0" applyNumberFormat="1" applyFont="1" applyFill="1" applyAlignment="1">
      <alignment horizontal="right"/>
    </xf>
    <xf numFmtId="3" fontId="0" fillId="10" borderId="26" xfId="0" applyNumberFormat="1" applyFill="1" applyBorder="1" applyAlignment="1">
      <alignment horizontal="right"/>
    </xf>
    <xf numFmtId="9" fontId="31" fillId="0" borderId="1" xfId="5" applyFont="1" applyFill="1" applyBorder="1" applyAlignment="1" applyProtection="1">
      <alignment horizontal="right"/>
      <protection locked="0"/>
    </xf>
    <xf numFmtId="3" fontId="0" fillId="10" borderId="27" xfId="0" applyNumberFormat="1" applyFill="1" applyBorder="1" applyAlignment="1">
      <alignment horizontal="right"/>
    </xf>
    <xf numFmtId="9" fontId="31" fillId="0" borderId="19" xfId="5" applyFont="1" applyFill="1" applyBorder="1" applyAlignment="1" applyProtection="1">
      <alignment horizontal="right"/>
      <protection locked="0"/>
    </xf>
    <xf numFmtId="0" fontId="0" fillId="7" borderId="31" xfId="0" applyFill="1" applyBorder="1"/>
    <xf numFmtId="0" fontId="7" fillId="10" borderId="34" xfId="0" applyFont="1" applyFill="1" applyBorder="1" applyAlignment="1">
      <alignment horizontal="center"/>
    </xf>
    <xf numFmtId="0" fontId="7" fillId="10" borderId="28" xfId="0" applyFont="1" applyFill="1" applyBorder="1" applyAlignment="1">
      <alignment horizontal="center"/>
    </xf>
    <xf numFmtId="3" fontId="30" fillId="0" borderId="59" xfId="0" applyNumberFormat="1" applyFont="1" applyBorder="1" applyAlignment="1">
      <alignment horizontal="right"/>
    </xf>
    <xf numFmtId="0" fontId="12" fillId="10" borderId="33" xfId="0" applyFont="1" applyFill="1" applyBorder="1"/>
    <xf numFmtId="0" fontId="12" fillId="10" borderId="59" xfId="0" applyFont="1" applyFill="1" applyBorder="1"/>
    <xf numFmtId="3" fontId="30" fillId="9" borderId="59" xfId="0" applyNumberFormat="1" applyFont="1" applyFill="1" applyBorder="1" applyAlignment="1">
      <alignment horizontal="right"/>
    </xf>
    <xf numFmtId="0" fontId="20" fillId="10" borderId="59" xfId="0" applyFont="1" applyFill="1" applyBorder="1" applyAlignment="1">
      <alignment horizontal="right"/>
    </xf>
    <xf numFmtId="0" fontId="20" fillId="10" borderId="60" xfId="0" applyFont="1" applyFill="1" applyBorder="1" applyAlignment="1">
      <alignment horizontal="right"/>
    </xf>
    <xf numFmtId="0" fontId="7" fillId="10" borderId="2" xfId="0" applyFont="1" applyFill="1" applyBorder="1" applyAlignment="1">
      <alignment horizontal="center"/>
    </xf>
    <xf numFmtId="0" fontId="7" fillId="10" borderId="1" xfId="0" applyFont="1" applyFill="1" applyBorder="1" applyAlignment="1">
      <alignment horizontal="center"/>
    </xf>
    <xf numFmtId="0" fontId="0" fillId="7" borderId="29" xfId="0" applyFill="1" applyBorder="1"/>
    <xf numFmtId="0" fontId="6" fillId="3" borderId="7" xfId="0" applyFont="1" applyFill="1" applyBorder="1" applyAlignment="1">
      <alignment horizontal="left"/>
    </xf>
    <xf numFmtId="3" fontId="12" fillId="10" borderId="1" xfId="0" applyNumberFormat="1" applyFont="1" applyFill="1" applyBorder="1" applyAlignment="1">
      <alignment horizontal="center"/>
    </xf>
    <xf numFmtId="0" fontId="12" fillId="7" borderId="0" xfId="0" applyFont="1" applyFill="1" applyAlignment="1">
      <alignment horizontal="center"/>
    </xf>
    <xf numFmtId="0" fontId="12" fillId="7" borderId="14" xfId="0" applyFont="1" applyFill="1" applyBorder="1" applyAlignment="1">
      <alignment horizontal="center"/>
    </xf>
    <xf numFmtId="3" fontId="6" fillId="10" borderId="21" xfId="0" applyNumberFormat="1" applyFont="1" applyFill="1" applyBorder="1" applyAlignment="1">
      <alignment horizontal="left"/>
    </xf>
    <xf numFmtId="0" fontId="19" fillId="7" borderId="0" xfId="0" applyFont="1" applyFill="1" applyAlignment="1">
      <alignment horizontal="center"/>
    </xf>
    <xf numFmtId="0" fontId="19" fillId="7" borderId="14" xfId="0" applyFont="1" applyFill="1" applyBorder="1" applyAlignment="1">
      <alignment horizontal="center"/>
    </xf>
    <xf numFmtId="0" fontId="26" fillId="0" borderId="1" xfId="0" applyFont="1" applyBorder="1"/>
    <xf numFmtId="0" fontId="12" fillId="7" borderId="0" xfId="0" applyFont="1" applyFill="1"/>
    <xf numFmtId="0" fontId="12" fillId="7" borderId="14" xfId="0" applyFont="1" applyFill="1" applyBorder="1"/>
    <xf numFmtId="0" fontId="12" fillId="10" borderId="26" xfId="0" applyFont="1" applyFill="1" applyBorder="1"/>
    <xf numFmtId="0" fontId="26" fillId="9" borderId="1" xfId="0" applyFont="1" applyFill="1" applyBorder="1" applyAlignment="1">
      <alignment horizontal="left"/>
    </xf>
    <xf numFmtId="0" fontId="12" fillId="7" borderId="0" xfId="0" applyFont="1" applyFill="1" applyAlignment="1">
      <alignment horizontal="left"/>
    </xf>
    <xf numFmtId="0" fontId="12" fillId="7" borderId="14" xfId="0" applyFont="1" applyFill="1" applyBorder="1" applyAlignment="1">
      <alignment horizontal="left"/>
    </xf>
    <xf numFmtId="3" fontId="12" fillId="10" borderId="26" xfId="0" applyNumberFormat="1" applyFont="1" applyFill="1" applyBorder="1" applyAlignment="1">
      <alignment horizontal="left"/>
    </xf>
    <xf numFmtId="1" fontId="16" fillId="0" borderId="1" xfId="0" applyNumberFormat="1" applyFont="1" applyBorder="1" applyAlignment="1" applyProtection="1">
      <alignment horizontal="right"/>
      <protection locked="0"/>
    </xf>
    <xf numFmtId="1" fontId="16" fillId="7" borderId="0" xfId="0" applyNumberFormat="1" applyFont="1" applyFill="1" applyAlignment="1">
      <alignment horizontal="right"/>
    </xf>
    <xf numFmtId="1" fontId="16" fillId="7" borderId="14" xfId="0" applyNumberFormat="1" applyFont="1" applyFill="1" applyBorder="1" applyAlignment="1">
      <alignment horizontal="right"/>
    </xf>
    <xf numFmtId="0" fontId="26" fillId="9" borderId="1" xfId="0" applyFont="1" applyFill="1" applyBorder="1" applyAlignment="1" applyProtection="1">
      <alignment horizontal="right"/>
      <protection locked="0"/>
    </xf>
    <xf numFmtId="0" fontId="12" fillId="7" borderId="0" xfId="0" applyFont="1" applyFill="1" applyAlignment="1">
      <alignment horizontal="right"/>
    </xf>
    <xf numFmtId="0" fontId="12" fillId="7" borderId="14" xfId="0" applyFont="1" applyFill="1" applyBorder="1" applyAlignment="1">
      <alignment horizontal="right"/>
    </xf>
    <xf numFmtId="9" fontId="23" fillId="0" borderId="1" xfId="0" applyNumberFormat="1" applyFont="1" applyBorder="1" applyAlignment="1" applyProtection="1">
      <alignment horizontal="center"/>
      <protection locked="0"/>
    </xf>
    <xf numFmtId="9" fontId="23" fillId="7" borderId="0" xfId="0" applyNumberFormat="1" applyFont="1" applyFill="1" applyAlignment="1">
      <alignment horizontal="center"/>
    </xf>
    <xf numFmtId="9" fontId="23" fillId="7" borderId="14" xfId="0" applyNumberFormat="1" applyFont="1" applyFill="1" applyBorder="1" applyAlignment="1">
      <alignment horizontal="center"/>
    </xf>
    <xf numFmtId="3" fontId="32" fillId="10" borderId="26" xfId="0" applyNumberFormat="1" applyFont="1" applyFill="1" applyBorder="1" applyAlignment="1">
      <alignment horizontal="right"/>
    </xf>
    <xf numFmtId="10" fontId="23" fillId="0" borderId="1" xfId="0" applyNumberFormat="1" applyFont="1" applyBorder="1" applyAlignment="1" applyProtection="1">
      <alignment horizontal="center"/>
      <protection locked="0"/>
    </xf>
    <xf numFmtId="10" fontId="23" fillId="7" borderId="0" xfId="0" applyNumberFormat="1" applyFont="1" applyFill="1" applyAlignment="1">
      <alignment horizontal="center"/>
    </xf>
    <xf numFmtId="10" fontId="23" fillId="7" borderId="14" xfId="0" applyNumberFormat="1" applyFont="1" applyFill="1" applyBorder="1" applyAlignment="1">
      <alignment horizontal="center"/>
    </xf>
    <xf numFmtId="0" fontId="6" fillId="9" borderId="6" xfId="0" applyFont="1" applyFill="1" applyBorder="1"/>
    <xf numFmtId="168" fontId="16" fillId="0" borderId="1" xfId="0" applyNumberFormat="1" applyFont="1" applyBorder="1" applyAlignment="1" applyProtection="1">
      <alignment horizontal="right"/>
      <protection locked="0"/>
    </xf>
    <xf numFmtId="168" fontId="16" fillId="7" borderId="0" xfId="0" applyNumberFormat="1" applyFont="1" applyFill="1" applyAlignment="1">
      <alignment horizontal="right"/>
    </xf>
    <xf numFmtId="168" fontId="16" fillId="7" borderId="14" xfId="0" applyNumberFormat="1" applyFont="1" applyFill="1" applyBorder="1" applyAlignment="1">
      <alignment horizontal="right"/>
    </xf>
    <xf numFmtId="165" fontId="16" fillId="0" borderId="1" xfId="0" applyNumberFormat="1" applyFont="1" applyBorder="1" applyAlignment="1" applyProtection="1">
      <alignment horizontal="center"/>
      <protection locked="0"/>
    </xf>
    <xf numFmtId="165" fontId="16" fillId="7" borderId="0" xfId="0" applyNumberFormat="1" applyFont="1" applyFill="1" applyAlignment="1">
      <alignment horizontal="center"/>
    </xf>
    <xf numFmtId="165" fontId="16" fillId="7" borderId="14" xfId="0" applyNumberFormat="1" applyFont="1" applyFill="1" applyBorder="1" applyAlignment="1">
      <alignment horizontal="center"/>
    </xf>
    <xf numFmtId="3" fontId="12" fillId="10" borderId="38" xfId="0" applyNumberFormat="1" applyFont="1" applyFill="1" applyBorder="1" applyAlignment="1">
      <alignment horizontal="left"/>
    </xf>
    <xf numFmtId="3" fontId="26" fillId="10" borderId="1" xfId="0" applyNumberFormat="1" applyFont="1" applyFill="1" applyBorder="1" applyAlignment="1" applyProtection="1">
      <alignment horizontal="center"/>
      <protection locked="0"/>
    </xf>
    <xf numFmtId="3" fontId="6" fillId="3" borderId="7" xfId="0" applyNumberFormat="1" applyFont="1" applyFill="1" applyBorder="1" applyAlignment="1">
      <alignment horizontal="left"/>
    </xf>
    <xf numFmtId="0" fontId="26" fillId="0" borderId="1" xfId="0" applyFont="1" applyBorder="1" applyProtection="1">
      <protection locked="0"/>
    </xf>
    <xf numFmtId="0" fontId="18" fillId="7" borderId="0" xfId="0" applyFont="1" applyFill="1"/>
    <xf numFmtId="0" fontId="18" fillId="7" borderId="14" xfId="0" applyFont="1" applyFill="1" applyBorder="1"/>
    <xf numFmtId="0" fontId="26" fillId="9" borderId="1" xfId="0" applyFont="1" applyFill="1" applyBorder="1" applyAlignment="1" applyProtection="1">
      <alignment horizontal="left"/>
      <protection locked="0"/>
    </xf>
    <xf numFmtId="0" fontId="18" fillId="7" borderId="0" xfId="0" applyFont="1" applyFill="1" applyAlignment="1">
      <alignment horizontal="left"/>
    </xf>
    <xf numFmtId="0" fontId="18" fillId="7" borderId="14" xfId="0" applyFont="1" applyFill="1" applyBorder="1" applyAlignment="1">
      <alignment horizontal="left"/>
    </xf>
    <xf numFmtId="1" fontId="19" fillId="7" borderId="0" xfId="0" applyNumberFormat="1" applyFont="1" applyFill="1" applyAlignment="1">
      <alignment horizontal="right"/>
    </xf>
    <xf numFmtId="1" fontId="19" fillId="7" borderId="14" xfId="0" applyNumberFormat="1" applyFont="1" applyFill="1" applyBorder="1" applyAlignment="1">
      <alignment horizontal="right"/>
    </xf>
    <xf numFmtId="0" fontId="18" fillId="7" borderId="0" xfId="0" applyFont="1" applyFill="1" applyAlignment="1">
      <alignment horizontal="right"/>
    </xf>
    <xf numFmtId="0" fontId="18" fillId="7" borderId="14" xfId="0" applyFont="1" applyFill="1" applyBorder="1" applyAlignment="1">
      <alignment horizontal="right"/>
    </xf>
    <xf numFmtId="9" fontId="27" fillId="7" borderId="0" xfId="0" applyNumberFormat="1" applyFont="1" applyFill="1" applyAlignment="1">
      <alignment horizontal="center"/>
    </xf>
    <xf numFmtId="9" fontId="27" fillId="7" borderId="14" xfId="0" applyNumberFormat="1" applyFont="1" applyFill="1" applyBorder="1" applyAlignment="1">
      <alignment horizontal="center"/>
    </xf>
    <xf numFmtId="10" fontId="27" fillId="7" borderId="0" xfId="0" applyNumberFormat="1" applyFont="1" applyFill="1" applyAlignment="1">
      <alignment horizontal="center"/>
    </xf>
    <xf numFmtId="10" fontId="27" fillId="7" borderId="14" xfId="0" applyNumberFormat="1" applyFont="1" applyFill="1" applyBorder="1" applyAlignment="1">
      <alignment horizontal="center"/>
    </xf>
    <xf numFmtId="168" fontId="19" fillId="7" borderId="0" xfId="0" applyNumberFormat="1" applyFont="1" applyFill="1" applyAlignment="1">
      <alignment horizontal="right"/>
    </xf>
    <xf numFmtId="168" fontId="19" fillId="7" borderId="14" xfId="0" applyNumberFormat="1" applyFont="1" applyFill="1" applyBorder="1" applyAlignment="1">
      <alignment horizontal="right"/>
    </xf>
    <xf numFmtId="165" fontId="19" fillId="7" borderId="0" xfId="0" applyNumberFormat="1" applyFont="1" applyFill="1" applyAlignment="1">
      <alignment horizontal="center"/>
    </xf>
    <xf numFmtId="165" fontId="19" fillId="7" borderId="14" xfId="0" applyNumberFormat="1" applyFont="1" applyFill="1" applyBorder="1" applyAlignment="1">
      <alignment horizontal="center"/>
    </xf>
    <xf numFmtId="0" fontId="0" fillId="9" borderId="21" xfId="0" applyFill="1" applyBorder="1" applyAlignment="1">
      <alignment horizontal="left"/>
    </xf>
    <xf numFmtId="0" fontId="16" fillId="0" borderId="0" xfId="0" applyFont="1" applyProtection="1">
      <protection locked="0"/>
    </xf>
    <xf numFmtId="168" fontId="19" fillId="7" borderId="0" xfId="0" applyNumberFormat="1" applyFont="1" applyFill="1" applyAlignment="1">
      <alignment horizontal="center"/>
    </xf>
    <xf numFmtId="168" fontId="19" fillId="7" borderId="14" xfId="0" applyNumberFormat="1" applyFont="1" applyFill="1" applyBorder="1" applyAlignment="1">
      <alignment horizontal="center"/>
    </xf>
    <xf numFmtId="165" fontId="16" fillId="0" borderId="1" xfId="5" applyNumberFormat="1" applyFont="1" applyFill="1" applyBorder="1" applyAlignment="1" applyProtection="1">
      <alignment horizontal="center"/>
      <protection locked="0"/>
    </xf>
    <xf numFmtId="0" fontId="0" fillId="7" borderId="27" xfId="0" applyFill="1" applyBorder="1"/>
    <xf numFmtId="0" fontId="6" fillId="9" borderId="0" xfId="0" applyFont="1" applyFill="1" applyAlignment="1">
      <alignment horizontal="center"/>
    </xf>
    <xf numFmtId="0" fontId="6" fillId="3" borderId="13" xfId="0" applyFont="1" applyFill="1" applyBorder="1" applyAlignment="1">
      <alignment horizontal="center"/>
    </xf>
    <xf numFmtId="0" fontId="16" fillId="7" borderId="14" xfId="0" applyFont="1" applyFill="1" applyBorder="1" applyAlignment="1">
      <alignment horizontal="center"/>
    </xf>
    <xf numFmtId="3" fontId="6" fillId="10" borderId="13" xfId="0" applyNumberFormat="1" applyFont="1" applyFill="1" applyBorder="1" applyAlignment="1">
      <alignment horizontal="left"/>
    </xf>
    <xf numFmtId="0" fontId="17" fillId="0" borderId="1" xfId="0" applyFont="1" applyBorder="1" applyProtection="1">
      <protection locked="0"/>
    </xf>
    <xf numFmtId="3" fontId="16" fillId="7" borderId="14" xfId="0" applyNumberFormat="1" applyFont="1" applyFill="1" applyBorder="1" applyAlignment="1">
      <alignment horizontal="right"/>
    </xf>
    <xf numFmtId="4" fontId="6" fillId="9" borderId="0" xfId="0" applyNumberFormat="1" applyFont="1" applyFill="1" applyAlignment="1">
      <alignment horizontal="center"/>
    </xf>
    <xf numFmtId="0" fontId="26" fillId="9" borderId="1" xfId="0" applyFont="1" applyFill="1" applyBorder="1" applyAlignment="1" applyProtection="1">
      <alignment horizontal="center"/>
      <protection locked="0"/>
    </xf>
    <xf numFmtId="3" fontId="12" fillId="9" borderId="0" xfId="0" applyNumberFormat="1" applyFont="1" applyFill="1" applyAlignment="1">
      <alignment horizontal="right"/>
    </xf>
    <xf numFmtId="9" fontId="33" fillId="7" borderId="0" xfId="5" applyFont="1" applyFill="1" applyBorder="1" applyAlignment="1" applyProtection="1">
      <alignment horizontal="center"/>
    </xf>
    <xf numFmtId="9" fontId="33" fillId="7" borderId="14" xfId="5" applyFont="1" applyFill="1" applyBorder="1" applyAlignment="1" applyProtection="1">
      <alignment horizontal="center"/>
    </xf>
    <xf numFmtId="10" fontId="34" fillId="9" borderId="0" xfId="5" applyNumberFormat="1" applyFont="1" applyFill="1" applyBorder="1" applyAlignment="1" applyProtection="1">
      <alignment horizontal="right"/>
    </xf>
    <xf numFmtId="3" fontId="34" fillId="10" borderId="13" xfId="0" applyNumberFormat="1" applyFont="1" applyFill="1" applyBorder="1" applyAlignment="1">
      <alignment horizontal="left"/>
    </xf>
    <xf numFmtId="10" fontId="33" fillId="7" borderId="0" xfId="5" applyNumberFormat="1" applyFont="1" applyFill="1" applyBorder="1" applyAlignment="1" applyProtection="1">
      <alignment horizontal="center"/>
    </xf>
    <xf numFmtId="10" fontId="33" fillId="7" borderId="14" xfId="5" applyNumberFormat="1" applyFont="1" applyFill="1" applyBorder="1" applyAlignment="1" applyProtection="1">
      <alignment horizontal="center"/>
    </xf>
    <xf numFmtId="3" fontId="11" fillId="10" borderId="13" xfId="0" applyNumberFormat="1" applyFont="1" applyFill="1" applyBorder="1" applyAlignment="1">
      <alignment horizontal="left"/>
    </xf>
    <xf numFmtId="3" fontId="16" fillId="7" borderId="0" xfId="5" applyNumberFormat="1" applyFont="1" applyFill="1" applyBorder="1" applyAlignment="1" applyProtection="1">
      <alignment horizontal="center"/>
    </xf>
    <xf numFmtId="3" fontId="16" fillId="7" borderId="14" xfId="5" applyNumberFormat="1" applyFont="1" applyFill="1" applyBorder="1" applyAlignment="1" applyProtection="1">
      <alignment horizontal="center"/>
    </xf>
    <xf numFmtId="3" fontId="16" fillId="0" borderId="1" xfId="5" applyNumberFormat="1" applyFont="1" applyFill="1" applyBorder="1" applyAlignment="1" applyProtection="1">
      <alignment horizontal="center"/>
      <protection locked="0"/>
    </xf>
    <xf numFmtId="3" fontId="16" fillId="10" borderId="1" xfId="5" applyNumberFormat="1" applyFont="1" applyFill="1" applyBorder="1" applyAlignment="1" applyProtection="1">
      <alignment horizontal="center"/>
    </xf>
    <xf numFmtId="10" fontId="19" fillId="7" borderId="0" xfId="5" applyNumberFormat="1" applyFont="1" applyFill="1" applyBorder="1" applyAlignment="1" applyProtection="1">
      <alignment horizontal="center"/>
    </xf>
    <xf numFmtId="10" fontId="19" fillId="7" borderId="14" xfId="5" applyNumberFormat="1" applyFont="1" applyFill="1" applyBorder="1" applyAlignment="1" applyProtection="1">
      <alignment horizontal="center"/>
    </xf>
    <xf numFmtId="10" fontId="16" fillId="0" borderId="1" xfId="5" applyNumberFormat="1" applyFont="1" applyFill="1" applyBorder="1" applyAlignment="1" applyProtection="1">
      <alignment horizontal="center"/>
      <protection locked="0"/>
    </xf>
    <xf numFmtId="9" fontId="16" fillId="7" borderId="14" xfId="5" applyFont="1" applyFill="1" applyBorder="1" applyAlignment="1" applyProtection="1">
      <alignment horizontal="center"/>
    </xf>
    <xf numFmtId="10" fontId="6" fillId="9" borderId="0" xfId="5" applyNumberFormat="1" applyFont="1" applyFill="1" applyBorder="1" applyAlignment="1" applyProtection="1">
      <alignment horizontal="right"/>
    </xf>
    <xf numFmtId="9" fontId="16" fillId="0" borderId="1" xfId="5" applyFont="1" applyFill="1" applyBorder="1" applyAlignment="1" applyProtection="1">
      <alignment horizontal="center"/>
      <protection locked="0"/>
    </xf>
    <xf numFmtId="10" fontId="16" fillId="7" borderId="0" xfId="5" applyNumberFormat="1" applyFont="1" applyFill="1" applyBorder="1" applyAlignment="1" applyProtection="1"/>
    <xf numFmtId="10" fontId="16" fillId="7" borderId="14" xfId="5" applyNumberFormat="1" applyFont="1" applyFill="1" applyBorder="1" applyAlignment="1" applyProtection="1"/>
    <xf numFmtId="10" fontId="16" fillId="9" borderId="0" xfId="5" applyNumberFormat="1" applyFont="1" applyFill="1" applyBorder="1" applyAlignment="1" applyProtection="1"/>
    <xf numFmtId="0" fontId="12" fillId="7" borderId="31" xfId="0" applyFont="1" applyFill="1" applyBorder="1"/>
    <xf numFmtId="10" fontId="16" fillId="7" borderId="31" xfId="5" applyNumberFormat="1" applyFont="1" applyFill="1" applyBorder="1" applyAlignment="1" applyProtection="1"/>
    <xf numFmtId="10" fontId="16" fillId="7" borderId="32" xfId="5" applyNumberFormat="1" applyFont="1" applyFill="1" applyBorder="1" applyAlignment="1" applyProtection="1"/>
    <xf numFmtId="3" fontId="12" fillId="10" borderId="61" xfId="0" applyNumberFormat="1" applyFont="1" applyFill="1" applyBorder="1" applyAlignment="1">
      <alignment horizontal="left"/>
    </xf>
    <xf numFmtId="3" fontId="16" fillId="0" borderId="43" xfId="0" applyNumberFormat="1" applyFont="1" applyBorder="1" applyAlignment="1">
      <alignment horizontal="center"/>
    </xf>
    <xf numFmtId="0" fontId="16" fillId="7" borderId="31" xfId="0" applyFont="1" applyFill="1" applyBorder="1" applyAlignment="1">
      <alignment horizontal="center"/>
    </xf>
    <xf numFmtId="3" fontId="12" fillId="10" borderId="28" xfId="0" applyNumberFormat="1" applyFont="1" applyFill="1" applyBorder="1" applyAlignment="1">
      <alignment horizontal="center"/>
    </xf>
    <xf numFmtId="3" fontId="6" fillId="3" borderId="13" xfId="0" applyNumberFormat="1" applyFont="1" applyFill="1" applyBorder="1" applyAlignment="1">
      <alignment horizontal="center"/>
    </xf>
    <xf numFmtId="0" fontId="19" fillId="0" borderId="1" xfId="0" applyFont="1" applyBorder="1" applyAlignment="1">
      <alignment horizontal="center"/>
    </xf>
    <xf numFmtId="0" fontId="19" fillId="0" borderId="23" xfId="0" applyFont="1" applyBorder="1" applyAlignment="1">
      <alignment horizontal="center"/>
    </xf>
    <xf numFmtId="0" fontId="12" fillId="9" borderId="1" xfId="0" applyFont="1" applyFill="1" applyBorder="1" applyAlignment="1">
      <alignment horizontal="center"/>
    </xf>
    <xf numFmtId="0" fontId="12" fillId="9" borderId="23" xfId="0" applyFont="1" applyFill="1" applyBorder="1" applyAlignment="1">
      <alignment horizontal="center"/>
    </xf>
    <xf numFmtId="3" fontId="19" fillId="0" borderId="1" xfId="0" applyNumberFormat="1" applyFont="1" applyBorder="1" applyAlignment="1">
      <alignment horizontal="right"/>
    </xf>
    <xf numFmtId="3" fontId="19" fillId="0" borderId="23" xfId="0" applyNumberFormat="1" applyFont="1" applyBorder="1" applyAlignment="1">
      <alignment horizontal="right"/>
    </xf>
    <xf numFmtId="9" fontId="35" fillId="0" borderId="1" xfId="5" applyFont="1" applyFill="1" applyBorder="1" applyAlignment="1" applyProtection="1">
      <alignment horizontal="center"/>
    </xf>
    <xf numFmtId="9" fontId="35" fillId="0" borderId="23" xfId="5" applyFont="1" applyFill="1" applyBorder="1" applyAlignment="1" applyProtection="1">
      <alignment horizontal="center"/>
    </xf>
    <xf numFmtId="10" fontId="35" fillId="0" borderId="1" xfId="5" applyNumberFormat="1" applyFont="1" applyFill="1" applyBorder="1" applyAlignment="1" applyProtection="1">
      <alignment horizontal="center"/>
    </xf>
    <xf numFmtId="10" fontId="35" fillId="0" borderId="23" xfId="5" applyNumberFormat="1" applyFont="1" applyFill="1" applyBorder="1" applyAlignment="1" applyProtection="1">
      <alignment horizontal="center"/>
    </xf>
    <xf numFmtId="3" fontId="19" fillId="0" borderId="1" xfId="5" applyNumberFormat="1" applyFont="1" applyFill="1" applyBorder="1" applyAlignment="1" applyProtection="1">
      <alignment horizontal="center"/>
    </xf>
    <xf numFmtId="3" fontId="19" fillId="0" borderId="23" xfId="5" applyNumberFormat="1" applyFont="1" applyFill="1" applyBorder="1" applyAlignment="1" applyProtection="1">
      <alignment horizontal="center"/>
    </xf>
    <xf numFmtId="10" fontId="19" fillId="0" borderId="1" xfId="5" applyNumberFormat="1" applyFont="1" applyFill="1" applyBorder="1" applyAlignment="1" applyProtection="1">
      <alignment horizontal="center"/>
    </xf>
    <xf numFmtId="10" fontId="19" fillId="0" borderId="23" xfId="5" applyNumberFormat="1" applyFont="1" applyFill="1" applyBorder="1" applyAlignment="1" applyProtection="1">
      <alignment horizontal="center"/>
    </xf>
    <xf numFmtId="9" fontId="19" fillId="0" borderId="1" xfId="5" applyFont="1" applyFill="1" applyBorder="1" applyAlignment="1" applyProtection="1">
      <alignment horizontal="center"/>
    </xf>
    <xf numFmtId="9" fontId="19" fillId="0" borderId="23" xfId="5" applyFont="1" applyFill="1" applyBorder="1" applyAlignment="1" applyProtection="1">
      <alignment horizontal="center"/>
    </xf>
    <xf numFmtId="0" fontId="16" fillId="0" borderId="1" xfId="0" applyFont="1" applyBorder="1" applyAlignment="1">
      <alignment horizontal="center"/>
    </xf>
    <xf numFmtId="3" fontId="12" fillId="10" borderId="23" xfId="0" applyNumberFormat="1" applyFont="1" applyFill="1" applyBorder="1" applyAlignment="1">
      <alignment horizontal="center"/>
    </xf>
    <xf numFmtId="0" fontId="12" fillId="7" borderId="38" xfId="0" applyFont="1" applyFill="1" applyBorder="1"/>
    <xf numFmtId="3" fontId="16" fillId="0" borderId="2" xfId="0" applyNumberFormat="1" applyFont="1" applyBorder="1" applyAlignment="1">
      <alignment horizontal="center"/>
    </xf>
    <xf numFmtId="0" fontId="0" fillId="7" borderId="38" xfId="0" applyFill="1" applyBorder="1"/>
    <xf numFmtId="0" fontId="6" fillId="10" borderId="62" xfId="0" applyFont="1" applyFill="1" applyBorder="1" applyAlignment="1">
      <alignment horizontal="center" vertical="center"/>
    </xf>
    <xf numFmtId="0" fontId="6" fillId="7" borderId="0" xfId="0" applyFont="1" applyFill="1" applyAlignment="1">
      <alignment horizontal="center" vertical="center"/>
    </xf>
    <xf numFmtId="9" fontId="16" fillId="0" borderId="1" xfId="5" applyFont="1" applyFill="1" applyBorder="1" applyAlignment="1" applyProtection="1">
      <alignment horizontal="center" vertical="center"/>
    </xf>
    <xf numFmtId="9" fontId="19" fillId="7" borderId="0" xfId="5" applyFont="1" applyFill="1" applyBorder="1" applyAlignment="1" applyProtection="1">
      <alignment horizontal="center" vertical="center"/>
    </xf>
    <xf numFmtId="9" fontId="16" fillId="0" borderId="3" xfId="5" applyFont="1" applyFill="1" applyBorder="1" applyAlignment="1" applyProtection="1">
      <alignment horizontal="center" vertical="center"/>
    </xf>
    <xf numFmtId="0" fontId="0" fillId="9" borderId="24" xfId="0" applyFill="1" applyBorder="1"/>
    <xf numFmtId="3" fontId="6" fillId="10" borderId="7" xfId="0" applyNumberFormat="1" applyFont="1" applyFill="1" applyBorder="1" applyAlignment="1">
      <alignment horizontal="left"/>
    </xf>
    <xf numFmtId="9" fontId="16" fillId="0" borderId="28" xfId="5" applyFont="1" applyFill="1" applyBorder="1" applyAlignment="1" applyProtection="1">
      <alignment horizontal="right"/>
    </xf>
    <xf numFmtId="3" fontId="7" fillId="3" borderId="37" xfId="0" applyNumberFormat="1" applyFont="1" applyFill="1" applyBorder="1"/>
    <xf numFmtId="9" fontId="19" fillId="0" borderId="1" xfId="5" applyFont="1" applyFill="1" applyBorder="1" applyAlignment="1" applyProtection="1">
      <alignment horizontal="right"/>
    </xf>
    <xf numFmtId="10" fontId="19" fillId="0" borderId="1" xfId="5" applyNumberFormat="1" applyFont="1" applyFill="1" applyBorder="1" applyAlignment="1" applyProtection="1">
      <alignment horizontal="right"/>
    </xf>
    <xf numFmtId="3" fontId="7" fillId="3" borderId="13" xfId="0" applyNumberFormat="1" applyFont="1" applyFill="1" applyBorder="1"/>
    <xf numFmtId="0" fontId="0" fillId="9" borderId="31" xfId="0" applyFill="1" applyBorder="1"/>
    <xf numFmtId="0" fontId="0" fillId="9" borderId="12" xfId="0" applyFill="1" applyBorder="1"/>
    <xf numFmtId="0" fontId="0" fillId="9" borderId="14" xfId="0" applyFill="1" applyBorder="1"/>
    <xf numFmtId="3" fontId="15" fillId="9" borderId="0" xfId="1" applyNumberFormat="1" applyFill="1" applyBorder="1" applyAlignment="1" applyProtection="1"/>
    <xf numFmtId="0" fontId="16" fillId="7" borderId="0" xfId="0" applyFont="1" applyFill="1" applyAlignment="1" applyProtection="1">
      <alignment horizontal="center"/>
      <protection locked="0"/>
    </xf>
    <xf numFmtId="9" fontId="6" fillId="10" borderId="63" xfId="5" applyFont="1" applyFill="1" applyBorder="1" applyAlignment="1" applyProtection="1">
      <alignment horizontal="center"/>
    </xf>
    <xf numFmtId="9" fontId="6" fillId="10" borderId="30" xfId="5" applyFont="1" applyFill="1" applyBorder="1" applyAlignment="1" applyProtection="1">
      <alignment horizontal="center"/>
    </xf>
    <xf numFmtId="3" fontId="6" fillId="10" borderId="30" xfId="0" applyNumberFormat="1" applyFont="1" applyFill="1" applyBorder="1" applyAlignment="1">
      <alignment horizontal="center"/>
    </xf>
    <xf numFmtId="1" fontId="6" fillId="10" borderId="10" xfId="0" applyNumberFormat="1" applyFont="1" applyFill="1" applyBorder="1" applyAlignment="1">
      <alignment horizontal="center"/>
    </xf>
    <xf numFmtId="1" fontId="6" fillId="10" borderId="10" xfId="4" applyNumberFormat="1" applyFont="1" applyFill="1" applyBorder="1" applyAlignment="1" applyProtection="1">
      <alignment horizontal="center"/>
    </xf>
    <xf numFmtId="9" fontId="16" fillId="7" borderId="0" xfId="5" applyFont="1" applyFill="1" applyBorder="1" applyAlignment="1" applyProtection="1">
      <alignment horizontal="center"/>
      <protection locked="0"/>
    </xf>
    <xf numFmtId="9" fontId="16" fillId="10" borderId="1" xfId="5" applyFont="1" applyFill="1" applyBorder="1" applyAlignment="1" applyProtection="1">
      <alignment horizontal="center"/>
      <protection locked="0"/>
    </xf>
    <xf numFmtId="9" fontId="17" fillId="10" borderId="1" xfId="5" applyFont="1" applyFill="1" applyBorder="1" applyAlignment="1" applyProtection="1">
      <protection locked="0"/>
    </xf>
    <xf numFmtId="9" fontId="16" fillId="10" borderId="1" xfId="0" applyNumberFormat="1" applyFont="1" applyFill="1" applyBorder="1" applyAlignment="1" applyProtection="1">
      <alignment horizontal="center"/>
      <protection locked="0"/>
    </xf>
    <xf numFmtId="3" fontId="12" fillId="7" borderId="29" xfId="0" applyNumberFormat="1" applyFont="1" applyFill="1" applyBorder="1"/>
    <xf numFmtId="0" fontId="6" fillId="3" borderId="10" xfId="0" applyFont="1" applyFill="1" applyBorder="1"/>
    <xf numFmtId="3" fontId="6" fillId="0" borderId="11" xfId="0" applyNumberFormat="1" applyFont="1" applyBorder="1"/>
    <xf numFmtId="3" fontId="16" fillId="0" borderId="21" xfId="0" applyNumberFormat="1" applyFont="1" applyBorder="1" applyProtection="1">
      <protection locked="0"/>
    </xf>
    <xf numFmtId="3" fontId="16" fillId="0" borderId="35" xfId="0" applyNumberFormat="1" applyFont="1" applyBorder="1" applyProtection="1">
      <protection locked="0"/>
    </xf>
    <xf numFmtId="3" fontId="16" fillId="0" borderId="26" xfId="0" applyNumberFormat="1" applyFont="1" applyBorder="1" applyProtection="1">
      <protection locked="0"/>
    </xf>
    <xf numFmtId="3" fontId="16" fillId="0" borderId="59" xfId="0" applyNumberFormat="1" applyFont="1" applyBorder="1" applyProtection="1">
      <protection locked="0"/>
    </xf>
    <xf numFmtId="3" fontId="23" fillId="0" borderId="6" xfId="0" applyNumberFormat="1" applyFont="1" applyBorder="1" applyProtection="1">
      <protection locked="0"/>
    </xf>
    <xf numFmtId="3" fontId="6" fillId="0" borderId="64" xfId="0" applyNumberFormat="1" applyFont="1" applyBorder="1"/>
    <xf numFmtId="3" fontId="22" fillId="10" borderId="13" xfId="0" applyNumberFormat="1" applyFont="1" applyFill="1" applyBorder="1" applyAlignment="1">
      <alignment horizontal="right"/>
    </xf>
    <xf numFmtId="3" fontId="23" fillId="0" borderId="65" xfId="0" applyNumberFormat="1" applyFont="1" applyBorder="1" applyProtection="1">
      <protection locked="0"/>
    </xf>
    <xf numFmtId="3" fontId="23" fillId="0" borderId="21" xfId="0" applyNumberFormat="1" applyFont="1" applyBorder="1" applyProtection="1">
      <protection locked="0"/>
    </xf>
    <xf numFmtId="3" fontId="23" fillId="0" borderId="35" xfId="0" applyNumberFormat="1" applyFont="1" applyBorder="1" applyProtection="1">
      <protection locked="0"/>
    </xf>
    <xf numFmtId="3" fontId="16" fillId="0" borderId="27" xfId="0" applyNumberFormat="1" applyFont="1" applyBorder="1" applyProtection="1">
      <protection locked="0"/>
    </xf>
    <xf numFmtId="3" fontId="16" fillId="0" borderId="60" xfId="0" applyNumberFormat="1" applyFont="1" applyBorder="1" applyProtection="1">
      <protection locked="0"/>
    </xf>
    <xf numFmtId="3" fontId="12" fillId="10" borderId="13" xfId="0" applyNumberFormat="1" applyFont="1" applyFill="1" applyBorder="1" applyAlignment="1">
      <alignment horizontal="right"/>
    </xf>
    <xf numFmtId="3" fontId="6" fillId="0" borderId="8" xfId="0" applyNumberFormat="1" applyFont="1" applyBorder="1"/>
    <xf numFmtId="3" fontId="6" fillId="0" borderId="10" xfId="0" applyNumberFormat="1" applyFont="1" applyBorder="1"/>
    <xf numFmtId="3" fontId="16" fillId="0" borderId="2" xfId="0" applyNumberFormat="1" applyFont="1" applyBorder="1" applyProtection="1">
      <protection locked="0"/>
    </xf>
    <xf numFmtId="0" fontId="0" fillId="7" borderId="9" xfId="0" applyFill="1" applyBorder="1"/>
    <xf numFmtId="0" fontId="0" fillId="0" borderId="14" xfId="0" applyBorder="1"/>
    <xf numFmtId="4" fontId="26" fillId="0" borderId="28" xfId="0" applyNumberFormat="1" applyFont="1" applyBorder="1" applyProtection="1">
      <protection locked="0"/>
    </xf>
    <xf numFmtId="4" fontId="26" fillId="0" borderId="22" xfId="0" applyNumberFormat="1" applyFont="1" applyBorder="1" applyProtection="1">
      <protection locked="0"/>
    </xf>
    <xf numFmtId="4" fontId="26" fillId="0" borderId="0" xfId="0" applyNumberFormat="1" applyFont="1" applyProtection="1">
      <protection locked="0"/>
    </xf>
    <xf numFmtId="4" fontId="26" fillId="0" borderId="1" xfId="0" applyNumberFormat="1" applyFont="1" applyBorder="1" applyProtection="1">
      <protection locked="0"/>
    </xf>
    <xf numFmtId="4" fontId="26" fillId="0" borderId="23" xfId="0" applyNumberFormat="1" applyFont="1" applyBorder="1" applyProtection="1">
      <protection locked="0"/>
    </xf>
    <xf numFmtId="4" fontId="26" fillId="12" borderId="3" xfId="0" applyNumberFormat="1" applyFont="1" applyFill="1" applyBorder="1" applyProtection="1">
      <protection locked="0"/>
    </xf>
    <xf numFmtId="4" fontId="26" fillId="12" borderId="42" xfId="0" applyNumberFormat="1" applyFont="1" applyFill="1" applyBorder="1" applyProtection="1">
      <protection locked="0"/>
    </xf>
    <xf numFmtId="4" fontId="26" fillId="0" borderId="40" xfId="0" applyNumberFormat="1" applyFont="1" applyBorder="1" applyProtection="1">
      <protection locked="0"/>
    </xf>
    <xf numFmtId="4" fontId="26" fillId="0" borderId="41" xfId="0" applyNumberFormat="1" applyFont="1" applyBorder="1" applyProtection="1">
      <protection locked="0"/>
    </xf>
    <xf numFmtId="4" fontId="26" fillId="0" borderId="43" xfId="0" applyNumberFormat="1" applyFont="1" applyBorder="1" applyProtection="1">
      <protection locked="0"/>
    </xf>
    <xf numFmtId="4" fontId="26" fillId="0" borderId="44" xfId="0" applyNumberFormat="1" applyFont="1" applyBorder="1" applyProtection="1">
      <protection locked="0"/>
    </xf>
    <xf numFmtId="4" fontId="26" fillId="0" borderId="19" xfId="0" applyNumberFormat="1" applyFont="1" applyBorder="1" applyProtection="1">
      <protection locked="0"/>
    </xf>
    <xf numFmtId="4" fontId="26" fillId="0" borderId="20" xfId="0" applyNumberFormat="1" applyFont="1" applyBorder="1" applyProtection="1">
      <protection locked="0"/>
    </xf>
    <xf numFmtId="0" fontId="0" fillId="0" borderId="32" xfId="0" applyBorder="1"/>
    <xf numFmtId="4" fontId="6" fillId="3" borderId="3" xfId="0" applyNumberFormat="1" applyFont="1" applyFill="1" applyBorder="1" applyAlignment="1">
      <alignment horizontal="center"/>
    </xf>
    <xf numFmtId="4" fontId="6" fillId="3" borderId="42" xfId="0" applyNumberFormat="1" applyFont="1" applyFill="1" applyBorder="1" applyAlignment="1">
      <alignment horizontal="center"/>
    </xf>
    <xf numFmtId="4" fontId="6" fillId="10" borderId="7" xfId="0" applyNumberFormat="1" applyFont="1" applyFill="1" applyBorder="1"/>
    <xf numFmtId="3" fontId="6" fillId="0" borderId="23" xfId="0" applyNumberFormat="1" applyFont="1" applyBorder="1"/>
    <xf numFmtId="4" fontId="0" fillId="10" borderId="7" xfId="0" applyNumberFormat="1" applyFill="1" applyBorder="1" applyAlignment="1">
      <alignment horizontal="left" indent="2"/>
    </xf>
    <xf numFmtId="3" fontId="16" fillId="0" borderId="23" xfId="0" applyNumberFormat="1" applyFont="1" applyBorder="1" applyAlignment="1" applyProtection="1">
      <alignment horizontal="right"/>
      <protection locked="0"/>
    </xf>
    <xf numFmtId="4" fontId="6" fillId="10" borderId="29" xfId="0" applyNumberFormat="1" applyFont="1" applyFill="1" applyBorder="1" applyAlignment="1">
      <alignment horizontal="center"/>
    </xf>
    <xf numFmtId="3" fontId="6" fillId="10" borderId="20" xfId="0" applyNumberFormat="1" applyFont="1" applyFill="1" applyBorder="1"/>
    <xf numFmtId="4" fontId="6" fillId="10" borderId="13" xfId="0" applyNumberFormat="1" applyFont="1" applyFill="1" applyBorder="1"/>
    <xf numFmtId="4" fontId="37" fillId="0" borderId="1" xfId="0" applyNumberFormat="1" applyFont="1" applyBorder="1" applyAlignment="1" applyProtection="1">
      <alignment horizontal="center"/>
      <protection locked="0"/>
    </xf>
    <xf numFmtId="4" fontId="37" fillId="0" borderId="23" xfId="0" applyNumberFormat="1" applyFont="1" applyBorder="1" applyAlignment="1" applyProtection="1">
      <alignment horizontal="center"/>
      <protection locked="0"/>
    </xf>
    <xf numFmtId="4" fontId="6" fillId="3" borderId="1" xfId="0" applyNumberFormat="1" applyFont="1" applyFill="1" applyBorder="1" applyAlignment="1">
      <alignment horizontal="center" vertical="center"/>
    </xf>
    <xf numFmtId="4" fontId="0" fillId="10" borderId="13" xfId="0" applyNumberFormat="1" applyFill="1" applyBorder="1" applyAlignment="1">
      <alignment horizontal="left" vertical="center"/>
    </xf>
    <xf numFmtId="4" fontId="6" fillId="10" borderId="13" xfId="0" applyNumberFormat="1" applyFont="1" applyFill="1" applyBorder="1" applyAlignment="1">
      <alignment horizontal="center"/>
    </xf>
    <xf numFmtId="4" fontId="20" fillId="10" borderId="13" xfId="0" applyNumberFormat="1" applyFont="1" applyFill="1" applyBorder="1"/>
    <xf numFmtId="10" fontId="26" fillId="0" borderId="1" xfId="0" applyNumberFormat="1" applyFont="1" applyBorder="1" applyAlignment="1" applyProtection="1">
      <alignment horizontal="center"/>
      <protection locked="0"/>
    </xf>
    <xf numFmtId="4" fontId="38" fillId="0" borderId="1" xfId="0" applyNumberFormat="1" applyFont="1" applyBorder="1" applyAlignment="1" applyProtection="1">
      <alignment horizontal="center"/>
      <protection locked="0"/>
    </xf>
    <xf numFmtId="0" fontId="26" fillId="7" borderId="0" xfId="0" applyFont="1" applyFill="1" applyAlignment="1" applyProtection="1">
      <alignment horizontal="center"/>
      <protection locked="0"/>
    </xf>
    <xf numFmtId="0" fontId="26" fillId="7" borderId="14" xfId="0" applyFont="1" applyFill="1" applyBorder="1" applyAlignment="1" applyProtection="1">
      <alignment horizontal="center"/>
      <protection locked="0"/>
    </xf>
    <xf numFmtId="4" fontId="6" fillId="10" borderId="13" xfId="0" applyNumberFormat="1" applyFont="1" applyFill="1" applyBorder="1" applyAlignment="1">
      <alignment horizontal="center" vertical="center"/>
    </xf>
    <xf numFmtId="4" fontId="6" fillId="3" borderId="23" xfId="0" applyNumberFormat="1" applyFont="1" applyFill="1" applyBorder="1" applyAlignment="1">
      <alignment horizontal="center" vertical="center"/>
    </xf>
    <xf numFmtId="4" fontId="22" fillId="10" borderId="13" xfId="0" applyNumberFormat="1" applyFont="1" applyFill="1" applyBorder="1" applyAlignment="1">
      <alignment horizontal="center" vertical="center"/>
    </xf>
    <xf numFmtId="4" fontId="39" fillId="0" borderId="1" xfId="0" applyNumberFormat="1" applyFont="1" applyBorder="1" applyAlignment="1" applyProtection="1">
      <alignment horizontal="center" vertical="center"/>
      <protection locked="0"/>
    </xf>
    <xf numFmtId="10" fontId="23" fillId="0" borderId="1" xfId="0" applyNumberFormat="1" applyFont="1" applyBorder="1" applyAlignment="1" applyProtection="1">
      <alignment horizontal="center" vertical="center"/>
      <protection locked="0"/>
    </xf>
    <xf numFmtId="0" fontId="26" fillId="7" borderId="31" xfId="0" applyFont="1" applyFill="1" applyBorder="1" applyAlignment="1" applyProtection="1">
      <alignment horizontal="center"/>
      <protection locked="0"/>
    </xf>
    <xf numFmtId="0" fontId="26" fillId="7" borderId="32" xfId="0" applyFont="1" applyFill="1" applyBorder="1" applyAlignment="1" applyProtection="1">
      <alignment horizontal="center"/>
      <protection locked="0"/>
    </xf>
    <xf numFmtId="3" fontId="6" fillId="10" borderId="16" xfId="0" applyNumberFormat="1" applyFont="1" applyFill="1" applyBorder="1" applyAlignment="1">
      <alignment horizontal="center"/>
    </xf>
    <xf numFmtId="165" fontId="6" fillId="10" borderId="28" xfId="5" applyNumberFormat="1" applyFont="1" applyFill="1" applyBorder="1" applyAlignment="1" applyProtection="1">
      <alignment horizontal="center"/>
    </xf>
    <xf numFmtId="165" fontId="6" fillId="10" borderId="37" xfId="0" applyNumberFormat="1" applyFont="1" applyFill="1" applyBorder="1" applyAlignment="1">
      <alignment horizontal="center"/>
    </xf>
    <xf numFmtId="0" fontId="16" fillId="10" borderId="13" xfId="0" applyFont="1" applyFill="1" applyBorder="1" applyAlignment="1" applyProtection="1">
      <alignment horizontal="left"/>
      <protection locked="0"/>
    </xf>
    <xf numFmtId="4" fontId="16" fillId="0" borderId="1" xfId="0" applyNumberFormat="1" applyFont="1" applyBorder="1" applyProtection="1">
      <protection locked="0"/>
    </xf>
    <xf numFmtId="9" fontId="16" fillId="0" borderId="1" xfId="0" applyNumberFormat="1" applyFont="1" applyBorder="1" applyAlignment="1" applyProtection="1">
      <alignment horizontal="center"/>
      <protection locked="0"/>
    </xf>
    <xf numFmtId="10" fontId="16" fillId="7" borderId="0" xfId="0" applyNumberFormat="1" applyFont="1" applyFill="1" applyAlignment="1" applyProtection="1">
      <alignment horizontal="center"/>
      <protection locked="0"/>
    </xf>
    <xf numFmtId="3" fontId="16" fillId="10" borderId="13" xfId="0" applyNumberFormat="1" applyFont="1" applyFill="1" applyBorder="1" applyAlignment="1" applyProtection="1">
      <alignment horizontal="left"/>
      <protection locked="0"/>
    </xf>
    <xf numFmtId="0" fontId="6" fillId="10" borderId="49" xfId="0" applyFont="1" applyFill="1" applyBorder="1" applyAlignment="1">
      <alignment horizontal="center"/>
    </xf>
    <xf numFmtId="0" fontId="6" fillId="10" borderId="23" xfId="0" applyFont="1" applyFill="1" applyBorder="1" applyAlignment="1">
      <alignment horizontal="center"/>
    </xf>
    <xf numFmtId="0" fontId="6" fillId="10" borderId="1" xfId="0" applyFont="1" applyFill="1" applyBorder="1" applyAlignment="1">
      <alignment horizontal="center"/>
    </xf>
    <xf numFmtId="9" fontId="16" fillId="2" borderId="23" xfId="5" applyFont="1" applyFill="1" applyBorder="1" applyAlignment="1" applyProtection="1">
      <alignment horizontal="center"/>
      <protection locked="0"/>
    </xf>
    <xf numFmtId="4" fontId="6" fillId="7" borderId="14" xfId="0" applyNumberFormat="1" applyFont="1" applyFill="1" applyBorder="1"/>
    <xf numFmtId="0" fontId="6" fillId="7" borderId="29" xfId="0" applyFont="1" applyFill="1" applyBorder="1"/>
    <xf numFmtId="165" fontId="19" fillId="7" borderId="31" xfId="5" applyNumberFormat="1" applyFont="1" applyFill="1" applyBorder="1" applyAlignment="1" applyProtection="1">
      <alignment horizontal="center"/>
      <protection locked="0"/>
    </xf>
    <xf numFmtId="165" fontId="19" fillId="7" borderId="32" xfId="5" applyNumberFormat="1" applyFont="1" applyFill="1" applyBorder="1" applyAlignment="1" applyProtection="1">
      <alignment horizontal="center"/>
      <protection locked="0"/>
    </xf>
    <xf numFmtId="0" fontId="40" fillId="4" borderId="5" xfId="0" applyFont="1" applyFill="1" applyBorder="1"/>
    <xf numFmtId="0" fontId="40" fillId="4" borderId="12" xfId="0" applyFont="1" applyFill="1" applyBorder="1"/>
    <xf numFmtId="9" fontId="16" fillId="0" borderId="34" xfId="5" applyFont="1" applyFill="1" applyBorder="1" applyAlignment="1" applyProtection="1">
      <alignment horizontal="right"/>
      <protection locked="0"/>
    </xf>
    <xf numFmtId="10" fontId="16" fillId="0" borderId="28" xfId="5" applyNumberFormat="1" applyFont="1" applyFill="1" applyBorder="1" applyAlignment="1" applyProtection="1">
      <alignment horizontal="right"/>
      <protection locked="0"/>
    </xf>
    <xf numFmtId="165" fontId="16" fillId="7" borderId="0" xfId="5" applyNumberFormat="1" applyFont="1" applyFill="1" applyBorder="1" applyAlignment="1" applyProtection="1">
      <alignment horizontal="center"/>
      <protection locked="0"/>
    </xf>
    <xf numFmtId="3" fontId="16" fillId="0" borderId="58" xfId="0" applyNumberFormat="1" applyFont="1" applyBorder="1" applyAlignment="1" applyProtection="1">
      <alignment horizontal="right"/>
      <protection locked="0"/>
    </xf>
    <xf numFmtId="9" fontId="16" fillId="0" borderId="53" xfId="5" applyFont="1" applyFill="1" applyBorder="1" applyAlignment="1" applyProtection="1">
      <alignment horizontal="right"/>
      <protection locked="0"/>
    </xf>
    <xf numFmtId="9" fontId="16" fillId="0" borderId="2" xfId="5" applyFont="1" applyFill="1" applyBorder="1" applyAlignment="1" applyProtection="1">
      <alignment horizontal="right"/>
      <protection locked="0"/>
    </xf>
    <xf numFmtId="10" fontId="16" fillId="7" borderId="0" xfId="0" applyNumberFormat="1" applyFont="1" applyFill="1" applyAlignment="1" applyProtection="1">
      <alignment horizontal="right"/>
      <protection locked="0"/>
    </xf>
    <xf numFmtId="4" fontId="19" fillId="7" borderId="0" xfId="0" applyNumberFormat="1" applyFont="1" applyFill="1" applyAlignment="1" applyProtection="1">
      <alignment horizontal="right"/>
      <protection locked="0"/>
    </xf>
    <xf numFmtId="0" fontId="7" fillId="10" borderId="23" xfId="0" applyFont="1" applyFill="1" applyBorder="1" applyAlignment="1">
      <alignment horizontal="center"/>
    </xf>
    <xf numFmtId="3" fontId="12" fillId="10" borderId="33" xfId="0" applyNumberFormat="1" applyFont="1" applyFill="1" applyBorder="1"/>
    <xf numFmtId="3" fontId="31" fillId="0" borderId="59" xfId="0" applyNumberFormat="1" applyFont="1" applyBorder="1" applyAlignment="1" applyProtection="1">
      <alignment horizontal="right"/>
      <protection locked="0"/>
    </xf>
    <xf numFmtId="3" fontId="12" fillId="10" borderId="59" xfId="0" applyNumberFormat="1" applyFont="1" applyFill="1" applyBorder="1"/>
    <xf numFmtId="3" fontId="20" fillId="9" borderId="59" xfId="0" applyNumberFormat="1" applyFont="1" applyFill="1" applyBorder="1" applyAlignment="1">
      <alignment horizontal="right"/>
    </xf>
    <xf numFmtId="3" fontId="20" fillId="10" borderId="59" xfId="0" applyNumberFormat="1" applyFont="1" applyFill="1" applyBorder="1" applyAlignment="1">
      <alignment horizontal="right"/>
    </xf>
    <xf numFmtId="3" fontId="20" fillId="10" borderId="39" xfId="0" applyNumberFormat="1" applyFont="1" applyFill="1" applyBorder="1" applyAlignment="1">
      <alignment horizontal="right"/>
    </xf>
    <xf numFmtId="3" fontId="30" fillId="9" borderId="59" xfId="0" applyNumberFormat="1" applyFont="1" applyFill="1" applyBorder="1" applyAlignment="1" applyProtection="1">
      <alignment horizontal="right"/>
      <protection locked="0"/>
    </xf>
    <xf numFmtId="3" fontId="6" fillId="3" borderId="10" xfId="0" applyNumberFormat="1" applyFont="1" applyFill="1" applyBorder="1" applyAlignment="1">
      <alignment horizontal="left"/>
    </xf>
    <xf numFmtId="3" fontId="12" fillId="10" borderId="2" xfId="0" applyNumberFormat="1" applyFont="1" applyFill="1" applyBorder="1" applyAlignment="1">
      <alignment horizontal="center"/>
    </xf>
    <xf numFmtId="3" fontId="6" fillId="10" borderId="37" xfId="0" applyNumberFormat="1" applyFont="1" applyFill="1" applyBorder="1" applyAlignment="1">
      <alignment horizontal="left"/>
    </xf>
    <xf numFmtId="3" fontId="18" fillId="9" borderId="0" xfId="0" applyNumberFormat="1" applyFont="1" applyFill="1" applyAlignment="1" applyProtection="1">
      <alignment horizontal="center"/>
      <protection locked="0"/>
    </xf>
    <xf numFmtId="3" fontId="6" fillId="9" borderId="0" xfId="0" applyNumberFormat="1" applyFont="1" applyFill="1" applyAlignment="1">
      <alignment horizontal="center"/>
    </xf>
    <xf numFmtId="0" fontId="12" fillId="0" borderId="1" xfId="0" applyFont="1" applyBorder="1"/>
    <xf numFmtId="0" fontId="12" fillId="0" borderId="23" xfId="0" applyFont="1" applyBorder="1"/>
    <xf numFmtId="3" fontId="12" fillId="9" borderId="0" xfId="0" applyNumberFormat="1" applyFont="1" applyFill="1" applyAlignment="1">
      <alignment horizontal="center"/>
    </xf>
    <xf numFmtId="0" fontId="12" fillId="9" borderId="1" xfId="0" applyFont="1" applyFill="1" applyBorder="1" applyAlignment="1">
      <alignment horizontal="left"/>
    </xf>
    <xf numFmtId="0" fontId="12" fillId="9" borderId="23" xfId="0" applyFont="1" applyFill="1" applyBorder="1" applyAlignment="1">
      <alignment horizontal="left"/>
    </xf>
    <xf numFmtId="3" fontId="6" fillId="9" borderId="0" xfId="0" applyNumberFormat="1" applyFont="1" applyFill="1" applyAlignment="1">
      <alignment horizontal="right"/>
    </xf>
    <xf numFmtId="1" fontId="16" fillId="0" borderId="23" xfId="0" applyNumberFormat="1" applyFont="1" applyBorder="1" applyAlignment="1" applyProtection="1">
      <alignment horizontal="right"/>
      <protection locked="0"/>
    </xf>
    <xf numFmtId="2" fontId="26" fillId="9" borderId="0" xfId="0" applyNumberFormat="1" applyFont="1" applyFill="1" applyAlignment="1" applyProtection="1">
      <alignment horizontal="right"/>
      <protection locked="0"/>
    </xf>
    <xf numFmtId="4" fontId="6" fillId="9" borderId="0" xfId="0" applyNumberFormat="1" applyFont="1" applyFill="1" applyAlignment="1">
      <alignment horizontal="right"/>
    </xf>
    <xf numFmtId="0" fontId="12" fillId="9" borderId="1" xfId="0" applyFont="1" applyFill="1" applyBorder="1" applyAlignment="1">
      <alignment horizontal="right"/>
    </xf>
    <xf numFmtId="0" fontId="12" fillId="9" borderId="23" xfId="0" applyFont="1" applyFill="1" applyBorder="1" applyAlignment="1">
      <alignment horizontal="right"/>
    </xf>
    <xf numFmtId="4" fontId="12" fillId="9" borderId="0" xfId="0" applyNumberFormat="1" applyFont="1" applyFill="1" applyAlignment="1">
      <alignment horizontal="right"/>
    </xf>
    <xf numFmtId="3" fontId="32" fillId="10" borderId="13" xfId="0" applyNumberFormat="1" applyFont="1" applyFill="1" applyBorder="1" applyAlignment="1">
      <alignment horizontal="right"/>
    </xf>
    <xf numFmtId="9" fontId="23" fillId="0" borderId="23" xfId="0" applyNumberFormat="1" applyFont="1" applyBorder="1" applyAlignment="1" applyProtection="1">
      <alignment horizontal="center"/>
      <protection locked="0"/>
    </xf>
    <xf numFmtId="10" fontId="23" fillId="9" borderId="0" xfId="5" applyNumberFormat="1" applyFont="1" applyFill="1" applyBorder="1" applyAlignment="1" applyProtection="1">
      <alignment horizontal="right"/>
      <protection locked="0"/>
    </xf>
    <xf numFmtId="10" fontId="23" fillId="0" borderId="23" xfId="0" applyNumberFormat="1" applyFont="1" applyBorder="1" applyAlignment="1" applyProtection="1">
      <alignment horizontal="center"/>
      <protection locked="0"/>
    </xf>
    <xf numFmtId="168" fontId="16" fillId="0" borderId="23" xfId="0" applyNumberFormat="1" applyFont="1" applyBorder="1" applyAlignment="1" applyProtection="1">
      <alignment horizontal="right"/>
      <protection locked="0"/>
    </xf>
    <xf numFmtId="2" fontId="16" fillId="9" borderId="0" xfId="0" applyNumberFormat="1" applyFont="1" applyFill="1" applyProtection="1">
      <protection locked="0"/>
    </xf>
    <xf numFmtId="0" fontId="6" fillId="9" borderId="0" xfId="0" applyFont="1" applyFill="1"/>
    <xf numFmtId="0" fontId="6" fillId="9" borderId="14" xfId="0" applyFont="1" applyFill="1" applyBorder="1"/>
    <xf numFmtId="165" fontId="16" fillId="0" borderId="1" xfId="5" applyNumberFormat="1" applyFont="1" applyFill="1" applyBorder="1" applyAlignment="1" applyProtection="1">
      <alignment horizontal="right"/>
      <protection locked="0"/>
    </xf>
    <xf numFmtId="10" fontId="19" fillId="9" borderId="0" xfId="5" applyNumberFormat="1" applyFont="1" applyFill="1" applyBorder="1" applyAlignment="1" applyProtection="1">
      <protection locked="0"/>
    </xf>
    <xf numFmtId="3" fontId="12" fillId="10" borderId="66" xfId="0" applyNumberFormat="1" applyFont="1" applyFill="1" applyBorder="1" applyAlignment="1">
      <alignment horizontal="left"/>
    </xf>
    <xf numFmtId="165" fontId="16" fillId="0" borderId="23" xfId="0" applyNumberFormat="1" applyFont="1" applyBorder="1" applyAlignment="1" applyProtection="1">
      <alignment horizontal="center"/>
      <protection locked="0"/>
    </xf>
    <xf numFmtId="10" fontId="16" fillId="9" borderId="0" xfId="5" applyNumberFormat="1" applyFont="1" applyFill="1" applyBorder="1" applyAlignment="1" applyProtection="1">
      <protection locked="0"/>
    </xf>
    <xf numFmtId="0" fontId="18" fillId="0" borderId="1" xfId="0" applyFont="1" applyBorder="1"/>
    <xf numFmtId="0" fontId="18" fillId="0" borderId="23" xfId="0" applyFont="1" applyBorder="1"/>
    <xf numFmtId="0" fontId="18" fillId="9" borderId="1" xfId="0" applyFont="1" applyFill="1" applyBorder="1" applyAlignment="1">
      <alignment horizontal="left"/>
    </xf>
    <xf numFmtId="0" fontId="18" fillId="9" borderId="23" xfId="0" applyFont="1" applyFill="1" applyBorder="1" applyAlignment="1">
      <alignment horizontal="left"/>
    </xf>
    <xf numFmtId="0" fontId="18" fillId="9" borderId="1" xfId="0" applyFont="1" applyFill="1" applyBorder="1" applyAlignment="1">
      <alignment horizontal="right"/>
    </xf>
    <xf numFmtId="0" fontId="18" fillId="9" borderId="23" xfId="0" applyFont="1" applyFill="1" applyBorder="1" applyAlignment="1">
      <alignment horizontal="right"/>
    </xf>
    <xf numFmtId="0" fontId="16" fillId="0" borderId="23" xfId="0" applyFont="1" applyBorder="1" applyAlignment="1" applyProtection="1">
      <alignment horizontal="center"/>
      <protection locked="0"/>
    </xf>
    <xf numFmtId="9" fontId="33" fillId="0" borderId="1" xfId="5" applyFont="1" applyFill="1" applyBorder="1" applyAlignment="1" applyProtection="1">
      <alignment horizontal="center"/>
      <protection locked="0"/>
    </xf>
    <xf numFmtId="9" fontId="33" fillId="0" borderId="23" xfId="5" applyFont="1" applyFill="1" applyBorder="1" applyAlignment="1" applyProtection="1">
      <alignment horizontal="center"/>
      <protection locked="0"/>
    </xf>
    <xf numFmtId="10" fontId="33" fillId="0" borderId="1" xfId="5" applyNumberFormat="1" applyFont="1" applyFill="1" applyBorder="1" applyAlignment="1" applyProtection="1">
      <alignment horizontal="center"/>
      <protection locked="0"/>
    </xf>
    <xf numFmtId="10" fontId="33" fillId="0" borderId="23" xfId="5" applyNumberFormat="1" applyFont="1" applyFill="1" applyBorder="1" applyAlignment="1" applyProtection="1">
      <alignment horizontal="center"/>
      <protection locked="0"/>
    </xf>
    <xf numFmtId="3" fontId="16" fillId="0" borderId="23" xfId="5" applyNumberFormat="1" applyFont="1" applyFill="1" applyBorder="1" applyAlignment="1" applyProtection="1">
      <alignment horizontal="center"/>
      <protection locked="0"/>
    </xf>
    <xf numFmtId="9" fontId="16" fillId="0" borderId="23" xfId="5" applyFont="1" applyFill="1" applyBorder="1" applyAlignment="1" applyProtection="1">
      <alignment horizontal="center"/>
      <protection locked="0"/>
    </xf>
    <xf numFmtId="10" fontId="16" fillId="7" borderId="0" xfId="5" applyNumberFormat="1" applyFont="1" applyFill="1" applyBorder="1" applyAlignment="1" applyProtection="1">
      <protection locked="0"/>
    </xf>
    <xf numFmtId="10" fontId="16" fillId="7" borderId="14" xfId="5" applyNumberFormat="1" applyFont="1" applyFill="1" applyBorder="1" applyAlignment="1" applyProtection="1">
      <protection locked="0"/>
    </xf>
    <xf numFmtId="3" fontId="37" fillId="0" borderId="1" xfId="0" applyNumberFormat="1" applyFont="1" applyBorder="1" applyAlignment="1">
      <alignment horizontal="center"/>
    </xf>
    <xf numFmtId="3" fontId="37" fillId="0" borderId="2" xfId="0" applyNumberFormat="1" applyFont="1" applyBorder="1" applyAlignment="1">
      <alignment horizontal="center"/>
    </xf>
    <xf numFmtId="0" fontId="0" fillId="9" borderId="67" xfId="0" applyFill="1" applyBorder="1"/>
    <xf numFmtId="0" fontId="6" fillId="10" borderId="22" xfId="0" applyFont="1" applyFill="1" applyBorder="1" applyAlignment="1">
      <alignment horizontal="center" vertical="center"/>
    </xf>
    <xf numFmtId="9" fontId="16" fillId="0" borderId="28" xfId="5" applyFont="1" applyFill="1" applyBorder="1" applyAlignment="1" applyProtection="1">
      <alignment horizontal="right"/>
      <protection locked="0"/>
    </xf>
    <xf numFmtId="0" fontId="0" fillId="9" borderId="32" xfId="0" applyFill="1" applyBorder="1"/>
    <xf numFmtId="3" fontId="28" fillId="0" borderId="0" xfId="0" applyNumberFormat="1" applyFont="1"/>
    <xf numFmtId="3" fontId="41" fillId="16" borderId="68" xfId="0" applyNumberFormat="1" applyFont="1" applyFill="1" applyBorder="1" applyAlignment="1">
      <alignment horizontal="center"/>
    </xf>
    <xf numFmtId="3" fontId="6" fillId="0" borderId="0" xfId="0" applyNumberFormat="1" applyFont="1" applyAlignment="1">
      <alignment horizontal="center"/>
    </xf>
    <xf numFmtId="0" fontId="12" fillId="10" borderId="1" xfId="0" applyFont="1" applyFill="1" applyBorder="1" applyAlignment="1">
      <alignment horizontal="center"/>
    </xf>
    <xf numFmtId="3" fontId="12" fillId="10" borderId="1" xfId="0" applyNumberFormat="1" applyFont="1" applyFill="1" applyBorder="1" applyAlignment="1">
      <alignment horizontal="left"/>
    </xf>
    <xf numFmtId="10" fontId="18" fillId="10" borderId="1" xfId="0" applyNumberFormat="1" applyFont="1" applyFill="1" applyBorder="1" applyAlignment="1">
      <alignment horizontal="center"/>
    </xf>
    <xf numFmtId="10" fontId="19" fillId="10" borderId="1" xfId="5" applyNumberFormat="1" applyFont="1" applyFill="1" applyBorder="1" applyAlignment="1" applyProtection="1">
      <alignment horizontal="center"/>
    </xf>
    <xf numFmtId="0" fontId="18" fillId="10" borderId="1" xfId="0" applyFont="1" applyFill="1" applyBorder="1" applyAlignment="1">
      <alignment horizontal="center"/>
    </xf>
    <xf numFmtId="3" fontId="12" fillId="10" borderId="1" xfId="0" applyNumberFormat="1" applyFont="1" applyFill="1" applyBorder="1"/>
    <xf numFmtId="3" fontId="6" fillId="3" borderId="10" xfId="0" applyNumberFormat="1" applyFont="1" applyFill="1" applyBorder="1" applyAlignment="1">
      <alignment horizontal="center"/>
    </xf>
    <xf numFmtId="3" fontId="6" fillId="0" borderId="10" xfId="0" applyNumberFormat="1" applyFont="1" applyBorder="1" applyAlignment="1">
      <alignment horizontal="center"/>
    </xf>
    <xf numFmtId="3" fontId="6" fillId="0" borderId="7" xfId="0" applyNumberFormat="1" applyFont="1" applyBorder="1" applyAlignment="1">
      <alignment horizontal="center"/>
    </xf>
    <xf numFmtId="3" fontId="6" fillId="0" borderId="18" xfId="0" applyNumberFormat="1" applyFont="1" applyBorder="1" applyAlignment="1">
      <alignment horizontal="center"/>
    </xf>
    <xf numFmtId="3" fontId="7" fillId="0" borderId="7" xfId="0" applyNumberFormat="1" applyFont="1" applyBorder="1" applyAlignment="1">
      <alignment horizontal="center"/>
    </xf>
    <xf numFmtId="3" fontId="7" fillId="0" borderId="18" xfId="0" applyNumberFormat="1" applyFont="1" applyBorder="1" applyAlignment="1">
      <alignment horizontal="center"/>
    </xf>
    <xf numFmtId="4" fontId="6" fillId="0" borderId="4" xfId="0" applyNumberFormat="1" applyFont="1" applyBorder="1"/>
    <xf numFmtId="4" fontId="6" fillId="0" borderId="17" xfId="0" applyNumberFormat="1" applyFont="1" applyBorder="1"/>
    <xf numFmtId="4" fontId="7" fillId="0" borderId="4" xfId="0" applyNumberFormat="1" applyFont="1" applyBorder="1"/>
    <xf numFmtId="4" fontId="7" fillId="0" borderId="17" xfId="0" applyNumberFormat="1" applyFont="1" applyBorder="1"/>
    <xf numFmtId="3" fontId="20" fillId="0" borderId="35" xfId="0" applyNumberFormat="1" applyFont="1" applyBorder="1"/>
    <xf numFmtId="4" fontId="16" fillId="0" borderId="21" xfId="0" applyNumberFormat="1" applyFont="1" applyBorder="1"/>
    <xf numFmtId="4" fontId="7" fillId="0" borderId="21" xfId="0" applyNumberFormat="1" applyFont="1" applyBorder="1"/>
    <xf numFmtId="4" fontId="7" fillId="0" borderId="22" xfId="0" applyNumberFormat="1" applyFont="1" applyBorder="1"/>
    <xf numFmtId="3" fontId="20" fillId="0" borderId="59" xfId="0" applyNumberFormat="1" applyFont="1" applyBorder="1"/>
    <xf numFmtId="4" fontId="7" fillId="0" borderId="26" xfId="0" applyNumberFormat="1" applyFont="1" applyBorder="1"/>
    <xf numFmtId="4" fontId="7" fillId="0" borderId="23" xfId="0" applyNumberFormat="1" applyFont="1" applyBorder="1"/>
    <xf numFmtId="3" fontId="20" fillId="0" borderId="60" xfId="0" applyNumberFormat="1" applyFont="1" applyBorder="1"/>
    <xf numFmtId="4" fontId="0" fillId="0" borderId="20" xfId="0" applyNumberFormat="1" applyBorder="1"/>
    <xf numFmtId="4" fontId="7" fillId="0" borderId="27" xfId="0" applyNumberFormat="1" applyFont="1" applyBorder="1"/>
    <xf numFmtId="4" fontId="7" fillId="0" borderId="20" xfId="0" applyNumberFormat="1" applyFont="1" applyBorder="1"/>
    <xf numFmtId="4" fontId="0" fillId="0" borderId="22" xfId="0" applyNumberFormat="1" applyBorder="1"/>
    <xf numFmtId="4" fontId="0" fillId="0" borderId="23" xfId="0" applyNumberFormat="1" applyBorder="1"/>
    <xf numFmtId="3" fontId="20" fillId="0" borderId="64" xfId="0" applyNumberFormat="1" applyFont="1" applyBorder="1"/>
    <xf numFmtId="4" fontId="6" fillId="0" borderId="38" xfId="0" applyNumberFormat="1" applyFont="1" applyBorder="1"/>
    <xf numFmtId="4" fontId="23" fillId="0" borderId="6" xfId="0" applyNumberFormat="1" applyFont="1" applyBorder="1"/>
    <xf numFmtId="4" fontId="22" fillId="0" borderId="41" xfId="0" applyNumberFormat="1" applyFont="1" applyBorder="1"/>
    <xf numFmtId="4" fontId="42" fillId="0" borderId="6" xfId="0" applyNumberFormat="1" applyFont="1" applyBorder="1"/>
    <xf numFmtId="4" fontId="42" fillId="0" borderId="41" xfId="0" applyNumberFormat="1" applyFont="1" applyBorder="1"/>
    <xf numFmtId="4" fontId="0" fillId="0" borderId="42" xfId="0" applyNumberFormat="1" applyBorder="1"/>
    <xf numFmtId="4" fontId="7" fillId="0" borderId="38" xfId="0" applyNumberFormat="1" applyFont="1" applyBorder="1"/>
    <xf numFmtId="4" fontId="7" fillId="0" borderId="42" xfId="0" applyNumberFormat="1" applyFont="1" applyBorder="1"/>
    <xf numFmtId="3" fontId="22" fillId="0" borderId="65" xfId="0" applyNumberFormat="1" applyFont="1" applyBorder="1" applyAlignment="1">
      <alignment horizontal="center"/>
    </xf>
    <xf numFmtId="3" fontId="22" fillId="0" borderId="35" xfId="0" applyNumberFormat="1" applyFont="1" applyBorder="1" applyAlignment="1">
      <alignment horizontal="center"/>
    </xf>
    <xf numFmtId="4" fontId="22" fillId="0" borderId="22" xfId="0" applyNumberFormat="1" applyFont="1" applyBorder="1"/>
    <xf numFmtId="4" fontId="42" fillId="0" borderId="21" xfId="0" applyNumberFormat="1" applyFont="1" applyBorder="1"/>
    <xf numFmtId="4" fontId="42" fillId="0" borderId="22" xfId="0" applyNumberFormat="1" applyFont="1" applyBorder="1"/>
    <xf numFmtId="4" fontId="16" fillId="0" borderId="26" xfId="0" applyNumberFormat="1" applyFont="1" applyBorder="1"/>
    <xf numFmtId="3" fontId="12" fillId="0" borderId="10" xfId="0" applyNumberFormat="1" applyFont="1" applyBorder="1" applyAlignment="1">
      <alignment horizontal="center"/>
    </xf>
    <xf numFmtId="4" fontId="6" fillId="0" borderId="7" xfId="0" applyNumberFormat="1" applyFont="1" applyBorder="1"/>
    <xf numFmtId="4" fontId="6" fillId="0" borderId="18" xfId="0" applyNumberFormat="1" applyFont="1" applyBorder="1"/>
    <xf numFmtId="4" fontId="7" fillId="0" borderId="7" xfId="0" applyNumberFormat="1" applyFont="1" applyBorder="1"/>
    <xf numFmtId="4" fontId="7" fillId="0" borderId="18" xfId="0" applyNumberFormat="1" applyFont="1" applyBorder="1"/>
    <xf numFmtId="3" fontId="12" fillId="0" borderId="0" xfId="0" applyNumberFormat="1" applyFont="1" applyAlignment="1">
      <alignment horizontal="center"/>
    </xf>
    <xf numFmtId="4" fontId="7" fillId="0" borderId="0" xfId="0" applyNumberFormat="1" applyFont="1"/>
    <xf numFmtId="4" fontId="28" fillId="0" borderId="0" xfId="0" applyNumberFormat="1" applyFont="1"/>
    <xf numFmtId="4" fontId="6" fillId="0" borderId="7" xfId="0" applyNumberFormat="1" applyFont="1" applyBorder="1" applyAlignment="1">
      <alignment horizontal="center"/>
    </xf>
    <xf numFmtId="4" fontId="6" fillId="0" borderId="18" xfId="0" applyNumberFormat="1" applyFont="1" applyBorder="1" applyAlignment="1">
      <alignment horizontal="center"/>
    </xf>
    <xf numFmtId="4" fontId="7" fillId="0" borderId="7" xfId="0" applyNumberFormat="1" applyFont="1" applyBorder="1" applyAlignment="1">
      <alignment horizontal="center"/>
    </xf>
    <xf numFmtId="4" fontId="7" fillId="0" borderId="18" xfId="0" applyNumberFormat="1" applyFont="1" applyBorder="1" applyAlignment="1">
      <alignment horizontal="center"/>
    </xf>
    <xf numFmtId="4" fontId="6" fillId="3" borderId="10" xfId="0" applyNumberFormat="1" applyFont="1" applyFill="1" applyBorder="1" applyAlignment="1">
      <alignment horizontal="center"/>
    </xf>
    <xf numFmtId="4" fontId="11" fillId="0" borderId="63" xfId="0" applyNumberFormat="1" applyFont="1" applyBorder="1" applyAlignment="1">
      <alignment horizontal="center"/>
    </xf>
    <xf numFmtId="4" fontId="11" fillId="0" borderId="30" xfId="0" applyNumberFormat="1" applyFont="1" applyBorder="1" applyAlignment="1">
      <alignment horizontal="center"/>
    </xf>
    <xf numFmtId="4" fontId="11" fillId="0" borderId="18" xfId="0" applyNumberFormat="1" applyFont="1" applyBorder="1" applyAlignment="1">
      <alignment horizontal="center"/>
    </xf>
    <xf numFmtId="4" fontId="11" fillId="0" borderId="61" xfId="0" applyNumberFormat="1" applyFont="1" applyBorder="1" applyAlignment="1">
      <alignment horizontal="center"/>
    </xf>
    <xf numFmtId="4" fontId="6" fillId="0" borderId="16" xfId="0" applyNumberFormat="1" applyFont="1" applyBorder="1"/>
    <xf numFmtId="4" fontId="6" fillId="0" borderId="69" xfId="0" applyNumberFormat="1" applyFont="1" applyBorder="1"/>
    <xf numFmtId="4" fontId="20" fillId="0" borderId="37" xfId="0" applyNumberFormat="1" applyFont="1" applyBorder="1"/>
    <xf numFmtId="4" fontId="43" fillId="0" borderId="0" xfId="0" applyNumberFormat="1" applyFont="1"/>
    <xf numFmtId="3" fontId="20" fillId="0" borderId="0" xfId="0" applyNumberFormat="1" applyFont="1"/>
    <xf numFmtId="4" fontId="20" fillId="0" borderId="13" xfId="0" applyNumberFormat="1" applyFont="1" applyBorder="1"/>
    <xf numFmtId="4" fontId="20" fillId="0" borderId="51" xfId="0" applyNumberFormat="1" applyFont="1" applyBorder="1"/>
    <xf numFmtId="4" fontId="6" fillId="0" borderId="30" xfId="0" applyNumberFormat="1" applyFont="1" applyBorder="1"/>
    <xf numFmtId="4" fontId="6" fillId="0" borderId="57" xfId="0" applyNumberFormat="1" applyFont="1" applyBorder="1"/>
    <xf numFmtId="4" fontId="11" fillId="0" borderId="57" xfId="0" applyNumberFormat="1" applyFont="1" applyBorder="1" applyAlignment="1">
      <alignment horizontal="center"/>
    </xf>
    <xf numFmtId="4" fontId="11" fillId="0" borderId="10" xfId="0" applyNumberFormat="1" applyFont="1" applyBorder="1" applyAlignment="1">
      <alignment horizontal="center"/>
    </xf>
    <xf numFmtId="4" fontId="6" fillId="0" borderId="11" xfId="0" applyNumberFormat="1" applyFont="1" applyBorder="1"/>
    <xf numFmtId="4" fontId="0" fillId="0" borderId="37" xfId="0" applyNumberFormat="1" applyBorder="1"/>
    <xf numFmtId="4" fontId="0" fillId="0" borderId="35" xfId="0" applyNumberFormat="1" applyBorder="1"/>
    <xf numFmtId="4" fontId="0" fillId="0" borderId="13" xfId="0" applyNumberFormat="1" applyBorder="1"/>
    <xf numFmtId="4" fontId="0" fillId="0" borderId="59" xfId="0" applyNumberFormat="1" applyBorder="1"/>
    <xf numFmtId="0" fontId="22" fillId="0" borderId="0" xfId="0" applyFont="1"/>
    <xf numFmtId="4" fontId="0" fillId="0" borderId="51" xfId="0" applyNumberFormat="1" applyBorder="1"/>
    <xf numFmtId="4" fontId="0" fillId="0" borderId="60" xfId="0" applyNumberFormat="1" applyBorder="1"/>
    <xf numFmtId="4" fontId="6" fillId="0" borderId="10" xfId="0" applyNumberFormat="1" applyFont="1" applyBorder="1"/>
    <xf numFmtId="3" fontId="6" fillId="10" borderId="11" xfId="0" applyNumberFormat="1" applyFont="1" applyFill="1" applyBorder="1" applyAlignment="1">
      <alignment horizontal="center"/>
    </xf>
    <xf numFmtId="4" fontId="0" fillId="0" borderId="28" xfId="0" applyNumberFormat="1" applyBorder="1"/>
    <xf numFmtId="4" fontId="0" fillId="0" borderId="1" xfId="0" applyNumberFormat="1" applyBorder="1"/>
    <xf numFmtId="4" fontId="0" fillId="0" borderId="19" xfId="0" applyNumberFormat="1" applyBorder="1"/>
    <xf numFmtId="4" fontId="0" fillId="0" borderId="3" xfId="0" applyNumberFormat="1" applyBorder="1"/>
    <xf numFmtId="3" fontId="12" fillId="0" borderId="10" xfId="0" applyNumberFormat="1" applyFont="1" applyBorder="1"/>
    <xf numFmtId="3" fontId="43" fillId="0" borderId="0" xfId="0" applyNumberFormat="1" applyFont="1"/>
    <xf numFmtId="4" fontId="6" fillId="10" borderId="1" xfId="0" applyNumberFormat="1" applyFont="1" applyFill="1" applyBorder="1"/>
    <xf numFmtId="4" fontId="2" fillId="4" borderId="1" xfId="0" applyNumberFormat="1" applyFont="1" applyFill="1" applyBorder="1" applyAlignment="1">
      <alignment horizontal="center"/>
    </xf>
    <xf numFmtId="4" fontId="6" fillId="0" borderId="1" xfId="0" applyNumberFormat="1" applyFont="1" applyBorder="1" applyAlignment="1">
      <alignment horizontal="center"/>
    </xf>
    <xf numFmtId="4" fontId="6" fillId="0" borderId="6" xfId="0" applyNumberFormat="1" applyFont="1" applyBorder="1"/>
    <xf numFmtId="4" fontId="6" fillId="0" borderId="6" xfId="0" applyNumberFormat="1" applyFont="1" applyBorder="1" applyAlignment="1">
      <alignment horizontal="left" indent="2"/>
    </xf>
    <xf numFmtId="4" fontId="16" fillId="0" borderId="40" xfId="0" applyNumberFormat="1" applyFont="1" applyBorder="1"/>
    <xf numFmtId="4" fontId="16" fillId="0" borderId="40" xfId="0" applyNumberFormat="1" applyFont="1" applyBorder="1" applyAlignment="1">
      <alignment horizontal="right"/>
    </xf>
    <xf numFmtId="4" fontId="6" fillId="0" borderId="26" xfId="0" applyNumberFormat="1" applyFont="1" applyBorder="1"/>
    <xf numFmtId="4" fontId="16" fillId="0" borderId="1" xfId="0" applyNumberFormat="1" applyFont="1" applyBorder="1"/>
    <xf numFmtId="4" fontId="19" fillId="0" borderId="3" xfId="0" applyNumberFormat="1" applyFont="1" applyBorder="1"/>
    <xf numFmtId="4" fontId="6" fillId="10" borderId="49" xfId="0" applyNumberFormat="1" applyFont="1" applyFill="1" applyBorder="1" applyAlignment="1">
      <alignment horizontal="center"/>
    </xf>
    <xf numFmtId="1" fontId="0" fillId="0" borderId="0" xfId="0" applyNumberFormat="1"/>
    <xf numFmtId="0" fontId="0" fillId="7" borderId="0" xfId="0" applyFill="1" applyAlignment="1">
      <alignment vertical="center"/>
    </xf>
    <xf numFmtId="0" fontId="0" fillId="7" borderId="0" xfId="0" applyFill="1" applyAlignment="1">
      <alignment horizontal="center" vertical="center"/>
    </xf>
    <xf numFmtId="0" fontId="2" fillId="7" borderId="0" xfId="0" applyFont="1" applyFill="1" applyAlignment="1">
      <alignment horizontal="left" vertical="center"/>
    </xf>
    <xf numFmtId="0" fontId="15" fillId="7" borderId="0" xfId="1" applyNumberFormat="1" applyFill="1" applyBorder="1" applyAlignment="1" applyProtection="1">
      <alignment vertical="center"/>
    </xf>
    <xf numFmtId="4" fontId="6" fillId="7" borderId="70" xfId="0" applyNumberFormat="1" applyFont="1" applyFill="1" applyBorder="1" applyAlignment="1">
      <alignment horizontal="center" vertical="center"/>
    </xf>
    <xf numFmtId="0" fontId="16" fillId="7" borderId="0" xfId="0" applyFont="1" applyFill="1" applyAlignment="1">
      <alignment horizontal="center" vertical="center"/>
    </xf>
    <xf numFmtId="10" fontId="16" fillId="7" borderId="71" xfId="0" applyNumberFormat="1" applyFont="1" applyFill="1" applyBorder="1" applyAlignment="1">
      <alignment horizontal="center" vertical="center"/>
    </xf>
    <xf numFmtId="10" fontId="6" fillId="17" borderId="71" xfId="0" applyNumberFormat="1" applyFont="1" applyFill="1" applyBorder="1" applyAlignment="1">
      <alignment horizontal="center" vertical="center"/>
    </xf>
    <xf numFmtId="10" fontId="19" fillId="7" borderId="71" xfId="0" applyNumberFormat="1" applyFont="1" applyFill="1" applyBorder="1" applyAlignment="1">
      <alignment horizontal="center" vertical="center"/>
    </xf>
    <xf numFmtId="10" fontId="0" fillId="7" borderId="0" xfId="5" applyNumberFormat="1" applyFont="1" applyFill="1" applyBorder="1" applyAlignment="1" applyProtection="1">
      <alignment vertical="center"/>
    </xf>
    <xf numFmtId="0" fontId="16" fillId="7" borderId="71" xfId="0" applyFont="1" applyFill="1" applyBorder="1" applyAlignment="1">
      <alignment horizontal="center" vertical="center"/>
    </xf>
    <xf numFmtId="0" fontId="6" fillId="7" borderId="71" xfId="0" applyFont="1" applyFill="1" applyBorder="1" applyAlignment="1">
      <alignment horizontal="center" vertical="center"/>
    </xf>
    <xf numFmtId="0" fontId="20" fillId="7" borderId="0" xfId="0" applyFont="1" applyFill="1" applyAlignment="1">
      <alignment vertical="center"/>
    </xf>
    <xf numFmtId="0" fontId="0" fillId="17" borderId="1" xfId="0" applyFill="1" applyBorder="1" applyAlignment="1">
      <alignment vertical="center"/>
    </xf>
    <xf numFmtId="0" fontId="0" fillId="10" borderId="1" xfId="0" applyFill="1" applyBorder="1" applyAlignment="1">
      <alignment horizontal="center" vertical="center"/>
    </xf>
    <xf numFmtId="0" fontId="0" fillId="3" borderId="1" xfId="0" applyFill="1" applyBorder="1" applyAlignment="1">
      <alignment horizontal="center" vertical="center"/>
    </xf>
    <xf numFmtId="0" fontId="0" fillId="18" borderId="1" xfId="0" applyFill="1" applyBorder="1" applyAlignment="1">
      <alignment horizontal="center" vertical="center"/>
    </xf>
    <xf numFmtId="0" fontId="0" fillId="7" borderId="1" xfId="0" applyFill="1" applyBorder="1" applyAlignment="1">
      <alignment horizontal="center" vertical="center"/>
    </xf>
    <xf numFmtId="4" fontId="6" fillId="7" borderId="72" xfId="0" applyNumberFormat="1" applyFont="1" applyFill="1" applyBorder="1" applyAlignment="1">
      <alignment horizontal="center" vertical="center"/>
    </xf>
    <xf numFmtId="4" fontId="0" fillId="19" borderId="1" xfId="0" applyNumberFormat="1" applyFill="1" applyBorder="1" applyAlignment="1">
      <alignment vertical="center"/>
    </xf>
    <xf numFmtId="4" fontId="0" fillId="20" borderId="1" xfId="0" applyNumberFormat="1" applyFill="1" applyBorder="1" applyAlignment="1">
      <alignment vertical="center"/>
    </xf>
    <xf numFmtId="4" fontId="0" fillId="21" borderId="1" xfId="0" applyNumberFormat="1" applyFill="1" applyBorder="1" applyAlignment="1">
      <alignment vertical="center"/>
    </xf>
    <xf numFmtId="4" fontId="0" fillId="22" borderId="1" xfId="0" applyNumberFormat="1" applyFill="1" applyBorder="1" applyAlignment="1">
      <alignment vertical="center"/>
    </xf>
    <xf numFmtId="4" fontId="0" fillId="7" borderId="1" xfId="0" applyNumberFormat="1" applyFill="1" applyBorder="1" applyAlignment="1">
      <alignment vertical="center"/>
    </xf>
    <xf numFmtId="0" fontId="0" fillId="10" borderId="1" xfId="0" applyFill="1" applyBorder="1" applyAlignment="1">
      <alignment horizontal="left" vertical="center"/>
    </xf>
    <xf numFmtId="0" fontId="0" fillId="7" borderId="0" xfId="0" applyFill="1" applyAlignment="1">
      <alignment horizontal="center" vertical="center" wrapText="1"/>
    </xf>
    <xf numFmtId="3" fontId="0" fillId="7" borderId="73" xfId="0" applyNumberFormat="1" applyFill="1" applyBorder="1" applyAlignment="1">
      <alignment horizontal="center" vertical="center"/>
    </xf>
    <xf numFmtId="4" fontId="0" fillId="7" borderId="74" xfId="0" applyNumberFormat="1" applyFill="1" applyBorder="1" applyAlignment="1">
      <alignment vertical="center"/>
    </xf>
    <xf numFmtId="4" fontId="0" fillId="7" borderId="75" xfId="0" applyNumberFormat="1" applyFill="1" applyBorder="1" applyAlignment="1">
      <alignment vertical="center"/>
    </xf>
    <xf numFmtId="4" fontId="0" fillId="7" borderId="70" xfId="0" applyNumberFormat="1" applyFill="1" applyBorder="1" applyAlignment="1">
      <alignment vertical="center"/>
    </xf>
    <xf numFmtId="3" fontId="0" fillId="7" borderId="0" xfId="0" applyNumberFormat="1" applyFill="1" applyAlignment="1">
      <alignment vertical="center"/>
    </xf>
    <xf numFmtId="4" fontId="6" fillId="19" borderId="1" xfId="0" applyNumberFormat="1" applyFont="1" applyFill="1" applyBorder="1" applyAlignment="1">
      <alignment vertical="center"/>
    </xf>
    <xf numFmtId="4" fontId="6" fillId="20" borderId="1" xfId="0" applyNumberFormat="1" applyFont="1" applyFill="1" applyBorder="1" applyAlignment="1">
      <alignment vertical="center"/>
    </xf>
    <xf numFmtId="4" fontId="6" fillId="21" borderId="1" xfId="0" applyNumberFormat="1" applyFont="1" applyFill="1" applyBorder="1" applyAlignment="1">
      <alignment vertical="center"/>
    </xf>
    <xf numFmtId="4" fontId="6" fillId="22" borderId="1" xfId="0" applyNumberFormat="1" applyFont="1" applyFill="1" applyBorder="1" applyAlignment="1">
      <alignment vertical="center"/>
    </xf>
    <xf numFmtId="3" fontId="0" fillId="7" borderId="76" xfId="0" applyNumberFormat="1" applyFill="1" applyBorder="1" applyAlignment="1">
      <alignment horizontal="center" vertical="center"/>
    </xf>
    <xf numFmtId="4" fontId="0" fillId="7" borderId="77" xfId="0" applyNumberFormat="1" applyFill="1" applyBorder="1" applyAlignment="1">
      <alignment vertical="center"/>
    </xf>
    <xf numFmtId="4" fontId="0" fillId="7" borderId="71" xfId="0" applyNumberFormat="1" applyFill="1" applyBorder="1" applyAlignment="1">
      <alignment vertical="center"/>
    </xf>
    <xf numFmtId="3" fontId="0" fillId="7" borderId="0" xfId="0" applyNumberFormat="1" applyFill="1"/>
    <xf numFmtId="0" fontId="0" fillId="3" borderId="1" xfId="0" applyFill="1" applyBorder="1" applyAlignment="1">
      <alignment vertical="center"/>
    </xf>
    <xf numFmtId="0" fontId="0" fillId="18" borderId="1" xfId="0" applyFill="1" applyBorder="1" applyAlignment="1">
      <alignment vertical="center"/>
    </xf>
    <xf numFmtId="0" fontId="0" fillId="7" borderId="1" xfId="0" applyFill="1" applyBorder="1" applyAlignment="1">
      <alignment vertical="center"/>
    </xf>
    <xf numFmtId="4" fontId="0" fillId="7" borderId="78" xfId="0" applyNumberFormat="1" applyFill="1" applyBorder="1" applyAlignment="1">
      <alignment vertical="center"/>
    </xf>
    <xf numFmtId="4" fontId="0" fillId="7" borderId="79" xfId="0" applyNumberFormat="1" applyFill="1" applyBorder="1" applyAlignment="1">
      <alignment vertical="center"/>
    </xf>
    <xf numFmtId="4" fontId="0" fillId="7" borderId="72" xfId="0" applyNumberFormat="1" applyFill="1" applyBorder="1" applyAlignment="1">
      <alignment vertical="center"/>
    </xf>
    <xf numFmtId="4" fontId="6" fillId="23" borderId="80" xfId="0" applyNumberFormat="1" applyFont="1" applyFill="1" applyBorder="1" applyAlignment="1">
      <alignment vertical="center"/>
    </xf>
    <xf numFmtId="4" fontId="6" fillId="23" borderId="81" xfId="0" applyNumberFormat="1" applyFont="1" applyFill="1" applyBorder="1" applyAlignment="1">
      <alignment vertical="center"/>
    </xf>
    <xf numFmtId="4" fontId="6" fillId="23" borderId="82" xfId="0" applyNumberFormat="1" applyFont="1" applyFill="1" applyBorder="1" applyAlignment="1">
      <alignment vertical="center"/>
    </xf>
    <xf numFmtId="4" fontId="6" fillId="23" borderId="83" xfId="0" applyNumberFormat="1" applyFont="1" applyFill="1" applyBorder="1" applyAlignment="1">
      <alignment vertical="center"/>
    </xf>
    <xf numFmtId="3" fontId="6" fillId="7" borderId="0" xfId="0" applyNumberFormat="1" applyFont="1" applyFill="1" applyAlignment="1">
      <alignment vertical="center"/>
    </xf>
    <xf numFmtId="3" fontId="6" fillId="23" borderId="80" xfId="0" applyNumberFormat="1" applyFont="1" applyFill="1" applyBorder="1" applyAlignment="1">
      <alignment vertical="center"/>
    </xf>
    <xf numFmtId="3" fontId="0" fillId="7" borderId="73" xfId="0" applyNumberFormat="1" applyFill="1" applyBorder="1" applyAlignment="1">
      <alignment vertical="center"/>
    </xf>
    <xf numFmtId="3" fontId="0" fillId="7" borderId="76" xfId="0" applyNumberFormat="1" applyFill="1" applyBorder="1" applyAlignment="1">
      <alignment vertical="center"/>
    </xf>
    <xf numFmtId="3" fontId="6" fillId="4" borderId="80" xfId="0" applyNumberFormat="1" applyFont="1" applyFill="1" applyBorder="1" applyAlignment="1">
      <alignment vertical="center"/>
    </xf>
    <xf numFmtId="4" fontId="6" fillId="4" borderId="81" xfId="0" applyNumberFormat="1" applyFont="1" applyFill="1" applyBorder="1" applyAlignment="1">
      <alignment vertical="center"/>
    </xf>
    <xf numFmtId="4" fontId="6" fillId="4" borderId="82" xfId="0" applyNumberFormat="1" applyFont="1" applyFill="1" applyBorder="1" applyAlignment="1">
      <alignment vertical="center"/>
    </xf>
    <xf numFmtId="4" fontId="6" fillId="4" borderId="83" xfId="0" applyNumberFormat="1" applyFont="1" applyFill="1" applyBorder="1" applyAlignment="1">
      <alignment vertical="center"/>
    </xf>
    <xf numFmtId="4" fontId="0" fillId="7" borderId="0" xfId="0" applyNumberFormat="1" applyFill="1" applyAlignment="1">
      <alignment vertical="center"/>
    </xf>
    <xf numFmtId="3" fontId="6" fillId="3" borderId="80" xfId="0" applyNumberFormat="1" applyFont="1" applyFill="1" applyBorder="1" applyAlignment="1">
      <alignment vertical="center"/>
    </xf>
    <xf numFmtId="4" fontId="6" fillId="3" borderId="81" xfId="0" applyNumberFormat="1" applyFont="1" applyFill="1" applyBorder="1" applyAlignment="1">
      <alignment vertical="center"/>
    </xf>
    <xf numFmtId="4" fontId="6" fillId="3" borderId="82" xfId="0" applyNumberFormat="1" applyFont="1" applyFill="1" applyBorder="1" applyAlignment="1">
      <alignment vertical="center"/>
    </xf>
    <xf numFmtId="4" fontId="6" fillId="3" borderId="83" xfId="0" applyNumberFormat="1" applyFont="1" applyFill="1" applyBorder="1" applyAlignment="1">
      <alignment vertical="center"/>
    </xf>
    <xf numFmtId="4" fontId="6" fillId="7" borderId="0" xfId="0" applyNumberFormat="1" applyFont="1" applyFill="1" applyAlignment="1">
      <alignment vertical="center"/>
    </xf>
    <xf numFmtId="4" fontId="6" fillId="3" borderId="80" xfId="0" applyNumberFormat="1" applyFont="1" applyFill="1" applyBorder="1" applyAlignment="1">
      <alignment vertical="center"/>
    </xf>
    <xf numFmtId="3" fontId="0" fillId="0" borderId="0" xfId="0" applyNumberFormat="1" applyAlignment="1">
      <alignment horizontal="center"/>
    </xf>
    <xf numFmtId="165" fontId="0" fillId="0" borderId="0" xfId="5" applyNumberFormat="1" applyFont="1" applyFill="1" applyBorder="1" applyAlignment="1" applyProtection="1"/>
    <xf numFmtId="4" fontId="6" fillId="18" borderId="1" xfId="0" applyNumberFormat="1" applyFont="1" applyFill="1" applyBorder="1" applyAlignment="1">
      <alignment horizontal="center"/>
    </xf>
    <xf numFmtId="165" fontId="6" fillId="0" borderId="1" xfId="5" applyNumberFormat="1" applyFont="1" applyFill="1" applyBorder="1" applyAlignment="1" applyProtection="1">
      <alignment horizontal="center"/>
    </xf>
    <xf numFmtId="10" fontId="16" fillId="0" borderId="1" xfId="0" applyNumberFormat="1" applyFont="1" applyBorder="1" applyProtection="1">
      <protection locked="0"/>
    </xf>
    <xf numFmtId="4" fontId="6" fillId="0" borderId="1" xfId="5" applyNumberFormat="1" applyFont="1" applyFill="1" applyBorder="1" applyAlignment="1" applyProtection="1"/>
    <xf numFmtId="4" fontId="6" fillId="18" borderId="1" xfId="0" applyNumberFormat="1" applyFont="1" applyFill="1" applyBorder="1"/>
    <xf numFmtId="4" fontId="6" fillId="11" borderId="1" xfId="0" applyNumberFormat="1" applyFont="1" applyFill="1" applyBorder="1"/>
    <xf numFmtId="3" fontId="6" fillId="4" borderId="1" xfId="0" applyNumberFormat="1" applyFont="1" applyFill="1" applyBorder="1" applyAlignment="1">
      <alignment horizontal="center"/>
    </xf>
    <xf numFmtId="3" fontId="0" fillId="0" borderId="48" xfId="0" applyNumberFormat="1" applyBorder="1" applyAlignment="1">
      <alignment horizontal="center"/>
    </xf>
    <xf numFmtId="3" fontId="6" fillId="7" borderId="1" xfId="0" applyNumberFormat="1" applyFont="1" applyFill="1" applyBorder="1" applyAlignment="1">
      <alignment horizontal="center" vertical="center" wrapText="1"/>
    </xf>
    <xf numFmtId="165" fontId="6" fillId="7" borderId="1" xfId="0" applyNumberFormat="1" applyFont="1" applyFill="1" applyBorder="1" applyAlignment="1">
      <alignment horizontal="center" vertical="center" wrapText="1"/>
    </xf>
    <xf numFmtId="3" fontId="6" fillId="19" borderId="1" xfId="0" applyNumberFormat="1" applyFont="1" applyFill="1" applyBorder="1" applyAlignment="1">
      <alignment horizontal="center" vertical="center" wrapText="1"/>
    </xf>
    <xf numFmtId="165" fontId="6" fillId="19" borderId="1" xfId="0" applyNumberFormat="1" applyFont="1" applyFill="1" applyBorder="1" applyAlignment="1">
      <alignment horizontal="center" vertical="center" wrapText="1"/>
    </xf>
    <xf numFmtId="3" fontId="6" fillId="4" borderId="28" xfId="0" applyNumberFormat="1" applyFont="1" applyFill="1" applyBorder="1" applyAlignment="1">
      <alignment horizontal="center" vertical="center" wrapText="1"/>
    </xf>
    <xf numFmtId="3" fontId="6" fillId="0" borderId="0" xfId="0" applyNumberFormat="1" applyFont="1" applyAlignment="1">
      <alignment horizontal="center" vertical="center" wrapText="1"/>
    </xf>
    <xf numFmtId="3" fontId="6" fillId="3" borderId="1" xfId="0" applyNumberFormat="1" applyFont="1" applyFill="1" applyBorder="1" applyAlignment="1">
      <alignment horizontal="center" vertical="center" wrapText="1"/>
    </xf>
    <xf numFmtId="3" fontId="6" fillId="3" borderId="1" xfId="0" applyNumberFormat="1" applyFont="1" applyFill="1" applyBorder="1" applyAlignment="1">
      <alignment horizontal="right" vertical="center" wrapText="1"/>
    </xf>
    <xf numFmtId="165" fontId="6" fillId="3" borderId="1" xfId="0" applyNumberFormat="1" applyFont="1" applyFill="1" applyBorder="1" applyAlignment="1">
      <alignment horizontal="center" vertical="center" wrapText="1"/>
    </xf>
    <xf numFmtId="3" fontId="6" fillId="24" borderId="1" xfId="0" applyNumberFormat="1" applyFont="1" applyFill="1" applyBorder="1" applyAlignment="1">
      <alignment horizontal="center" vertical="center" wrapText="1"/>
    </xf>
    <xf numFmtId="3" fontId="6" fillId="24" borderId="1" xfId="0" applyNumberFormat="1" applyFont="1" applyFill="1" applyBorder="1" applyAlignment="1">
      <alignment horizontal="right" vertical="center" wrapText="1"/>
    </xf>
    <xf numFmtId="165" fontId="6" fillId="24" borderId="1" xfId="0" applyNumberFormat="1" applyFont="1" applyFill="1" applyBorder="1" applyAlignment="1">
      <alignment horizontal="center" vertical="center" wrapText="1"/>
    </xf>
    <xf numFmtId="3" fontId="6" fillId="25" borderId="1" xfId="0" applyNumberFormat="1" applyFont="1" applyFill="1" applyBorder="1" applyAlignment="1">
      <alignment horizontal="center" vertical="center" wrapText="1"/>
    </xf>
    <xf numFmtId="169" fontId="16" fillId="7" borderId="1" xfId="0" applyNumberFormat="1" applyFont="1" applyFill="1" applyBorder="1" applyProtection="1">
      <protection locked="0"/>
    </xf>
    <xf numFmtId="4" fontId="19" fillId="7" borderId="1" xfId="0" applyNumberFormat="1" applyFont="1" applyFill="1" applyBorder="1" applyProtection="1">
      <protection locked="0"/>
    </xf>
    <xf numFmtId="169" fontId="16" fillId="19" borderId="1" xfId="0" applyNumberFormat="1" applyFont="1" applyFill="1" applyBorder="1" applyProtection="1">
      <protection locked="0"/>
    </xf>
    <xf numFmtId="4" fontId="19" fillId="19" borderId="1" xfId="0" applyNumberFormat="1" applyFont="1" applyFill="1" applyBorder="1" applyProtection="1">
      <protection locked="0"/>
    </xf>
    <xf numFmtId="4" fontId="6" fillId="19" borderId="1" xfId="0" applyNumberFormat="1" applyFont="1" applyFill="1" applyBorder="1"/>
    <xf numFmtId="3" fontId="6" fillId="0" borderId="1" xfId="5" applyNumberFormat="1" applyFont="1" applyFill="1" applyBorder="1" applyAlignment="1" applyProtection="1">
      <alignment vertical="center"/>
    </xf>
    <xf numFmtId="4" fontId="0" fillId="0" borderId="2" xfId="0" applyNumberFormat="1" applyBorder="1"/>
    <xf numFmtId="4" fontId="6" fillId="4" borderId="1" xfId="0" applyNumberFormat="1" applyFont="1" applyFill="1" applyBorder="1"/>
    <xf numFmtId="169" fontId="6" fillId="7" borderId="1" xfId="0" applyNumberFormat="1" applyFont="1" applyFill="1" applyBorder="1"/>
    <xf numFmtId="169" fontId="6" fillId="19" borderId="1" xfId="0" applyNumberFormat="1" applyFont="1" applyFill="1" applyBorder="1"/>
    <xf numFmtId="3" fontId="6" fillId="0" borderId="1" xfId="0" applyNumberFormat="1" applyFont="1" applyBorder="1" applyAlignment="1">
      <alignment vertical="center"/>
    </xf>
    <xf numFmtId="165" fontId="6" fillId="0" borderId="1" xfId="5" applyNumberFormat="1" applyFont="1" applyFill="1" applyBorder="1" applyAlignment="1" applyProtection="1"/>
    <xf numFmtId="4" fontId="0" fillId="9" borderId="1" xfId="5" applyNumberFormat="1" applyFont="1" applyFill="1" applyBorder="1" applyAlignment="1" applyProtection="1"/>
    <xf numFmtId="165" fontId="6" fillId="4" borderId="1" xfId="5" applyNumberFormat="1" applyFont="1" applyFill="1" applyBorder="1" applyAlignment="1" applyProtection="1"/>
    <xf numFmtId="0" fontId="6" fillId="0" borderId="0" xfId="0" applyFont="1" applyAlignment="1">
      <alignment vertical="center"/>
    </xf>
    <xf numFmtId="3" fontId="6" fillId="4" borderId="28" xfId="0" applyNumberFormat="1" applyFont="1" applyFill="1" applyBorder="1"/>
    <xf numFmtId="3" fontId="6" fillId="0" borderId="0" xfId="5" applyNumberFormat="1" applyFont="1" applyFill="1" applyBorder="1" applyAlignment="1" applyProtection="1">
      <alignment vertical="center"/>
    </xf>
    <xf numFmtId="3" fontId="6" fillId="4" borderId="1" xfId="0" applyNumberFormat="1" applyFont="1" applyFill="1" applyBorder="1"/>
    <xf numFmtId="169" fontId="6" fillId="4" borderId="1" xfId="0" applyNumberFormat="1" applyFont="1" applyFill="1" applyBorder="1"/>
    <xf numFmtId="169" fontId="6" fillId="26" borderId="1" xfId="0" applyNumberFormat="1" applyFont="1" applyFill="1" applyBorder="1"/>
    <xf numFmtId="4" fontId="6" fillId="26" borderId="1" xfId="0" applyNumberFormat="1" applyFont="1" applyFill="1" applyBorder="1"/>
    <xf numFmtId="3" fontId="6" fillId="0" borderId="0" xfId="0" applyNumberFormat="1" applyFont="1" applyAlignment="1">
      <alignment vertical="center"/>
    </xf>
    <xf numFmtId="0" fontId="6" fillId="7" borderId="1" xfId="0" applyFont="1" applyFill="1" applyBorder="1" applyAlignment="1">
      <alignment horizontal="center"/>
    </xf>
    <xf numFmtId="3" fontId="6" fillId="7" borderId="3" xfId="0" applyNumberFormat="1" applyFont="1" applyFill="1" applyBorder="1" applyAlignment="1">
      <alignment horizontal="center" vertical="center" wrapText="1"/>
    </xf>
    <xf numFmtId="165" fontId="6" fillId="7" borderId="3" xfId="0" applyNumberFormat="1" applyFont="1" applyFill="1" applyBorder="1" applyAlignment="1">
      <alignment horizontal="center" vertical="center" wrapText="1"/>
    </xf>
    <xf numFmtId="3" fontId="6" fillId="19" borderId="3" xfId="0" applyNumberFormat="1" applyFont="1" applyFill="1" applyBorder="1" applyAlignment="1">
      <alignment horizontal="center" vertical="center" wrapText="1"/>
    </xf>
    <xf numFmtId="165" fontId="6" fillId="19" borderId="3" xfId="0" applyNumberFormat="1" applyFont="1" applyFill="1" applyBorder="1" applyAlignment="1">
      <alignment horizontal="center" vertical="center" wrapText="1"/>
    </xf>
    <xf numFmtId="169" fontId="6" fillId="15" borderId="1" xfId="0" applyNumberFormat="1" applyFont="1" applyFill="1" applyBorder="1" applyAlignment="1">
      <alignment horizontal="right" vertical="center" wrapText="1"/>
    </xf>
    <xf numFmtId="4" fontId="6" fillId="15" borderId="1" xfId="0" applyNumberFormat="1" applyFont="1" applyFill="1" applyBorder="1" applyAlignment="1">
      <alignment horizontal="right" vertical="center" wrapText="1"/>
    </xf>
    <xf numFmtId="165" fontId="6" fillId="15" borderId="1" xfId="0" applyNumberFormat="1" applyFont="1" applyFill="1" applyBorder="1" applyAlignment="1">
      <alignment horizontal="center" vertical="center" wrapText="1"/>
    </xf>
    <xf numFmtId="4" fontId="6" fillId="15" borderId="1" xfId="0" applyNumberFormat="1" applyFont="1" applyFill="1" applyBorder="1" applyAlignment="1">
      <alignment horizontal="center" vertical="center" wrapText="1"/>
    </xf>
    <xf numFmtId="169" fontId="6" fillId="27" borderId="1" xfId="0" applyNumberFormat="1" applyFont="1" applyFill="1" applyBorder="1" applyAlignment="1">
      <alignment horizontal="right" vertical="center" wrapText="1"/>
    </xf>
    <xf numFmtId="4" fontId="6" fillId="27" borderId="1" xfId="0" applyNumberFormat="1" applyFont="1" applyFill="1" applyBorder="1" applyAlignment="1">
      <alignment horizontal="right" vertical="center" wrapText="1"/>
    </xf>
    <xf numFmtId="165" fontId="6" fillId="27" borderId="1" xfId="0" applyNumberFormat="1" applyFont="1" applyFill="1" applyBorder="1" applyAlignment="1">
      <alignment horizontal="center" vertical="center" wrapText="1"/>
    </xf>
    <xf numFmtId="4" fontId="6" fillId="27" borderId="1" xfId="0" applyNumberFormat="1" applyFont="1" applyFill="1" applyBorder="1" applyAlignment="1">
      <alignment horizontal="center" vertical="center" wrapText="1"/>
    </xf>
    <xf numFmtId="3" fontId="6" fillId="12" borderId="1" xfId="0" applyNumberFormat="1" applyFont="1" applyFill="1" applyBorder="1" applyAlignment="1">
      <alignment horizontal="right" vertical="center" wrapText="1"/>
    </xf>
    <xf numFmtId="3" fontId="6" fillId="12" borderId="1" xfId="0" applyNumberFormat="1" applyFont="1" applyFill="1" applyBorder="1" applyAlignment="1">
      <alignment horizontal="center" vertical="center" wrapText="1"/>
    </xf>
    <xf numFmtId="0" fontId="0" fillId="0" borderId="0" xfId="0" applyAlignment="1">
      <alignment vertical="center"/>
    </xf>
    <xf numFmtId="3" fontId="6" fillId="15" borderId="1" xfId="0" applyNumberFormat="1" applyFont="1" applyFill="1" applyBorder="1" applyAlignment="1">
      <alignment horizontal="center" vertical="center" wrapText="1"/>
    </xf>
    <xf numFmtId="0" fontId="6" fillId="10" borderId="69" xfId="0" applyFont="1" applyFill="1" applyBorder="1" applyAlignment="1">
      <alignment horizontal="center"/>
    </xf>
    <xf numFmtId="0" fontId="6" fillId="3" borderId="69" xfId="0" applyFont="1" applyFill="1" applyBorder="1" applyAlignment="1">
      <alignment horizontal="center"/>
    </xf>
    <xf numFmtId="0" fontId="6" fillId="3" borderId="16" xfId="0" applyFont="1" applyFill="1" applyBorder="1" applyAlignment="1">
      <alignment horizontal="center"/>
    </xf>
    <xf numFmtId="0" fontId="6" fillId="3" borderId="84" xfId="0" applyFont="1" applyFill="1" applyBorder="1" applyAlignment="1">
      <alignment horizontal="center"/>
    </xf>
    <xf numFmtId="0" fontId="6" fillId="18" borderId="69" xfId="0" applyFont="1" applyFill="1" applyBorder="1" applyAlignment="1">
      <alignment horizontal="center"/>
    </xf>
    <xf numFmtId="0" fontId="6" fillId="18" borderId="16" xfId="0" applyFont="1" applyFill="1" applyBorder="1" applyAlignment="1">
      <alignment horizontal="center"/>
    </xf>
    <xf numFmtId="0" fontId="6" fillId="18" borderId="17" xfId="0" applyFont="1" applyFill="1" applyBorder="1" applyAlignment="1">
      <alignment horizontal="center"/>
    </xf>
    <xf numFmtId="3" fontId="12" fillId="0" borderId="46" xfId="0" applyNumberFormat="1" applyFont="1" applyBorder="1"/>
    <xf numFmtId="4" fontId="44" fillId="0" borderId="25" xfId="0" applyNumberFormat="1" applyFont="1" applyBorder="1" applyAlignment="1">
      <alignment horizontal="center"/>
    </xf>
    <xf numFmtId="3" fontId="47" fillId="11" borderId="24" xfId="0" applyNumberFormat="1" applyFont="1" applyFill="1" applyBorder="1"/>
    <xf numFmtId="4" fontId="6" fillId="28" borderId="46" xfId="0" applyNumberFormat="1" applyFont="1" applyFill="1" applyBorder="1"/>
    <xf numFmtId="4" fontId="6" fillId="28" borderId="47" xfId="0" applyNumberFormat="1" applyFont="1" applyFill="1" applyBorder="1"/>
    <xf numFmtId="4" fontId="6" fillId="28" borderId="25" xfId="0" applyNumberFormat="1" applyFont="1" applyFill="1" applyBorder="1"/>
    <xf numFmtId="3" fontId="12" fillId="0" borderId="13" xfId="0" applyNumberFormat="1" applyFont="1" applyBorder="1"/>
    <xf numFmtId="10" fontId="20" fillId="0" borderId="25" xfId="0" applyNumberFormat="1" applyFont="1" applyBorder="1" applyAlignment="1">
      <alignment horizontal="center"/>
    </xf>
    <xf numFmtId="3" fontId="47" fillId="11" borderId="26" xfId="0" applyNumberFormat="1" applyFont="1" applyFill="1" applyBorder="1"/>
    <xf numFmtId="4" fontId="6" fillId="28" borderId="13" xfId="0" applyNumberFormat="1" applyFont="1" applyFill="1" applyBorder="1"/>
    <xf numFmtId="4" fontId="6" fillId="28" borderId="1" xfId="0" applyNumberFormat="1" applyFont="1" applyFill="1" applyBorder="1"/>
    <xf numFmtId="4" fontId="6" fillId="28" borderId="23" xfId="0" applyNumberFormat="1" applyFont="1" applyFill="1" applyBorder="1"/>
    <xf numFmtId="0" fontId="20" fillId="0" borderId="23" xfId="0" applyFont="1" applyBorder="1" applyAlignment="1">
      <alignment horizontal="center"/>
    </xf>
    <xf numFmtId="0" fontId="43" fillId="0" borderId="20" xfId="0" applyFont="1" applyBorder="1" applyAlignment="1">
      <alignment horizontal="center"/>
    </xf>
    <xf numFmtId="3" fontId="47" fillId="11" borderId="27" xfId="0" applyNumberFormat="1" applyFont="1" applyFill="1" applyBorder="1"/>
    <xf numFmtId="4" fontId="6" fillId="28" borderId="51" xfId="0" applyNumberFormat="1" applyFont="1" applyFill="1" applyBorder="1"/>
    <xf numFmtId="4" fontId="6" fillId="28" borderId="19" xfId="0" applyNumberFormat="1" applyFont="1" applyFill="1" applyBorder="1"/>
    <xf numFmtId="4" fontId="6" fillId="28" borderId="20" xfId="0" applyNumberFormat="1" applyFont="1" applyFill="1" applyBorder="1"/>
    <xf numFmtId="3" fontId="12" fillId="0" borderId="51" xfId="0" applyNumberFormat="1" applyFont="1" applyBorder="1"/>
    <xf numFmtId="4" fontId="12" fillId="0" borderId="20" xfId="0" applyNumberFormat="1" applyFont="1" applyBorder="1" applyAlignment="1">
      <alignment horizontal="center"/>
    </xf>
    <xf numFmtId="0" fontId="20" fillId="0" borderId="0" xfId="0" applyFont="1"/>
    <xf numFmtId="4" fontId="6" fillId="24" borderId="46" xfId="0" applyNumberFormat="1" applyFont="1" applyFill="1" applyBorder="1"/>
    <xf numFmtId="4" fontId="6" fillId="24" borderId="47" xfId="0" applyNumberFormat="1" applyFont="1" applyFill="1" applyBorder="1"/>
    <xf numFmtId="4" fontId="6" fillId="24" borderId="25" xfId="0" applyNumberFormat="1" applyFont="1" applyFill="1" applyBorder="1"/>
    <xf numFmtId="0" fontId="12" fillId="0" borderId="13" xfId="0" applyFont="1" applyBorder="1"/>
    <xf numFmtId="4" fontId="6" fillId="24" borderId="13" xfId="0" applyNumberFormat="1" applyFont="1" applyFill="1" applyBorder="1"/>
    <xf numFmtId="4" fontId="6" fillId="24" borderId="1" xfId="0" applyNumberFormat="1" applyFont="1" applyFill="1" applyBorder="1"/>
    <xf numFmtId="4" fontId="6" fillId="24" borderId="23" xfId="0" applyNumberFormat="1" applyFont="1" applyFill="1" applyBorder="1"/>
    <xf numFmtId="3" fontId="11" fillId="0" borderId="10" xfId="0" applyNumberFormat="1" applyFont="1" applyBorder="1" applyAlignment="1">
      <alignment horizontal="center"/>
    </xf>
    <xf numFmtId="3" fontId="11" fillId="0" borderId="7" xfId="0" applyNumberFormat="1" applyFont="1" applyBorder="1" applyAlignment="1">
      <alignment horizontal="center"/>
    </xf>
    <xf numFmtId="3" fontId="11" fillId="0" borderId="8" xfId="0" applyNumberFormat="1" applyFont="1" applyBorder="1" applyAlignment="1">
      <alignment horizontal="center"/>
    </xf>
    <xf numFmtId="4" fontId="6" fillId="24" borderId="51" xfId="0" applyNumberFormat="1" applyFont="1" applyFill="1" applyBorder="1"/>
    <xf numFmtId="4" fontId="6" fillId="24" borderId="19" xfId="0" applyNumberFormat="1" applyFont="1" applyFill="1" applyBorder="1"/>
    <xf numFmtId="4" fontId="6" fillId="24" borderId="20" xfId="0" applyNumberFormat="1" applyFont="1" applyFill="1" applyBorder="1"/>
    <xf numFmtId="0" fontId="11" fillId="0" borderId="33" xfId="0" applyFont="1" applyBorder="1" applyAlignment="1">
      <alignment horizontal="center"/>
    </xf>
    <xf numFmtId="4" fontId="0" fillId="0" borderId="24" xfId="0" applyNumberFormat="1" applyBorder="1"/>
    <xf numFmtId="4" fontId="0" fillId="0" borderId="33" xfId="0" applyNumberFormat="1" applyBorder="1"/>
    <xf numFmtId="4" fontId="0" fillId="0" borderId="52" xfId="0" applyNumberFormat="1" applyBorder="1"/>
    <xf numFmtId="4" fontId="6" fillId="29" borderId="46" xfId="0" applyNumberFormat="1" applyFont="1" applyFill="1" applyBorder="1"/>
    <xf numFmtId="4" fontId="6" fillId="29" borderId="47" xfId="0" applyNumberFormat="1" applyFont="1" applyFill="1" applyBorder="1"/>
    <xf numFmtId="4" fontId="6" fillId="29" borderId="25" xfId="0" applyNumberFormat="1" applyFont="1" applyFill="1" applyBorder="1"/>
    <xf numFmtId="4" fontId="6" fillId="18" borderId="46" xfId="0" applyNumberFormat="1" applyFont="1" applyFill="1" applyBorder="1"/>
    <xf numFmtId="4" fontId="6" fillId="18" borderId="47" xfId="0" applyNumberFormat="1" applyFont="1" applyFill="1" applyBorder="1"/>
    <xf numFmtId="4" fontId="6" fillId="18" borderId="25" xfId="0" applyNumberFormat="1" applyFont="1" applyFill="1" applyBorder="1"/>
    <xf numFmtId="0" fontId="11" fillId="0" borderId="35" xfId="0" applyFont="1" applyBorder="1" applyAlignment="1">
      <alignment horizontal="center"/>
    </xf>
    <xf numFmtId="4" fontId="0" fillId="0" borderId="21" xfId="0" applyNumberFormat="1" applyBorder="1"/>
    <xf numFmtId="4" fontId="0" fillId="0" borderId="58" xfId="0" applyNumberFormat="1" applyBorder="1"/>
    <xf numFmtId="4" fontId="6" fillId="29" borderId="13" xfId="0" applyNumberFormat="1" applyFont="1" applyFill="1" applyBorder="1"/>
    <xf numFmtId="4" fontId="6" fillId="29" borderId="1" xfId="0" applyNumberFormat="1" applyFont="1" applyFill="1" applyBorder="1"/>
    <xf numFmtId="4" fontId="6" fillId="29" borderId="23" xfId="0" applyNumberFormat="1" applyFont="1" applyFill="1" applyBorder="1"/>
    <xf numFmtId="4" fontId="6" fillId="18" borderId="13" xfId="0" applyNumberFormat="1" applyFont="1" applyFill="1" applyBorder="1"/>
    <xf numFmtId="4" fontId="6" fillId="18" borderId="23" xfId="0" applyNumberFormat="1" applyFont="1" applyFill="1" applyBorder="1"/>
    <xf numFmtId="4" fontId="6" fillId="29" borderId="51" xfId="0" applyNumberFormat="1" applyFont="1" applyFill="1" applyBorder="1"/>
    <xf numFmtId="4" fontId="6" fillId="29" borderId="19" xfId="0" applyNumberFormat="1" applyFont="1" applyFill="1" applyBorder="1"/>
    <xf numFmtId="4" fontId="6" fillId="29" borderId="20" xfId="0" applyNumberFormat="1" applyFont="1" applyFill="1" applyBorder="1"/>
    <xf numFmtId="4" fontId="6" fillId="18" borderId="51" xfId="0" applyNumberFormat="1" applyFont="1" applyFill="1" applyBorder="1"/>
    <xf numFmtId="4" fontId="6" fillId="18" borderId="19" xfId="0" applyNumberFormat="1" applyFont="1" applyFill="1" applyBorder="1"/>
    <xf numFmtId="4" fontId="6" fillId="18" borderId="20" xfId="0" applyNumberFormat="1" applyFont="1" applyFill="1" applyBorder="1"/>
    <xf numFmtId="0" fontId="11" fillId="0" borderId="65" xfId="0" applyFont="1" applyBorder="1" applyAlignment="1">
      <alignment horizontal="center"/>
    </xf>
    <xf numFmtId="4" fontId="0" fillId="0" borderId="6" xfId="0" applyNumberFormat="1" applyBorder="1"/>
    <xf numFmtId="4" fontId="0" fillId="0" borderId="65" xfId="0" applyNumberFormat="1" applyBorder="1"/>
    <xf numFmtId="0" fontId="0" fillId="0" borderId="5" xfId="0" applyBorder="1"/>
    <xf numFmtId="4" fontId="6" fillId="0" borderId="8" xfId="0" applyNumberFormat="1" applyFont="1" applyBorder="1"/>
    <xf numFmtId="10" fontId="16" fillId="0" borderId="1" xfId="0" applyNumberFormat="1" applyFont="1" applyBorder="1" applyAlignment="1">
      <alignment horizontal="center"/>
    </xf>
    <xf numFmtId="10" fontId="6" fillId="0" borderId="1" xfId="5" applyNumberFormat="1" applyFont="1" applyFill="1" applyBorder="1" applyAlignment="1" applyProtection="1">
      <alignment horizontal="center"/>
    </xf>
    <xf numFmtId="3" fontId="0" fillId="9" borderId="1" xfId="0" applyNumberFormat="1" applyFill="1" applyBorder="1" applyAlignment="1">
      <alignment horizontal="center"/>
    </xf>
    <xf numFmtId="165" fontId="6" fillId="18" borderId="1" xfId="5" applyNumberFormat="1" applyFont="1" applyFill="1" applyBorder="1" applyAlignment="1" applyProtection="1">
      <alignment horizontal="center"/>
    </xf>
    <xf numFmtId="165" fontId="6" fillId="9" borderId="1" xfId="5" applyNumberFormat="1" applyFont="1" applyFill="1" applyBorder="1" applyAlignment="1" applyProtection="1">
      <alignment horizontal="center"/>
    </xf>
    <xf numFmtId="3" fontId="6" fillId="9" borderId="1" xfId="5" applyNumberFormat="1" applyFont="1" applyFill="1" applyBorder="1" applyAlignment="1" applyProtection="1"/>
    <xf numFmtId="3" fontId="6" fillId="8" borderId="1" xfId="0" applyNumberFormat="1" applyFont="1" applyFill="1" applyBorder="1" applyAlignment="1">
      <alignment horizontal="center"/>
    </xf>
    <xf numFmtId="0" fontId="6" fillId="0" borderId="1" xfId="0" applyFont="1" applyBorder="1" applyAlignment="1">
      <alignment horizontal="center"/>
    </xf>
    <xf numFmtId="3" fontId="6" fillId="8" borderId="28" xfId="0" applyNumberFormat="1" applyFont="1" applyFill="1" applyBorder="1" applyAlignment="1">
      <alignment horizontal="center"/>
    </xf>
    <xf numFmtId="3" fontId="6" fillId="25" borderId="28" xfId="0" applyNumberFormat="1" applyFont="1" applyFill="1" applyBorder="1" applyAlignment="1">
      <alignment horizontal="center" vertical="center" wrapText="1"/>
    </xf>
    <xf numFmtId="3" fontId="6" fillId="0" borderId="28" xfId="0" applyNumberFormat="1" applyFont="1" applyBorder="1" applyAlignment="1">
      <alignment horizontal="center"/>
    </xf>
    <xf numFmtId="3" fontId="6" fillId="4" borderId="48" xfId="0" applyNumberFormat="1" applyFont="1" applyFill="1" applyBorder="1" applyAlignment="1">
      <alignment horizontal="center"/>
    </xf>
    <xf numFmtId="0" fontId="6" fillId="0" borderId="1" xfId="0" applyFont="1" applyBorder="1"/>
    <xf numFmtId="165" fontId="16" fillId="7" borderId="1" xfId="5" applyNumberFormat="1" applyFont="1" applyFill="1" applyBorder="1" applyAlignment="1" applyProtection="1">
      <alignment horizontal="center"/>
    </xf>
    <xf numFmtId="3" fontId="19" fillId="7" borderId="1" xfId="0" applyNumberFormat="1" applyFont="1" applyFill="1" applyBorder="1"/>
    <xf numFmtId="4" fontId="0" fillId="7" borderId="1" xfId="0" applyNumberFormat="1" applyFill="1" applyBorder="1"/>
    <xf numFmtId="165" fontId="16" fillId="0" borderId="1" xfId="5" applyNumberFormat="1" applyFont="1" applyFill="1" applyBorder="1" applyAlignment="1" applyProtection="1">
      <alignment horizontal="center"/>
    </xf>
    <xf numFmtId="3" fontId="19" fillId="0" borderId="1" xfId="0" applyNumberFormat="1" applyFont="1" applyBorder="1"/>
    <xf numFmtId="165" fontId="16" fillId="0" borderId="1" xfId="0" applyNumberFormat="1" applyFont="1" applyBorder="1" applyAlignment="1">
      <alignment horizontal="center"/>
    </xf>
    <xf numFmtId="4" fontId="6" fillId="8" borderId="1" xfId="0" applyNumberFormat="1" applyFont="1" applyFill="1" applyBorder="1"/>
    <xf numFmtId="3" fontId="0" fillId="0" borderId="1" xfId="0" applyNumberFormat="1" applyBorder="1"/>
    <xf numFmtId="3" fontId="6" fillId="4" borderId="49" xfId="0" applyNumberFormat="1" applyFont="1" applyFill="1" applyBorder="1"/>
    <xf numFmtId="165" fontId="6" fillId="8" borderId="1" xfId="5" applyNumberFormat="1" applyFont="1" applyFill="1" applyBorder="1" applyAlignment="1" applyProtection="1">
      <alignment horizontal="center"/>
    </xf>
    <xf numFmtId="165" fontId="0" fillId="9" borderId="1" xfId="5" applyNumberFormat="1" applyFont="1" applyFill="1" applyBorder="1" applyAlignment="1" applyProtection="1"/>
    <xf numFmtId="165" fontId="6" fillId="4" borderId="49" xfId="5" applyNumberFormat="1" applyFont="1" applyFill="1" applyBorder="1" applyAlignment="1" applyProtection="1"/>
    <xf numFmtId="0" fontId="6" fillId="0" borderId="3" xfId="0" applyFont="1" applyBorder="1"/>
    <xf numFmtId="3" fontId="6" fillId="10" borderId="1" xfId="0" applyNumberFormat="1" applyFont="1" applyFill="1" applyBorder="1"/>
    <xf numFmtId="165" fontId="6" fillId="10" borderId="1" xfId="0" applyNumberFormat="1" applyFont="1" applyFill="1" applyBorder="1" applyAlignment="1">
      <alignment horizontal="center"/>
    </xf>
    <xf numFmtId="165" fontId="19" fillId="7" borderId="1" xfId="5" applyNumberFormat="1" applyFont="1" applyFill="1" applyBorder="1" applyAlignment="1" applyProtection="1">
      <alignment horizontal="center"/>
    </xf>
    <xf numFmtId="165" fontId="19" fillId="0" borderId="1" xfId="5" applyNumberFormat="1" applyFont="1" applyFill="1" applyBorder="1" applyAlignment="1" applyProtection="1">
      <alignment horizontal="center"/>
    </xf>
    <xf numFmtId="165" fontId="6" fillId="0" borderId="0" xfId="5" applyNumberFormat="1" applyFont="1" applyFill="1" applyBorder="1" applyAlignment="1" applyProtection="1">
      <alignment horizontal="center"/>
    </xf>
    <xf numFmtId="4" fontId="6" fillId="0" borderId="49" xfId="0" applyNumberFormat="1" applyFont="1" applyBorder="1" applyAlignment="1">
      <alignment horizontal="center"/>
    </xf>
    <xf numFmtId="4" fontId="6" fillId="8" borderId="2" xfId="0" applyNumberFormat="1" applyFont="1" applyFill="1" applyBorder="1" applyAlignment="1">
      <alignment horizontal="center"/>
    </xf>
    <xf numFmtId="4" fontId="6" fillId="7" borderId="49" xfId="0" applyNumberFormat="1" applyFont="1" applyFill="1" applyBorder="1"/>
    <xf numFmtId="4" fontId="6" fillId="8" borderId="2" xfId="0" applyNumberFormat="1" applyFont="1" applyFill="1" applyBorder="1"/>
    <xf numFmtId="4" fontId="6" fillId="9" borderId="3" xfId="0" applyNumberFormat="1" applyFont="1" applyFill="1" applyBorder="1"/>
    <xf numFmtId="165" fontId="6" fillId="7" borderId="1" xfId="5" applyNumberFormat="1" applyFont="1" applyFill="1" applyBorder="1" applyAlignment="1" applyProtection="1">
      <alignment horizontal="center"/>
    </xf>
    <xf numFmtId="4" fontId="6" fillId="9" borderId="40" xfId="0" applyNumberFormat="1" applyFont="1" applyFill="1" applyBorder="1"/>
    <xf numFmtId="4" fontId="6" fillId="7" borderId="1" xfId="0" applyNumberFormat="1" applyFont="1" applyFill="1" applyBorder="1" applyAlignment="1">
      <alignment horizontal="center"/>
    </xf>
    <xf numFmtId="4" fontId="6" fillId="9" borderId="28" xfId="0" applyNumberFormat="1" applyFont="1" applyFill="1" applyBorder="1"/>
    <xf numFmtId="4" fontId="6" fillId="10" borderId="49" xfId="0" applyNumberFormat="1" applyFont="1" applyFill="1" applyBorder="1"/>
    <xf numFmtId="4" fontId="6" fillId="10" borderId="1" xfId="0" applyNumberFormat="1" applyFont="1" applyFill="1" applyBorder="1" applyAlignment="1">
      <alignment horizontal="center"/>
    </xf>
    <xf numFmtId="4" fontId="6" fillId="30" borderId="1" xfId="0" applyNumberFormat="1" applyFont="1" applyFill="1" applyBorder="1"/>
    <xf numFmtId="4" fontId="6" fillId="0" borderId="50" xfId="0" applyNumberFormat="1" applyFont="1" applyBorder="1"/>
    <xf numFmtId="4" fontId="6" fillId="7" borderId="28" xfId="0" applyNumberFormat="1" applyFont="1" applyFill="1" applyBorder="1"/>
    <xf numFmtId="4" fontId="6" fillId="7" borderId="48" xfId="0" applyNumberFormat="1" applyFont="1" applyFill="1" applyBorder="1"/>
    <xf numFmtId="4" fontId="6" fillId="10" borderId="28" xfId="0" applyNumberFormat="1" applyFont="1" applyFill="1" applyBorder="1"/>
    <xf numFmtId="4" fontId="6" fillId="10" borderId="48" xfId="0" applyNumberFormat="1" applyFont="1" applyFill="1" applyBorder="1"/>
    <xf numFmtId="165" fontId="0" fillId="0" borderId="0" xfId="5" applyNumberFormat="1" applyFont="1" applyFill="1" applyBorder="1" applyAlignment="1" applyProtection="1">
      <alignment horizontal="center"/>
    </xf>
    <xf numFmtId="4" fontId="0" fillId="0" borderId="53" xfId="0" applyNumberFormat="1" applyBorder="1"/>
    <xf numFmtId="0" fontId="0" fillId="0" borderId="8" xfId="0" applyBorder="1"/>
    <xf numFmtId="0" fontId="0" fillId="0" borderId="9" xfId="0" applyBorder="1"/>
    <xf numFmtId="4" fontId="6" fillId="3" borderId="1" xfId="0" applyNumberFormat="1" applyFont="1" applyFill="1" applyBorder="1"/>
    <xf numFmtId="4" fontId="0" fillId="18" borderId="1" xfId="0" applyNumberFormat="1" applyFill="1" applyBorder="1"/>
    <xf numFmtId="4" fontId="0" fillId="3" borderId="1" xfId="0" applyNumberFormat="1" applyFill="1" applyBorder="1"/>
    <xf numFmtId="0" fontId="0" fillId="10" borderId="1" xfId="0" applyFill="1" applyBorder="1"/>
    <xf numFmtId="4" fontId="6" fillId="0" borderId="28" xfId="0" applyNumberFormat="1" applyFont="1" applyBorder="1" applyAlignment="1">
      <alignment horizontal="center"/>
    </xf>
    <xf numFmtId="4" fontId="0" fillId="11" borderId="1" xfId="0" applyNumberFormat="1" applyFill="1" applyBorder="1"/>
    <xf numFmtId="4" fontId="12" fillId="18" borderId="1" xfId="0" applyNumberFormat="1" applyFont="1" applyFill="1" applyBorder="1" applyAlignment="1">
      <alignment horizontal="center"/>
    </xf>
    <xf numFmtId="3" fontId="18" fillId="0" borderId="1" xfId="0" applyNumberFormat="1" applyFont="1" applyBorder="1" applyAlignment="1">
      <alignment horizontal="center"/>
    </xf>
    <xf numFmtId="4" fontId="12" fillId="0" borderId="1" xfId="0" applyNumberFormat="1" applyFont="1" applyBorder="1"/>
    <xf numFmtId="3" fontId="12" fillId="0" borderId="1" xfId="0" applyNumberFormat="1" applyFont="1" applyBorder="1" applyAlignment="1">
      <alignment horizontal="center"/>
    </xf>
    <xf numFmtId="3" fontId="12" fillId="0" borderId="1" xfId="0" applyNumberFormat="1" applyFont="1" applyBorder="1" applyAlignment="1">
      <alignment horizontal="right"/>
    </xf>
    <xf numFmtId="3" fontId="6" fillId="0" borderId="1" xfId="0" applyNumberFormat="1" applyFont="1" applyBorder="1" applyAlignment="1">
      <alignment horizontal="right"/>
    </xf>
    <xf numFmtId="4" fontId="26" fillId="0" borderId="1" xfId="0" applyNumberFormat="1" applyFont="1" applyBorder="1" applyAlignment="1">
      <alignment horizontal="right"/>
    </xf>
    <xf numFmtId="4" fontId="6" fillId="0" borderId="1" xfId="0" applyNumberFormat="1" applyFont="1" applyBorder="1" applyAlignment="1">
      <alignment horizontal="right"/>
    </xf>
    <xf numFmtId="4" fontId="12" fillId="0" borderId="3" xfId="0" applyNumberFormat="1" applyFont="1" applyBorder="1" applyAlignment="1">
      <alignment horizontal="right"/>
    </xf>
    <xf numFmtId="10" fontId="33" fillId="0" borderId="40" xfId="5" applyNumberFormat="1" applyFont="1" applyFill="1" applyBorder="1" applyAlignment="1" applyProtection="1">
      <alignment horizontal="right"/>
    </xf>
    <xf numFmtId="10" fontId="34" fillId="0" borderId="40" xfId="5" applyNumberFormat="1" applyFont="1" applyFill="1" applyBorder="1" applyAlignment="1" applyProtection="1">
      <alignment horizontal="right"/>
    </xf>
    <xf numFmtId="10" fontId="34" fillId="0" borderId="28" xfId="5" applyNumberFormat="1" applyFont="1" applyFill="1" applyBorder="1" applyAlignment="1" applyProtection="1">
      <alignment horizontal="right"/>
    </xf>
    <xf numFmtId="10" fontId="19" fillId="0" borderId="1" xfId="5" applyNumberFormat="1" applyFont="1" applyFill="1" applyBorder="1" applyAlignment="1" applyProtection="1"/>
    <xf numFmtId="10" fontId="16" fillId="0" borderId="1" xfId="5" applyNumberFormat="1" applyFont="1" applyFill="1" applyBorder="1" applyAlignment="1" applyProtection="1"/>
    <xf numFmtId="10" fontId="6" fillId="0" borderId="1" xfId="5" applyNumberFormat="1" applyFont="1" applyFill="1" applyBorder="1" applyAlignment="1" applyProtection="1">
      <alignment horizontal="right"/>
    </xf>
    <xf numFmtId="0" fontId="6" fillId="10" borderId="3" xfId="0" applyFont="1" applyFill="1" applyBorder="1" applyAlignment="1">
      <alignment horizontal="center"/>
    </xf>
    <xf numFmtId="4" fontId="6" fillId="0" borderId="3" xfId="0" applyNumberFormat="1" applyFont="1" applyBorder="1" applyAlignment="1">
      <alignment horizontal="right"/>
    </xf>
    <xf numFmtId="4" fontId="6" fillId="0" borderId="40" xfId="0" applyNumberFormat="1" applyFont="1" applyBorder="1" applyAlignment="1">
      <alignment horizontal="right"/>
    </xf>
    <xf numFmtId="0" fontId="11" fillId="0" borderId="40" xfId="0" applyFont="1" applyBorder="1"/>
    <xf numFmtId="3" fontId="11" fillId="0" borderId="40" xfId="0" applyNumberFormat="1" applyFont="1" applyBorder="1"/>
    <xf numFmtId="4" fontId="11" fillId="0" borderId="40" xfId="0" applyNumberFormat="1" applyFont="1" applyBorder="1" applyAlignment="1">
      <alignment horizontal="right"/>
    </xf>
    <xf numFmtId="4" fontId="6" fillId="0" borderId="28" xfId="0" applyNumberFormat="1" applyFont="1" applyBorder="1" applyAlignment="1">
      <alignment horizontal="right"/>
    </xf>
    <xf numFmtId="0" fontId="11" fillId="0" borderId="6" xfId="0" applyFont="1" applyBorder="1"/>
    <xf numFmtId="3" fontId="11" fillId="0" borderId="14" xfId="0" applyNumberFormat="1" applyFont="1" applyBorder="1"/>
    <xf numFmtId="4" fontId="11" fillId="0" borderId="85" xfId="0" applyNumberFormat="1" applyFont="1" applyBorder="1" applyAlignment="1">
      <alignment horizontal="right"/>
    </xf>
    <xf numFmtId="4" fontId="11" fillId="0" borderId="41" xfId="0" applyNumberFormat="1" applyFont="1" applyBorder="1" applyAlignment="1">
      <alignment horizontal="right"/>
    </xf>
    <xf numFmtId="4" fontId="11" fillId="0" borderId="65" xfId="0" applyNumberFormat="1" applyFont="1" applyBorder="1" applyAlignment="1">
      <alignment horizontal="right"/>
    </xf>
    <xf numFmtId="0" fontId="11" fillId="0" borderId="0" xfId="0" applyFont="1"/>
    <xf numFmtId="3" fontId="6" fillId="0" borderId="1" xfId="0" applyNumberFormat="1" applyFont="1" applyBorder="1" applyAlignment="1">
      <alignment horizontal="left"/>
    </xf>
    <xf numFmtId="3" fontId="11" fillId="0" borderId="1" xfId="0" applyNumberFormat="1" applyFont="1" applyBorder="1"/>
    <xf numFmtId="4" fontId="11" fillId="0" borderId="1" xfId="0" applyNumberFormat="1" applyFont="1" applyBorder="1" applyAlignment="1">
      <alignment horizontal="right"/>
    </xf>
    <xf numFmtId="4" fontId="6" fillId="7" borderId="1" xfId="0" applyNumberFormat="1" applyFont="1" applyFill="1" applyBorder="1" applyAlignment="1">
      <alignment horizontal="right"/>
    </xf>
    <xf numFmtId="4" fontId="47" fillId="17" borderId="1" xfId="0" applyNumberFormat="1" applyFont="1" applyFill="1" applyBorder="1" applyAlignment="1">
      <alignment horizontal="right"/>
    </xf>
    <xf numFmtId="3" fontId="48" fillId="17" borderId="1" xfId="0" applyNumberFormat="1" applyFont="1" applyFill="1" applyBorder="1"/>
    <xf numFmtId="4" fontId="48" fillId="17" borderId="1" xfId="0" applyNumberFormat="1" applyFont="1" applyFill="1" applyBorder="1" applyAlignment="1">
      <alignment horizontal="right"/>
    </xf>
    <xf numFmtId="0" fontId="11" fillId="0" borderId="1" xfId="0" applyFont="1" applyBorder="1"/>
    <xf numFmtId="4" fontId="11" fillId="0" borderId="1" xfId="0" applyNumberFormat="1" applyFont="1" applyBorder="1"/>
    <xf numFmtId="4" fontId="11" fillId="8" borderId="6" xfId="0" applyNumberFormat="1" applyFont="1" applyFill="1" applyBorder="1"/>
    <xf numFmtId="4" fontId="11" fillId="8" borderId="14" xfId="0" applyNumberFormat="1" applyFont="1" applyFill="1" applyBorder="1"/>
    <xf numFmtId="4" fontId="11" fillId="8" borderId="85" xfId="0" applyNumberFormat="1" applyFont="1" applyFill="1" applyBorder="1"/>
    <xf numFmtId="4" fontId="11" fillId="8" borderId="40" xfId="0" applyNumberFormat="1" applyFont="1" applyFill="1" applyBorder="1"/>
    <xf numFmtId="4" fontId="11" fillId="8" borderId="41" xfId="0" applyNumberFormat="1" applyFont="1" applyFill="1" applyBorder="1"/>
    <xf numFmtId="4" fontId="11" fillId="8" borderId="65" xfId="0" applyNumberFormat="1" applyFont="1" applyFill="1" applyBorder="1"/>
    <xf numFmtId="4" fontId="11" fillId="0" borderId="0" xfId="0" applyNumberFormat="1" applyFont="1"/>
    <xf numFmtId="4" fontId="11" fillId="8" borderId="29" xfId="0" applyNumberFormat="1" applyFont="1" applyFill="1" applyBorder="1"/>
    <xf numFmtId="4" fontId="11" fillId="8" borderId="32" xfId="0" applyNumberFormat="1" applyFont="1" applyFill="1" applyBorder="1"/>
    <xf numFmtId="4" fontId="11" fillId="8" borderId="61" xfId="0" applyNumberFormat="1" applyFont="1" applyFill="1" applyBorder="1"/>
    <xf numFmtId="4" fontId="11" fillId="8" borderId="43" xfId="0" applyNumberFormat="1" applyFont="1" applyFill="1" applyBorder="1"/>
    <xf numFmtId="4" fontId="11" fillId="8" borderId="44" xfId="0" applyNumberFormat="1" applyFont="1" applyFill="1" applyBorder="1"/>
    <xf numFmtId="4" fontId="11" fillId="8" borderId="39" xfId="0" applyNumberFormat="1" applyFont="1" applyFill="1" applyBorder="1"/>
    <xf numFmtId="4" fontId="18" fillId="0" borderId="1" xfId="0" applyNumberFormat="1" applyFont="1" applyBorder="1" applyAlignment="1">
      <alignment horizontal="right"/>
    </xf>
    <xf numFmtId="3" fontId="12" fillId="0" borderId="3" xfId="0" applyNumberFormat="1" applyFont="1" applyBorder="1" applyAlignment="1">
      <alignment horizontal="right"/>
    </xf>
    <xf numFmtId="10" fontId="35" fillId="0" borderId="40" xfId="5" applyNumberFormat="1" applyFont="1" applyFill="1" applyBorder="1" applyAlignment="1" applyProtection="1">
      <alignment horizontal="right"/>
    </xf>
    <xf numFmtId="10" fontId="35" fillId="0" borderId="28" xfId="5" applyNumberFormat="1" applyFont="1" applyFill="1" applyBorder="1" applyAlignment="1" applyProtection="1">
      <alignment horizontal="right"/>
    </xf>
    <xf numFmtId="4" fontId="19" fillId="0" borderId="1" xfId="0" applyNumberFormat="1" applyFont="1" applyBorder="1"/>
    <xf numFmtId="4" fontId="6" fillId="9" borderId="1" xfId="0" applyNumberFormat="1" applyFont="1" applyFill="1" applyBorder="1" applyAlignment="1">
      <alignment horizontal="center"/>
    </xf>
    <xf numFmtId="10" fontId="19" fillId="0" borderId="1" xfId="0" applyNumberFormat="1" applyFont="1" applyBorder="1"/>
    <xf numFmtId="0" fontId="11" fillId="8" borderId="6" xfId="0" applyFont="1" applyFill="1" applyBorder="1"/>
    <xf numFmtId="0" fontId="11" fillId="8" borderId="14" xfId="0" applyFont="1" applyFill="1" applyBorder="1"/>
    <xf numFmtId="0" fontId="11" fillId="8" borderId="29" xfId="0" applyFont="1" applyFill="1" applyBorder="1"/>
    <xf numFmtId="0" fontId="11" fillId="8" borderId="32" xfId="0" applyFont="1" applyFill="1" applyBorder="1"/>
    <xf numFmtId="3" fontId="12" fillId="18" borderId="1" xfId="0" applyNumberFormat="1" applyFont="1" applyFill="1" applyBorder="1" applyAlignment="1">
      <alignment horizontal="center"/>
    </xf>
    <xf numFmtId="3" fontId="6" fillId="18" borderId="1" xfId="0" applyNumberFormat="1" applyFont="1" applyFill="1" applyBorder="1" applyAlignment="1">
      <alignment horizontal="center"/>
    </xf>
    <xf numFmtId="0" fontId="12" fillId="0" borderId="1" xfId="0" applyFont="1" applyBorder="1" applyAlignment="1">
      <alignment horizontal="center"/>
    </xf>
    <xf numFmtId="0" fontId="6" fillId="0" borderId="3" xfId="0" applyFont="1" applyBorder="1" applyAlignment="1">
      <alignment horizontal="center"/>
    </xf>
    <xf numFmtId="0" fontId="6" fillId="7" borderId="3" xfId="0" applyFont="1" applyFill="1" applyBorder="1"/>
    <xf numFmtId="0" fontId="12" fillId="0" borderId="3" xfId="0" applyFont="1" applyBorder="1" applyAlignment="1">
      <alignment horizontal="center"/>
    </xf>
    <xf numFmtId="4" fontId="26" fillId="0" borderId="40" xfId="0" applyNumberFormat="1" applyFont="1" applyBorder="1" applyAlignment="1">
      <alignment horizontal="right"/>
    </xf>
    <xf numFmtId="4" fontId="6" fillId="0" borderId="40" xfId="0" applyNumberFormat="1" applyFont="1" applyBorder="1" applyAlignment="1">
      <alignment horizontal="center"/>
    </xf>
    <xf numFmtId="4" fontId="12" fillId="0" borderId="40" xfId="0" applyNumberFormat="1" applyFont="1" applyBorder="1" applyAlignment="1">
      <alignment horizontal="right"/>
    </xf>
    <xf numFmtId="4" fontId="12" fillId="0" borderId="28" xfId="0" applyNumberFormat="1" applyFont="1" applyBorder="1" applyAlignment="1">
      <alignment horizontal="right"/>
    </xf>
    <xf numFmtId="3" fontId="16" fillId="0" borderId="3" xfId="5" applyNumberFormat="1" applyFont="1" applyFill="1" applyBorder="1" applyAlignment="1" applyProtection="1">
      <alignment horizontal="center"/>
    </xf>
    <xf numFmtId="10" fontId="34" fillId="0" borderId="0" xfId="5" applyNumberFormat="1" applyFont="1" applyFill="1" applyBorder="1" applyAlignment="1" applyProtection="1">
      <alignment horizontal="right"/>
    </xf>
    <xf numFmtId="4" fontId="6" fillId="0" borderId="3" xfId="5" applyNumberFormat="1" applyFont="1" applyFill="1" applyBorder="1" applyAlignment="1" applyProtection="1">
      <alignment horizontal="right"/>
    </xf>
    <xf numFmtId="4" fontId="6" fillId="0" borderId="28" xfId="5" applyNumberFormat="1" applyFont="1" applyFill="1" applyBorder="1" applyAlignment="1" applyProtection="1">
      <alignment horizontal="right"/>
    </xf>
    <xf numFmtId="4" fontId="6" fillId="0" borderId="3" xfId="0" applyNumberFormat="1" applyFont="1" applyBorder="1"/>
    <xf numFmtId="3" fontId="16" fillId="0" borderId="3" xfId="0" applyNumberFormat="1" applyFont="1" applyBorder="1"/>
    <xf numFmtId="10" fontId="19" fillId="0" borderId="40" xfId="5" applyNumberFormat="1" applyFont="1" applyFill="1" applyBorder="1" applyAlignment="1" applyProtection="1"/>
    <xf numFmtId="0" fontId="15" fillId="0" borderId="0" xfId="1" applyNumberFormat="1" applyFill="1" applyBorder="1" applyAlignment="1" applyProtection="1"/>
    <xf numFmtId="3" fontId="6" fillId="0" borderId="3" xfId="0" applyNumberFormat="1" applyFont="1" applyBorder="1"/>
    <xf numFmtId="3" fontId="6" fillId="0" borderId="3" xfId="0" applyNumberFormat="1" applyFont="1" applyBorder="1" applyAlignment="1">
      <alignment horizontal="center"/>
    </xf>
    <xf numFmtId="4" fontId="6" fillId="0" borderId="28" xfId="0" applyNumberFormat="1" applyFont="1" applyBorder="1"/>
    <xf numFmtId="10" fontId="16" fillId="0" borderId="1" xfId="5" applyNumberFormat="1" applyFont="1" applyFill="1" applyBorder="1" applyAlignment="1" applyProtection="1">
      <alignment horizontal="center"/>
    </xf>
    <xf numFmtId="0" fontId="12" fillId="0" borderId="0" xfId="0" applyFont="1"/>
    <xf numFmtId="10" fontId="16" fillId="0" borderId="0" xfId="5" applyNumberFormat="1" applyFont="1" applyFill="1" applyBorder="1" applyAlignment="1" applyProtection="1"/>
    <xf numFmtId="10" fontId="6" fillId="0" borderId="0" xfId="5" applyNumberFormat="1" applyFont="1" applyFill="1" applyBorder="1" applyAlignment="1" applyProtection="1">
      <alignment horizontal="right"/>
    </xf>
    <xf numFmtId="49" fontId="16" fillId="0" borderId="1" xfId="5" applyNumberFormat="1" applyFont="1" applyFill="1" applyBorder="1" applyAlignment="1" applyProtection="1">
      <alignment horizontal="center"/>
    </xf>
    <xf numFmtId="0" fontId="11" fillId="7" borderId="40" xfId="0" applyFont="1" applyFill="1" applyBorder="1"/>
    <xf numFmtId="3" fontId="11" fillId="7" borderId="40" xfId="0" applyNumberFormat="1" applyFont="1" applyFill="1" applyBorder="1"/>
    <xf numFmtId="4" fontId="11" fillId="7" borderId="40" xfId="0" applyNumberFormat="1" applyFont="1" applyFill="1" applyBorder="1" applyAlignment="1">
      <alignment horizontal="right"/>
    </xf>
    <xf numFmtId="4" fontId="11" fillId="12" borderId="40" xfId="0" applyNumberFormat="1" applyFont="1" applyFill="1" applyBorder="1" applyAlignment="1">
      <alignment horizontal="right"/>
    </xf>
    <xf numFmtId="3" fontId="11" fillId="7" borderId="40" xfId="0" applyNumberFormat="1" applyFont="1" applyFill="1" applyBorder="1" applyAlignment="1">
      <alignment horizontal="center"/>
    </xf>
    <xf numFmtId="3" fontId="11" fillId="7" borderId="6" xfId="0" applyNumberFormat="1" applyFont="1" applyFill="1" applyBorder="1" applyAlignment="1">
      <alignment horizontal="center"/>
    </xf>
    <xf numFmtId="3" fontId="11" fillId="7" borderId="14" xfId="0" applyNumberFormat="1" applyFont="1" applyFill="1" applyBorder="1" applyAlignment="1">
      <alignment horizontal="center"/>
    </xf>
    <xf numFmtId="4" fontId="11" fillId="7" borderId="85" xfId="0" applyNumberFormat="1" applyFont="1" applyFill="1" applyBorder="1" applyAlignment="1">
      <alignment horizontal="right"/>
    </xf>
    <xf numFmtId="4" fontId="11" fillId="7" borderId="41" xfId="0" applyNumberFormat="1" applyFont="1" applyFill="1" applyBorder="1" applyAlignment="1">
      <alignment horizontal="right"/>
    </xf>
    <xf numFmtId="4" fontId="11" fillId="7" borderId="65" xfId="0" applyNumberFormat="1" applyFont="1" applyFill="1" applyBorder="1" applyAlignment="1">
      <alignment horizontal="right"/>
    </xf>
    <xf numFmtId="3" fontId="11" fillId="7" borderId="6" xfId="0" applyNumberFormat="1" applyFont="1" applyFill="1" applyBorder="1"/>
    <xf numFmtId="3" fontId="11" fillId="7" borderId="14" xfId="0" applyNumberFormat="1" applyFont="1" applyFill="1" applyBorder="1"/>
    <xf numFmtId="0" fontId="12" fillId="18" borderId="1" xfId="0" applyFont="1" applyFill="1" applyBorder="1" applyAlignment="1">
      <alignment horizontal="center"/>
    </xf>
    <xf numFmtId="4" fontId="18" fillId="0" borderId="40" xfId="0" applyNumberFormat="1" applyFont="1" applyBorder="1" applyAlignment="1">
      <alignment horizontal="right"/>
    </xf>
    <xf numFmtId="3" fontId="19" fillId="0" borderId="3" xfId="5" applyNumberFormat="1" applyFont="1" applyFill="1" applyBorder="1" applyAlignment="1" applyProtection="1">
      <alignment horizontal="center"/>
    </xf>
    <xf numFmtId="3" fontId="37" fillId="0" borderId="1" xfId="0" applyNumberFormat="1" applyFont="1" applyBorder="1" applyAlignment="1" applyProtection="1">
      <alignment horizontal="center"/>
      <protection locked="0"/>
    </xf>
    <xf numFmtId="3" fontId="12" fillId="0" borderId="7" xfId="0" applyNumberFormat="1" applyFont="1" applyBorder="1" applyAlignment="1">
      <alignment horizontal="center"/>
    </xf>
    <xf numFmtId="3" fontId="12" fillId="0" borderId="86" xfId="0" applyNumberFormat="1" applyFont="1" applyBorder="1" applyAlignment="1">
      <alignment horizontal="center"/>
    </xf>
    <xf numFmtId="3" fontId="12" fillId="31" borderId="10" xfId="0" applyNumberFormat="1" applyFont="1" applyFill="1" applyBorder="1" applyAlignment="1">
      <alignment horizontal="center"/>
    </xf>
    <xf numFmtId="4" fontId="16" fillId="0" borderId="46" xfId="0" applyNumberFormat="1" applyFont="1" applyBorder="1" applyProtection="1">
      <protection locked="0"/>
    </xf>
    <xf numFmtId="3" fontId="16" fillId="0" borderId="52" xfId="0" applyNumberFormat="1" applyFont="1" applyBorder="1" applyAlignment="1" applyProtection="1">
      <alignment horizontal="center"/>
      <protection locked="0"/>
    </xf>
    <xf numFmtId="0" fontId="19" fillId="0" borderId="62" xfId="0" applyFont="1" applyBorder="1" applyAlignment="1" applyProtection="1">
      <alignment horizontal="center"/>
      <protection locked="0"/>
    </xf>
    <xf numFmtId="10" fontId="19" fillId="0" borderId="47" xfId="0" applyNumberFormat="1" applyFont="1" applyBorder="1" applyAlignment="1" applyProtection="1">
      <alignment horizontal="center"/>
      <protection locked="0"/>
    </xf>
    <xf numFmtId="4" fontId="6" fillId="0" borderId="47" xfId="0" applyNumberFormat="1" applyFont="1" applyBorder="1" applyProtection="1">
      <protection locked="0"/>
    </xf>
    <xf numFmtId="4" fontId="6" fillId="0" borderId="47" xfId="0" applyNumberFormat="1" applyFont="1" applyBorder="1"/>
    <xf numFmtId="4" fontId="6" fillId="31" borderId="33" xfId="0" applyNumberFormat="1" applyFont="1" applyFill="1" applyBorder="1"/>
    <xf numFmtId="4" fontId="16" fillId="0" borderId="51" xfId="0" applyNumberFormat="1" applyFont="1" applyBorder="1" applyProtection="1">
      <protection locked="0"/>
    </xf>
    <xf numFmtId="0" fontId="6" fillId="9" borderId="31" xfId="0" applyFont="1" applyFill="1" applyBorder="1"/>
    <xf numFmtId="0" fontId="6" fillId="9" borderId="87" xfId="0" applyFont="1" applyFill="1" applyBorder="1"/>
    <xf numFmtId="10" fontId="19" fillId="0" borderId="19" xfId="0" applyNumberFormat="1" applyFont="1" applyBorder="1" applyAlignment="1" applyProtection="1">
      <alignment horizontal="center"/>
      <protection locked="0"/>
    </xf>
    <xf numFmtId="4" fontId="6" fillId="0" borderId="19" xfId="0" applyNumberFormat="1" applyFont="1" applyBorder="1" applyProtection="1">
      <protection locked="0"/>
    </xf>
    <xf numFmtId="4" fontId="6" fillId="0" borderId="19" xfId="0" applyNumberFormat="1" applyFont="1" applyBorder="1"/>
    <xf numFmtId="4" fontId="6" fillId="31" borderId="60" xfId="0" applyNumberFormat="1" applyFont="1" applyFill="1" applyBorder="1"/>
    <xf numFmtId="0" fontId="0" fillId="3" borderId="4" xfId="0" applyFill="1" applyBorder="1"/>
    <xf numFmtId="0" fontId="0" fillId="3" borderId="5" xfId="0" applyFill="1" applyBorder="1"/>
    <xf numFmtId="0" fontId="0" fillId="3" borderId="12" xfId="0" applyFill="1" applyBorder="1"/>
    <xf numFmtId="3" fontId="6" fillId="3" borderId="6" xfId="0" applyNumberFormat="1" applyFont="1" applyFill="1" applyBorder="1"/>
    <xf numFmtId="0" fontId="0" fillId="3" borderId="0" xfId="0" applyFill="1"/>
    <xf numFmtId="0" fontId="0" fillId="3" borderId="14" xfId="0" applyFill="1" applyBorder="1"/>
    <xf numFmtId="3" fontId="15" fillId="3" borderId="6" xfId="1" applyNumberFormat="1" applyFill="1" applyBorder="1" applyAlignment="1" applyProtection="1"/>
    <xf numFmtId="0" fontId="0" fillId="3" borderId="29" xfId="0" applyFill="1" applyBorder="1"/>
    <xf numFmtId="0" fontId="0" fillId="3" borderId="31" xfId="0" applyFill="1" applyBorder="1"/>
    <xf numFmtId="0" fontId="0" fillId="3" borderId="32" xfId="0" applyFill="1" applyBorder="1"/>
    <xf numFmtId="3" fontId="6" fillId="3" borderId="57" xfId="0" applyNumberFormat="1" applyFont="1" applyFill="1" applyBorder="1" applyAlignment="1">
      <alignment horizontal="center"/>
    </xf>
    <xf numFmtId="3" fontId="6" fillId="3" borderId="30" xfId="0" applyNumberFormat="1" applyFont="1" applyFill="1" applyBorder="1" applyAlignment="1">
      <alignment horizontal="center"/>
    </xf>
    <xf numFmtId="3" fontId="6" fillId="3" borderId="18" xfId="0" applyNumberFormat="1" applyFont="1" applyFill="1" applyBorder="1" applyAlignment="1">
      <alignment horizontal="center"/>
    </xf>
    <xf numFmtId="4" fontId="6" fillId="0" borderId="25" xfId="0" applyNumberFormat="1" applyFont="1" applyBorder="1"/>
    <xf numFmtId="3" fontId="6" fillId="0" borderId="13" xfId="0" applyNumberFormat="1" applyFont="1" applyBorder="1"/>
    <xf numFmtId="0" fontId="6" fillId="9" borderId="1" xfId="0" applyFont="1" applyFill="1" applyBorder="1"/>
    <xf numFmtId="0" fontId="6" fillId="9" borderId="23" xfId="0" applyFont="1" applyFill="1" applyBorder="1"/>
    <xf numFmtId="4" fontId="6" fillId="0" borderId="61" xfId="0" applyNumberFormat="1" applyFont="1" applyBorder="1"/>
    <xf numFmtId="4" fontId="6" fillId="0" borderId="20" xfId="0" applyNumberFormat="1" applyFont="1" applyBorder="1"/>
    <xf numFmtId="3" fontId="6" fillId="0" borderId="57" xfId="0" applyNumberFormat="1" applyFont="1" applyBorder="1" applyAlignment="1">
      <alignment horizontal="center"/>
    </xf>
    <xf numFmtId="3" fontId="6" fillId="0" borderId="30" xfId="0" applyNumberFormat="1" applyFont="1" applyBorder="1" applyAlignment="1">
      <alignment horizontal="center"/>
    </xf>
    <xf numFmtId="3" fontId="6" fillId="31" borderId="10" xfId="0" applyNumberFormat="1" applyFont="1" applyFill="1" applyBorder="1" applyAlignment="1">
      <alignment horizontal="center"/>
    </xf>
    <xf numFmtId="4" fontId="0" fillId="0" borderId="46" xfId="0" applyNumberFormat="1" applyBorder="1"/>
    <xf numFmtId="4" fontId="0" fillId="0" borderId="47" xfId="0" applyNumberFormat="1" applyBorder="1"/>
    <xf numFmtId="4" fontId="0" fillId="0" borderId="25" xfId="0" applyNumberFormat="1" applyBorder="1"/>
    <xf numFmtId="4" fontId="6" fillId="31" borderId="35" xfId="0" applyNumberFormat="1" applyFont="1" applyFill="1" applyBorder="1"/>
    <xf numFmtId="4" fontId="6" fillId="31" borderId="39" xfId="0" applyNumberFormat="1" applyFont="1" applyFill="1" applyBorder="1"/>
    <xf numFmtId="4" fontId="6" fillId="0" borderId="57" xfId="0" applyNumberFormat="1" applyFont="1" applyBorder="1" applyAlignment="1">
      <alignment horizontal="center"/>
    </xf>
    <xf numFmtId="4" fontId="6" fillId="0" borderId="30" xfId="0" applyNumberFormat="1" applyFont="1" applyBorder="1" applyAlignment="1">
      <alignment horizontal="center"/>
    </xf>
    <xf numFmtId="4" fontId="6" fillId="31" borderId="10" xfId="0" applyNumberFormat="1" applyFont="1" applyFill="1" applyBorder="1" applyAlignment="1">
      <alignment horizontal="center"/>
    </xf>
    <xf numFmtId="0" fontId="0" fillId="0" borderId="0" xfId="0" applyAlignment="1">
      <alignment horizontal="center"/>
    </xf>
    <xf numFmtId="0" fontId="6" fillId="32" borderId="59" xfId="0" applyFont="1" applyFill="1" applyBorder="1" applyAlignment="1">
      <alignment horizontal="center"/>
    </xf>
    <xf numFmtId="0" fontId="16" fillId="0" borderId="0" xfId="0" applyFont="1" applyAlignment="1">
      <alignment horizontal="center"/>
    </xf>
    <xf numFmtId="3" fontId="11" fillId="0" borderId="57" xfId="0" applyNumberFormat="1" applyFont="1" applyBorder="1" applyAlignment="1">
      <alignment horizontal="center"/>
    </xf>
    <xf numFmtId="3" fontId="11" fillId="0" borderId="18" xfId="0" applyNumberFormat="1" applyFont="1" applyBorder="1" applyAlignment="1">
      <alignment horizontal="center"/>
    </xf>
    <xf numFmtId="0" fontId="6" fillId="0" borderId="0" xfId="0" applyFont="1" applyAlignment="1">
      <alignment horizontal="left"/>
    </xf>
    <xf numFmtId="3" fontId="6" fillId="0" borderId="24" xfId="0" applyNumberFormat="1" applyFont="1" applyBorder="1" applyAlignment="1">
      <alignment horizontal="left"/>
    </xf>
    <xf numFmtId="10" fontId="16" fillId="0" borderId="37" xfId="5" applyNumberFormat="1" applyFont="1" applyFill="1" applyBorder="1" applyAlignment="1" applyProtection="1">
      <alignment horizontal="right"/>
    </xf>
    <xf numFmtId="10" fontId="16" fillId="0" borderId="22" xfId="5" applyNumberFormat="1" applyFont="1" applyFill="1" applyBorder="1" applyAlignment="1" applyProtection="1">
      <alignment horizontal="right"/>
    </xf>
    <xf numFmtId="3" fontId="6" fillId="0" borderId="27" xfId="0" applyNumberFormat="1" applyFont="1" applyBorder="1" applyAlignment="1">
      <alignment horizontal="left"/>
    </xf>
    <xf numFmtId="3" fontId="6" fillId="0" borderId="4" xfId="0" applyNumberFormat="1" applyFont="1" applyBorder="1" applyAlignment="1">
      <alignment horizontal="left"/>
    </xf>
    <xf numFmtId="0" fontId="16" fillId="0" borderId="17" xfId="0" applyFont="1" applyBorder="1" applyAlignment="1">
      <alignment horizontal="right"/>
    </xf>
    <xf numFmtId="3" fontId="6" fillId="0" borderId="21" xfId="0" applyNumberFormat="1" applyFont="1" applyBorder="1" applyAlignment="1">
      <alignment horizontal="left"/>
    </xf>
    <xf numFmtId="4" fontId="16" fillId="0" borderId="22" xfId="0" applyNumberFormat="1" applyFont="1" applyBorder="1" applyAlignment="1">
      <alignment horizontal="right"/>
    </xf>
    <xf numFmtId="3" fontId="29" fillId="0" borderId="1" xfId="0" applyNumberFormat="1" applyFont="1" applyBorder="1" applyAlignment="1">
      <alignment horizontal="left"/>
    </xf>
    <xf numFmtId="3" fontId="29" fillId="7" borderId="1" xfId="0" applyNumberFormat="1" applyFont="1" applyFill="1" applyBorder="1" applyAlignment="1">
      <alignment horizontal="left"/>
    </xf>
    <xf numFmtId="165" fontId="7" fillId="7" borderId="1" xfId="5" applyNumberFormat="1" applyFont="1" applyFill="1" applyBorder="1" applyAlignment="1" applyProtection="1">
      <alignment horizontal="center"/>
    </xf>
    <xf numFmtId="10" fontId="16" fillId="0" borderId="22" xfId="0" applyNumberFormat="1" applyFont="1" applyBorder="1" applyAlignment="1">
      <alignment horizontal="right"/>
    </xf>
    <xf numFmtId="3" fontId="6" fillId="0" borderId="57" xfId="0" applyNumberFormat="1" applyFont="1" applyBorder="1" applyAlignment="1">
      <alignment horizontal="left"/>
    </xf>
    <xf numFmtId="0" fontId="6" fillId="32" borderId="60" xfId="0" applyFont="1" applyFill="1" applyBorder="1" applyAlignment="1">
      <alignment horizontal="center"/>
    </xf>
    <xf numFmtId="0" fontId="7" fillId="0" borderId="11" xfId="0" applyFont="1" applyBorder="1" applyAlignment="1">
      <alignment horizontal="center"/>
    </xf>
    <xf numFmtId="3" fontId="6" fillId="0" borderId="11" xfId="0" applyNumberFormat="1" applyFont="1" applyBorder="1" applyAlignment="1">
      <alignment horizontal="center"/>
    </xf>
    <xf numFmtId="4" fontId="6" fillId="0" borderId="10" xfId="0" applyNumberFormat="1" applyFont="1" applyBorder="1" applyAlignment="1">
      <alignment horizontal="right"/>
    </xf>
    <xf numFmtId="3" fontId="6" fillId="0" borderId="24" xfId="0" applyNumberFormat="1" applyFont="1" applyBorder="1"/>
    <xf numFmtId="4" fontId="0" fillId="0" borderId="33" xfId="0" applyNumberFormat="1" applyBorder="1" applyAlignment="1">
      <alignment horizontal="right"/>
    </xf>
    <xf numFmtId="4" fontId="6" fillId="0" borderId="35" xfId="0" applyNumberFormat="1" applyFont="1" applyBorder="1" applyAlignment="1">
      <alignment horizontal="right"/>
    </xf>
    <xf numFmtId="3" fontId="12" fillId="0" borderId="21" xfId="0" applyNumberFormat="1" applyFont="1" applyBorder="1"/>
    <xf numFmtId="4" fontId="31" fillId="0" borderId="59" xfId="0" applyNumberFormat="1" applyFont="1" applyBorder="1" applyAlignment="1">
      <alignment horizontal="right"/>
    </xf>
    <xf numFmtId="4" fontId="12" fillId="0" borderId="59" xfId="0" applyNumberFormat="1" applyFont="1" applyBorder="1" applyAlignment="1">
      <alignment horizontal="right"/>
    </xf>
    <xf numFmtId="3" fontId="12" fillId="0" borderId="26" xfId="0" applyNumberFormat="1" applyFont="1" applyBorder="1"/>
    <xf numFmtId="4" fontId="30" fillId="0" borderId="59" xfId="0" applyNumberFormat="1" applyFont="1" applyBorder="1" applyAlignment="1">
      <alignment horizontal="right"/>
    </xf>
    <xf numFmtId="4" fontId="20" fillId="0" borderId="59" xfId="0" applyNumberFormat="1" applyFont="1" applyBorder="1" applyAlignment="1">
      <alignment horizontal="right"/>
    </xf>
    <xf numFmtId="3" fontId="12" fillId="0" borderId="29" xfId="0" applyNumberFormat="1" applyFont="1" applyBorder="1"/>
    <xf numFmtId="4" fontId="12" fillId="0" borderId="60" xfId="0" applyNumberFormat="1" applyFont="1" applyBorder="1" applyAlignment="1">
      <alignment horizontal="right"/>
    </xf>
    <xf numFmtId="4" fontId="0" fillId="0" borderId="0" xfId="0" applyNumberFormat="1" applyAlignment="1">
      <alignment horizontal="center"/>
    </xf>
    <xf numFmtId="3" fontId="6" fillId="31" borderId="88" xfId="0" applyNumberFormat="1" applyFont="1" applyFill="1" applyBorder="1" applyAlignment="1">
      <alignment horizontal="center"/>
    </xf>
    <xf numFmtId="4" fontId="6" fillId="31" borderId="89" xfId="0" applyNumberFormat="1" applyFont="1" applyFill="1" applyBorder="1" applyAlignment="1">
      <alignment horizontal="center"/>
    </xf>
    <xf numFmtId="4" fontId="6" fillId="31" borderId="90" xfId="0" applyNumberFormat="1" applyFont="1" applyFill="1" applyBorder="1" applyAlignment="1">
      <alignment horizontal="center"/>
    </xf>
    <xf numFmtId="4" fontId="6" fillId="31" borderId="91" xfId="0" applyNumberFormat="1" applyFont="1" applyFill="1" applyBorder="1" applyAlignment="1">
      <alignment horizontal="center"/>
    </xf>
    <xf numFmtId="4" fontId="6" fillId="31" borderId="92" xfId="0" applyNumberFormat="1" applyFont="1" applyFill="1" applyBorder="1" applyAlignment="1">
      <alignment horizontal="center"/>
    </xf>
    <xf numFmtId="3" fontId="6" fillId="0" borderId="93" xfId="0" applyNumberFormat="1" applyFont="1" applyBorder="1"/>
    <xf numFmtId="4" fontId="0" fillId="0" borderId="94" xfId="0" applyNumberFormat="1" applyBorder="1"/>
    <xf numFmtId="4" fontId="0" fillId="0" borderId="95" xfId="0" applyNumberFormat="1" applyBorder="1"/>
    <xf numFmtId="4" fontId="0" fillId="0" borderId="96" xfId="0" applyNumberFormat="1" applyBorder="1"/>
    <xf numFmtId="4" fontId="6" fillId="0" borderId="93" xfId="0" applyNumberFormat="1" applyFont="1" applyBorder="1"/>
    <xf numFmtId="3" fontId="6" fillId="0" borderId="97" xfId="0" applyNumberFormat="1" applyFont="1" applyBorder="1"/>
    <xf numFmtId="4" fontId="0" fillId="0" borderId="98" xfId="0" applyNumberFormat="1" applyBorder="1"/>
    <xf numFmtId="4" fontId="0" fillId="0" borderId="99" xfId="0" applyNumberFormat="1" applyBorder="1"/>
    <xf numFmtId="4" fontId="0" fillId="0" borderId="100" xfId="0" applyNumberFormat="1" applyBorder="1"/>
    <xf numFmtId="4" fontId="6" fillId="0" borderId="101" xfId="0" applyNumberFormat="1" applyFont="1" applyBorder="1"/>
    <xf numFmtId="3" fontId="6" fillId="31" borderId="1" xfId="0" applyNumberFormat="1" applyFont="1" applyFill="1" applyBorder="1" applyAlignment="1">
      <alignment horizontal="center"/>
    </xf>
    <xf numFmtId="4" fontId="6" fillId="31" borderId="1" xfId="0" applyNumberFormat="1" applyFont="1" applyFill="1" applyBorder="1" applyAlignment="1">
      <alignment horizontal="center"/>
    </xf>
    <xf numFmtId="3" fontId="6" fillId="33" borderId="1" xfId="0" applyNumberFormat="1" applyFont="1" applyFill="1" applyBorder="1"/>
    <xf numFmtId="4" fontId="6" fillId="33" borderId="1" xfId="0" applyNumberFormat="1" applyFont="1" applyFill="1" applyBorder="1"/>
    <xf numFmtId="4" fontId="6" fillId="9" borderId="1" xfId="0" applyNumberFormat="1" applyFont="1" applyFill="1" applyBorder="1"/>
    <xf numFmtId="4" fontId="11" fillId="7" borderId="1" xfId="0" applyNumberFormat="1" applyFont="1" applyFill="1" applyBorder="1"/>
    <xf numFmtId="4" fontId="6" fillId="0" borderId="24" xfId="0" applyNumberFormat="1" applyFont="1" applyBorder="1" applyAlignment="1">
      <alignment horizontal="left"/>
    </xf>
    <xf numFmtId="10" fontId="19" fillId="0" borderId="37" xfId="5" applyNumberFormat="1" applyFont="1" applyFill="1" applyBorder="1" applyAlignment="1" applyProtection="1">
      <alignment horizontal="right"/>
    </xf>
    <xf numFmtId="10" fontId="19" fillId="0" borderId="22" xfId="5" applyNumberFormat="1" applyFont="1" applyFill="1" applyBorder="1" applyAlignment="1" applyProtection="1">
      <alignment horizontal="right"/>
    </xf>
    <xf numFmtId="4" fontId="6" fillId="0" borderId="27" xfId="0" applyNumberFormat="1" applyFont="1" applyBorder="1" applyAlignment="1">
      <alignment horizontal="left"/>
    </xf>
    <xf numFmtId="4" fontId="6" fillId="0" borderId="4" xfId="0" applyNumberFormat="1" applyFont="1" applyBorder="1" applyAlignment="1">
      <alignment horizontal="center"/>
    </xf>
    <xf numFmtId="4" fontId="6" fillId="0" borderId="17" xfId="0" applyNumberFormat="1" applyFont="1" applyBorder="1" applyAlignment="1">
      <alignment horizontal="center"/>
    </xf>
    <xf numFmtId="165" fontId="19" fillId="0" borderId="20" xfId="5" applyNumberFormat="1" applyFont="1" applyFill="1" applyBorder="1" applyAlignment="1" applyProtection="1">
      <alignment horizontal="center"/>
    </xf>
    <xf numFmtId="4" fontId="6" fillId="0" borderId="4" xfId="0" applyNumberFormat="1" applyFont="1" applyBorder="1" applyAlignment="1">
      <alignment horizontal="left"/>
    </xf>
    <xf numFmtId="4" fontId="6" fillId="0" borderId="21" xfId="0" applyNumberFormat="1" applyFont="1" applyBorder="1" applyAlignment="1">
      <alignment horizontal="left"/>
    </xf>
    <xf numFmtId="4" fontId="19" fillId="0" borderId="22" xfId="0" applyNumberFormat="1" applyFont="1" applyBorder="1" applyAlignment="1">
      <alignment horizontal="right"/>
    </xf>
    <xf numFmtId="4" fontId="29" fillId="0" borderId="46" xfId="0" applyNumberFormat="1" applyFont="1" applyBorder="1" applyAlignment="1">
      <alignment horizontal="left"/>
    </xf>
    <xf numFmtId="165" fontId="19" fillId="0" borderId="25" xfId="5" applyNumberFormat="1" applyFont="1" applyFill="1" applyBorder="1" applyAlignment="1" applyProtection="1">
      <alignment horizontal="center"/>
    </xf>
    <xf numFmtId="4" fontId="29" fillId="0" borderId="51" xfId="0" applyNumberFormat="1" applyFont="1" applyBorder="1" applyAlignment="1">
      <alignment horizontal="left"/>
    </xf>
    <xf numFmtId="4" fontId="6" fillId="0" borderId="57" xfId="0" applyNumberFormat="1" applyFont="1" applyBorder="1" applyAlignment="1">
      <alignment horizontal="left"/>
    </xf>
    <xf numFmtId="0" fontId="49" fillId="32" borderId="11" xfId="0" applyFont="1" applyFill="1" applyBorder="1" applyAlignment="1">
      <alignment horizontal="center"/>
    </xf>
    <xf numFmtId="4" fontId="6" fillId="0" borderId="24" xfId="0" applyNumberFormat="1" applyFont="1" applyBorder="1"/>
    <xf numFmtId="4" fontId="12" fillId="0" borderId="21" xfId="0" applyNumberFormat="1" applyFont="1" applyBorder="1"/>
    <xf numFmtId="4" fontId="12" fillId="0" borderId="26" xfId="0" applyNumberFormat="1" applyFont="1" applyBorder="1"/>
    <xf numFmtId="4" fontId="12" fillId="0" borderId="29" xfId="0" applyNumberFormat="1" applyFont="1" applyBorder="1"/>
    <xf numFmtId="3" fontId="6" fillId="0" borderId="102" xfId="0" applyNumberFormat="1" applyFont="1" applyBorder="1"/>
    <xf numFmtId="4" fontId="0" fillId="0" borderId="103" xfId="0" applyNumberFormat="1" applyBorder="1"/>
    <xf numFmtId="4" fontId="0" fillId="0" borderId="104" xfId="0" applyNumberFormat="1" applyBorder="1"/>
    <xf numFmtId="4" fontId="6" fillId="0" borderId="105" xfId="0" applyNumberFormat="1" applyFont="1" applyBorder="1"/>
    <xf numFmtId="3" fontId="6" fillId="33" borderId="102" xfId="0" applyNumberFormat="1" applyFont="1" applyFill="1" applyBorder="1"/>
    <xf numFmtId="4" fontId="6" fillId="33" borderId="103" xfId="0" applyNumberFormat="1" applyFont="1" applyFill="1" applyBorder="1"/>
    <xf numFmtId="4" fontId="6" fillId="33" borderId="104" xfId="0" applyNumberFormat="1" applyFont="1" applyFill="1" applyBorder="1"/>
    <xf numFmtId="4" fontId="6" fillId="33" borderId="105" xfId="0" applyNumberFormat="1" applyFont="1" applyFill="1" applyBorder="1"/>
    <xf numFmtId="3" fontId="6" fillId="0" borderId="106" xfId="0" applyNumberFormat="1" applyFont="1" applyBorder="1"/>
    <xf numFmtId="3" fontId="11" fillId="0" borderId="1" xfId="0" applyNumberFormat="1" applyFont="1" applyBorder="1" applyAlignment="1">
      <alignment horizontal="center"/>
    </xf>
    <xf numFmtId="3" fontId="11" fillId="7" borderId="1" xfId="0" applyNumberFormat="1" applyFont="1" applyFill="1" applyBorder="1" applyAlignment="1">
      <alignment horizontal="center"/>
    </xf>
    <xf numFmtId="4" fontId="0" fillId="7" borderId="0" xfId="0" applyNumberFormat="1" applyFill="1"/>
    <xf numFmtId="3" fontId="6" fillId="0" borderId="0" xfId="0" applyNumberFormat="1" applyFont="1" applyAlignment="1">
      <alignment horizontal="left"/>
    </xf>
    <xf numFmtId="4" fontId="16" fillId="0" borderId="17" xfId="0" applyNumberFormat="1" applyFont="1" applyBorder="1" applyAlignment="1">
      <alignment horizontal="right"/>
    </xf>
    <xf numFmtId="0" fontId="6" fillId="0" borderId="18" xfId="0" applyFont="1" applyBorder="1" applyAlignment="1">
      <alignment horizontal="center"/>
    </xf>
    <xf numFmtId="4" fontId="6" fillId="0" borderId="1" xfId="0" applyNumberFormat="1" applyFont="1" applyBorder="1" applyAlignment="1">
      <alignment horizontal="center" vertical="center"/>
    </xf>
    <xf numFmtId="0" fontId="6" fillId="0" borderId="1" xfId="0" applyFont="1" applyBorder="1" applyAlignment="1">
      <alignment horizontal="center" vertical="center"/>
    </xf>
    <xf numFmtId="165" fontId="12" fillId="0" borderId="1" xfId="5" applyNumberFormat="1" applyFont="1" applyFill="1" applyBorder="1" applyAlignment="1" applyProtection="1">
      <alignment horizontal="center" vertical="center"/>
    </xf>
    <xf numFmtId="10" fontId="12" fillId="0" borderId="1" xfId="0" applyNumberFormat="1" applyFont="1" applyBorder="1" applyAlignment="1">
      <alignment horizontal="center" vertical="center"/>
    </xf>
    <xf numFmtId="10" fontId="16" fillId="0" borderId="1" xfId="5" applyNumberFormat="1" applyFont="1" applyFill="1" applyBorder="1" applyAlignment="1" applyProtection="1">
      <alignment horizontal="center" vertical="center"/>
    </xf>
    <xf numFmtId="10" fontId="19" fillId="0" borderId="1" xfId="5" applyNumberFormat="1" applyFont="1" applyFill="1" applyBorder="1" applyAlignment="1" applyProtection="1">
      <alignment horizontal="center" vertical="center"/>
    </xf>
    <xf numFmtId="4" fontId="12" fillId="0" borderId="3" xfId="0" applyNumberFormat="1" applyFont="1" applyBorder="1" applyAlignment="1">
      <alignment horizontal="center" vertical="center"/>
    </xf>
    <xf numFmtId="165" fontId="6" fillId="0" borderId="1" xfId="5" applyNumberFormat="1" applyFont="1" applyFill="1" applyBorder="1" applyAlignment="1" applyProtection="1">
      <alignment horizontal="center" vertical="center"/>
    </xf>
    <xf numFmtId="3" fontId="48" fillId="11" borderId="1" xfId="0" applyNumberFormat="1" applyFont="1" applyFill="1" applyBorder="1" applyAlignment="1">
      <alignment horizontal="center" vertical="center"/>
    </xf>
    <xf numFmtId="4" fontId="48" fillId="11" borderId="1" xfId="0" applyNumberFormat="1" applyFont="1" applyFill="1" applyBorder="1" applyAlignment="1">
      <alignment vertical="center"/>
    </xf>
    <xf numFmtId="3" fontId="12" fillId="0" borderId="1" xfId="0" applyNumberFormat="1" applyFont="1" applyBorder="1" applyAlignment="1">
      <alignment horizontal="center" vertical="center"/>
    </xf>
    <xf numFmtId="0" fontId="0" fillId="0" borderId="45" xfId="0" applyBorder="1" applyAlignment="1">
      <alignment vertical="center"/>
    </xf>
    <xf numFmtId="0" fontId="6" fillId="0" borderId="107" xfId="0" applyFont="1" applyBorder="1" applyAlignment="1">
      <alignment vertical="center"/>
    </xf>
    <xf numFmtId="3" fontId="6" fillId="0" borderId="1" xfId="0" applyNumberFormat="1" applyFont="1" applyBorder="1" applyAlignment="1">
      <alignment horizontal="center" vertical="center"/>
    </xf>
    <xf numFmtId="169" fontId="6" fillId="0" borderId="1" xfId="0" applyNumberFormat="1" applyFont="1" applyBorder="1" applyAlignment="1">
      <alignment horizontal="center" vertical="center"/>
    </xf>
    <xf numFmtId="0" fontId="6" fillId="0" borderId="48" xfId="0" applyFont="1" applyBorder="1" applyAlignment="1">
      <alignment vertical="center"/>
    </xf>
    <xf numFmtId="0" fontId="6" fillId="0" borderId="34" xfId="0" applyFont="1" applyBorder="1" applyAlignment="1">
      <alignment vertical="center"/>
    </xf>
    <xf numFmtId="0" fontId="12" fillId="0" borderId="1" xfId="0" applyFont="1" applyBorder="1" applyAlignment="1">
      <alignment horizontal="center" vertical="center"/>
    </xf>
    <xf numFmtId="3" fontId="0" fillId="0" borderId="1" xfId="0" applyNumberFormat="1" applyBorder="1" applyAlignment="1">
      <alignment vertical="center"/>
    </xf>
    <xf numFmtId="4" fontId="0" fillId="0" borderId="3" xfId="0" applyNumberFormat="1" applyBorder="1" applyAlignment="1">
      <alignment vertical="center"/>
    </xf>
    <xf numFmtId="4" fontId="6" fillId="0" borderId="3" xfId="0" applyNumberFormat="1" applyFont="1" applyBorder="1" applyAlignment="1">
      <alignment vertical="center"/>
    </xf>
    <xf numFmtId="4" fontId="20" fillId="0" borderId="40" xfId="0" applyNumberFormat="1" applyFont="1" applyBorder="1" applyAlignment="1">
      <alignment vertical="center"/>
    </xf>
    <xf numFmtId="4" fontId="20" fillId="0" borderId="28" xfId="0" applyNumberFormat="1" applyFont="1" applyBorder="1" applyAlignment="1">
      <alignment vertical="center"/>
    </xf>
    <xf numFmtId="4" fontId="0" fillId="0" borderId="1" xfId="0" applyNumberFormat="1" applyBorder="1" applyAlignment="1">
      <alignment vertical="center"/>
    </xf>
    <xf numFmtId="4" fontId="6" fillId="0" borderId="1" xfId="0" applyNumberFormat="1" applyFont="1" applyBorder="1" applyAlignment="1">
      <alignment vertical="center"/>
    </xf>
    <xf numFmtId="4" fontId="6" fillId="9" borderId="1" xfId="0" applyNumberFormat="1" applyFont="1" applyFill="1" applyBorder="1" applyAlignment="1">
      <alignment vertical="center"/>
    </xf>
    <xf numFmtId="4" fontId="0" fillId="0" borderId="0" xfId="0" applyNumberFormat="1" applyAlignment="1">
      <alignment vertical="center"/>
    </xf>
    <xf numFmtId="4" fontId="6" fillId="0" borderId="0" xfId="0" applyNumberFormat="1" applyFont="1" applyAlignment="1">
      <alignment vertical="center"/>
    </xf>
    <xf numFmtId="4" fontId="12" fillId="0" borderId="40" xfId="0" applyNumberFormat="1" applyFont="1" applyBorder="1" applyAlignment="1">
      <alignment vertical="center"/>
    </xf>
    <xf numFmtId="3" fontId="0" fillId="0" borderId="0" xfId="0" applyNumberFormat="1" applyAlignment="1">
      <alignment vertical="center"/>
    </xf>
    <xf numFmtId="4" fontId="12" fillId="0" borderId="28" xfId="0" applyNumberFormat="1" applyFont="1" applyBorder="1" applyAlignment="1">
      <alignment vertical="center"/>
    </xf>
    <xf numFmtId="169" fontId="6" fillId="23" borderId="1" xfId="0" applyNumberFormat="1" applyFont="1" applyFill="1" applyBorder="1" applyAlignment="1">
      <alignment horizontal="center" vertical="center"/>
    </xf>
    <xf numFmtId="169" fontId="11" fillId="0" borderId="1" xfId="0" applyNumberFormat="1" applyFont="1" applyBorder="1" applyAlignment="1">
      <alignment horizontal="center" vertical="center"/>
    </xf>
    <xf numFmtId="0" fontId="23" fillId="0" borderId="1" xfId="0" applyFont="1" applyBorder="1" applyAlignment="1">
      <alignment horizontal="center" vertical="center"/>
    </xf>
    <xf numFmtId="0" fontId="42" fillId="0" borderId="1" xfId="0" applyFont="1" applyBorder="1" applyAlignment="1">
      <alignment horizontal="center" vertical="center"/>
    </xf>
    <xf numFmtId="10" fontId="11" fillId="0" borderId="1" xfId="0" applyNumberFormat="1" applyFont="1" applyBorder="1" applyAlignment="1">
      <alignment vertical="center"/>
    </xf>
    <xf numFmtId="0" fontId="11" fillId="0" borderId="0" xfId="0" applyFont="1" applyAlignment="1">
      <alignment horizontal="center" vertical="center"/>
    </xf>
    <xf numFmtId="10" fontId="23" fillId="0" borderId="0" xfId="0" applyNumberFormat="1" applyFont="1" applyAlignment="1">
      <alignment horizontal="center" vertical="center"/>
    </xf>
    <xf numFmtId="10" fontId="11" fillId="0" borderId="0" xfId="0" applyNumberFormat="1" applyFont="1" applyAlignment="1">
      <alignment vertical="center"/>
    </xf>
    <xf numFmtId="169" fontId="6" fillId="4" borderId="1" xfId="0" applyNumberFormat="1" applyFont="1" applyFill="1" applyBorder="1" applyAlignment="1">
      <alignment horizontal="center" vertical="center"/>
    </xf>
    <xf numFmtId="10" fontId="11" fillId="0" borderId="1" xfId="0" applyNumberFormat="1" applyFont="1" applyBorder="1" applyAlignment="1">
      <alignment horizontal="center" vertical="center"/>
    </xf>
    <xf numFmtId="0" fontId="0" fillId="0" borderId="48" xfId="0" applyBorder="1" applyAlignment="1">
      <alignment vertical="center"/>
    </xf>
    <xf numFmtId="0" fontId="0" fillId="0" borderId="34" xfId="0" applyBorder="1" applyAlignment="1">
      <alignment vertical="center"/>
    </xf>
    <xf numFmtId="4" fontId="0" fillId="0" borderId="1" xfId="0" applyNumberFormat="1" applyBorder="1" applyAlignment="1">
      <alignment horizontal="right" vertical="center"/>
    </xf>
    <xf numFmtId="4" fontId="6" fillId="0" borderId="1" xfId="0" applyNumberFormat="1" applyFont="1" applyBorder="1" applyAlignment="1">
      <alignment horizontal="right" vertical="center"/>
    </xf>
    <xf numFmtId="169" fontId="6" fillId="3" borderId="1" xfId="0" applyNumberFormat="1" applyFont="1" applyFill="1" applyBorder="1" applyAlignment="1">
      <alignment horizontal="center" vertical="center"/>
    </xf>
    <xf numFmtId="10" fontId="50" fillId="0" borderId="1" xfId="5" applyNumberFormat="1" applyFont="1" applyFill="1" applyBorder="1" applyAlignment="1" applyProtection="1">
      <alignment horizontal="center" vertical="center"/>
    </xf>
    <xf numFmtId="169" fontId="12" fillId="0" borderId="1" xfId="0" applyNumberFormat="1" applyFont="1" applyBorder="1" applyAlignment="1">
      <alignment horizontal="center" vertical="center"/>
    </xf>
    <xf numFmtId="4" fontId="20" fillId="0" borderId="3" xfId="0" applyNumberFormat="1" applyFont="1" applyBorder="1" applyAlignment="1">
      <alignment vertical="center"/>
    </xf>
    <xf numFmtId="169" fontId="6" fillId="9" borderId="49" xfId="0" applyNumberFormat="1" applyFont="1" applyFill="1" applyBorder="1" applyAlignment="1">
      <alignment vertical="center"/>
    </xf>
    <xf numFmtId="0" fontId="6" fillId="9" borderId="2" xfId="0" applyFont="1" applyFill="1" applyBorder="1" applyAlignment="1">
      <alignment vertical="center"/>
    </xf>
    <xf numFmtId="0" fontId="0" fillId="0" borderId="6" xfId="0" applyBorder="1" applyAlignment="1">
      <alignment vertical="center"/>
    </xf>
    <xf numFmtId="0" fontId="11" fillId="0" borderId="1" xfId="0" applyFont="1" applyBorder="1" applyAlignment="1">
      <alignment horizontal="center" vertical="center"/>
    </xf>
    <xf numFmtId="169" fontId="2" fillId="4" borderId="10" xfId="0" applyNumberFormat="1" applyFont="1" applyFill="1" applyBorder="1"/>
    <xf numFmtId="0" fontId="16" fillId="2" borderId="1" xfId="0" applyFont="1" applyFill="1" applyBorder="1" applyAlignment="1" applyProtection="1">
      <alignment horizontal="center" vertical="center"/>
      <protection locked="0"/>
    </xf>
    <xf numFmtId="169" fontId="0" fillId="10" borderId="1" xfId="0" applyNumberFormat="1" applyFill="1" applyBorder="1"/>
    <xf numFmtId="0" fontId="16" fillId="7" borderId="14" xfId="0" applyFont="1" applyFill="1" applyBorder="1" applyAlignment="1" applyProtection="1">
      <alignment horizontal="center"/>
      <protection locked="0"/>
    </xf>
    <xf numFmtId="169" fontId="0" fillId="0" borderId="0" xfId="0" applyNumberFormat="1"/>
    <xf numFmtId="0" fontId="16" fillId="7" borderId="0" xfId="0" applyFont="1" applyFill="1" applyAlignment="1" applyProtection="1">
      <alignment horizontal="center" vertical="center"/>
      <protection locked="0"/>
    </xf>
    <xf numFmtId="0" fontId="0" fillId="7" borderId="0" xfId="0" applyFill="1" applyAlignment="1">
      <alignment horizontal="center"/>
    </xf>
    <xf numFmtId="0" fontId="0" fillId="7" borderId="14" xfId="0" applyFill="1" applyBorder="1" applyAlignment="1">
      <alignment horizontal="center"/>
    </xf>
    <xf numFmtId="169" fontId="0" fillId="7" borderId="0" xfId="0" applyNumberFormat="1" applyFill="1"/>
    <xf numFmtId="169" fontId="0" fillId="7" borderId="14" xfId="0" applyNumberFormat="1" applyFill="1" applyBorder="1"/>
    <xf numFmtId="9" fontId="0" fillId="7" borderId="14" xfId="5" applyFont="1" applyFill="1" applyBorder="1" applyAlignment="1" applyProtection="1">
      <alignment horizontal="left"/>
    </xf>
    <xf numFmtId="169" fontId="6" fillId="0" borderId="1" xfId="0" applyNumberFormat="1" applyFont="1" applyBorder="1"/>
    <xf numFmtId="0" fontId="22" fillId="7" borderId="1" xfId="0" applyFont="1" applyFill="1" applyBorder="1" applyAlignment="1">
      <alignment horizontal="center"/>
    </xf>
    <xf numFmtId="169" fontId="0" fillId="0" borderId="1" xfId="0" applyNumberFormat="1" applyBorder="1" applyAlignment="1">
      <alignment horizontal="center"/>
    </xf>
    <xf numFmtId="0" fontId="6" fillId="7" borderId="10" xfId="0" applyFont="1" applyFill="1" applyBorder="1" applyAlignment="1">
      <alignment horizontal="center"/>
    </xf>
    <xf numFmtId="0" fontId="0" fillId="32" borderId="1" xfId="0" applyFill="1" applyBorder="1"/>
    <xf numFmtId="0" fontId="16" fillId="18" borderId="10" xfId="0" applyFont="1" applyFill="1" applyBorder="1" applyAlignment="1">
      <alignment horizontal="center"/>
    </xf>
    <xf numFmtId="169" fontId="6" fillId="0" borderId="0" xfId="0" applyNumberFormat="1" applyFont="1"/>
    <xf numFmtId="169" fontId="6" fillId="0" borderId="0" xfId="0" applyNumberFormat="1" applyFont="1" applyAlignment="1">
      <alignment horizontal="center"/>
    </xf>
    <xf numFmtId="9" fontId="0" fillId="0" borderId="1" xfId="5" applyFont="1" applyFill="1" applyBorder="1" applyAlignment="1" applyProtection="1">
      <alignment horizontal="center"/>
    </xf>
    <xf numFmtId="165" fontId="0" fillId="0" borderId="1" xfId="5" applyNumberFormat="1" applyFont="1" applyFill="1" applyBorder="1" applyAlignment="1" applyProtection="1">
      <alignment horizontal="center"/>
    </xf>
    <xf numFmtId="0" fontId="2" fillId="0" borderId="34" xfId="0" applyFont="1" applyBorder="1" applyAlignment="1">
      <alignment horizontal="center" vertical="center"/>
    </xf>
    <xf numFmtId="0" fontId="6" fillId="0" borderId="45" xfId="0" applyFont="1" applyBorder="1"/>
    <xf numFmtId="4" fontId="0" fillId="0" borderId="108" xfId="0" applyNumberFormat="1" applyBorder="1"/>
    <xf numFmtId="0" fontId="6" fillId="0" borderId="48" xfId="0" applyFont="1" applyBorder="1"/>
    <xf numFmtId="0" fontId="6" fillId="10" borderId="49" xfId="0" applyFont="1" applyFill="1" applyBorder="1"/>
    <xf numFmtId="4" fontId="0" fillId="0" borderId="40" xfId="0" applyNumberFormat="1" applyBorder="1"/>
    <xf numFmtId="169" fontId="6" fillId="10" borderId="45" xfId="0" applyNumberFormat="1" applyFont="1" applyFill="1" applyBorder="1"/>
    <xf numFmtId="4" fontId="6" fillId="10" borderId="40" xfId="0" applyNumberFormat="1" applyFont="1" applyFill="1" applyBorder="1"/>
    <xf numFmtId="169" fontId="6" fillId="3" borderId="56" xfId="0" applyNumberFormat="1" applyFont="1" applyFill="1" applyBorder="1"/>
    <xf numFmtId="4" fontId="6" fillId="3" borderId="3" xfId="0" applyNumberFormat="1" applyFont="1" applyFill="1" applyBorder="1"/>
    <xf numFmtId="169" fontId="6" fillId="9" borderId="10" xfId="0" applyNumberFormat="1" applyFont="1" applyFill="1" applyBorder="1" applyAlignment="1">
      <alignment horizontal="center"/>
    </xf>
    <xf numFmtId="4" fontId="6" fillId="9" borderId="10" xfId="0" applyNumberFormat="1" applyFont="1" applyFill="1" applyBorder="1"/>
    <xf numFmtId="0" fontId="6" fillId="10" borderId="1" xfId="0" applyFont="1" applyFill="1" applyBorder="1"/>
    <xf numFmtId="0" fontId="6" fillId="0" borderId="40" xfId="0" applyFont="1" applyBorder="1" applyAlignment="1">
      <alignment horizontal="left" indent="2"/>
    </xf>
    <xf numFmtId="4" fontId="0" fillId="2" borderId="109" xfId="0" applyNumberFormat="1" applyFill="1" applyBorder="1"/>
    <xf numFmtId="4" fontId="0" fillId="0" borderId="109" xfId="0" applyNumberFormat="1" applyBorder="1"/>
    <xf numFmtId="4" fontId="0" fillId="2" borderId="40" xfId="0" applyNumberFormat="1" applyFill="1" applyBorder="1"/>
    <xf numFmtId="169" fontId="6" fillId="10" borderId="1" xfId="0" applyNumberFormat="1" applyFont="1" applyFill="1" applyBorder="1"/>
    <xf numFmtId="169" fontId="6" fillId="0" borderId="3" xfId="0" applyNumberFormat="1" applyFont="1" applyBorder="1"/>
    <xf numFmtId="169" fontId="6" fillId="9" borderId="10" xfId="0" applyNumberFormat="1" applyFont="1" applyFill="1" applyBorder="1" applyAlignment="1">
      <alignment horizontal="left" wrapText="1"/>
    </xf>
    <xf numFmtId="4" fontId="6" fillId="9" borderId="10" xfId="0" applyNumberFormat="1" applyFont="1" applyFill="1" applyBorder="1" applyAlignment="1">
      <alignment horizontal="right"/>
    </xf>
    <xf numFmtId="3" fontId="6" fillId="10" borderId="1" xfId="0" applyNumberFormat="1" applyFont="1" applyFill="1" applyBorder="1" applyAlignment="1">
      <alignment horizontal="center" vertical="center"/>
    </xf>
    <xf numFmtId="165" fontId="6" fillId="10" borderId="1" xfId="5" applyNumberFormat="1" applyFont="1" applyFill="1" applyBorder="1" applyAlignment="1" applyProtection="1">
      <alignment horizontal="center" vertical="center"/>
    </xf>
    <xf numFmtId="3" fontId="0" fillId="2" borderId="0" xfId="0" applyNumberFormat="1" applyFill="1"/>
    <xf numFmtId="3" fontId="0" fillId="0" borderId="48" xfId="0" applyNumberFormat="1" applyBorder="1"/>
    <xf numFmtId="4" fontId="0" fillId="2" borderId="110" xfId="0" applyNumberFormat="1" applyFill="1" applyBorder="1"/>
    <xf numFmtId="165" fontId="0" fillId="2" borderId="75" xfId="5" applyNumberFormat="1" applyFont="1" applyFill="1" applyBorder="1" applyAlignment="1" applyProtection="1"/>
    <xf numFmtId="4" fontId="0" fillId="0" borderId="110" xfId="0" applyNumberFormat="1" applyBorder="1"/>
    <xf numFmtId="165" fontId="0" fillId="0" borderId="75" xfId="5" applyNumberFormat="1" applyFont="1" applyFill="1" applyBorder="1" applyAlignment="1" applyProtection="1"/>
    <xf numFmtId="165" fontId="0" fillId="2" borderId="111" xfId="5" applyNumberFormat="1" applyFont="1" applyFill="1" applyBorder="1" applyAlignment="1" applyProtection="1"/>
    <xf numFmtId="3" fontId="0" fillId="0" borderId="49" xfId="0" applyNumberFormat="1" applyBorder="1"/>
    <xf numFmtId="4" fontId="0" fillId="2" borderId="76" xfId="0" applyNumberFormat="1" applyFill="1" applyBorder="1"/>
    <xf numFmtId="165" fontId="0" fillId="2" borderId="112" xfId="5" applyNumberFormat="1" applyFont="1" applyFill="1" applyBorder="1" applyAlignment="1" applyProtection="1"/>
    <xf numFmtId="4" fontId="0" fillId="0" borderId="76" xfId="0" applyNumberFormat="1" applyBorder="1"/>
    <xf numFmtId="165" fontId="0" fillId="0" borderId="112" xfId="5" applyNumberFormat="1" applyFont="1" applyFill="1" applyBorder="1" applyAlignment="1" applyProtection="1"/>
    <xf numFmtId="165" fontId="0" fillId="2" borderId="71" xfId="5" applyNumberFormat="1" applyFont="1" applyFill="1" applyBorder="1" applyAlignment="1" applyProtection="1"/>
    <xf numFmtId="3" fontId="0" fillId="0" borderId="56" xfId="0" applyNumberFormat="1" applyBorder="1"/>
    <xf numFmtId="4" fontId="0" fillId="2" borderId="113" xfId="0" applyNumberFormat="1" applyFill="1" applyBorder="1"/>
    <xf numFmtId="165" fontId="0" fillId="2" borderId="114" xfId="5" applyNumberFormat="1" applyFont="1" applyFill="1" applyBorder="1" applyAlignment="1" applyProtection="1"/>
    <xf numFmtId="4" fontId="0" fillId="0" borderId="113" xfId="0" applyNumberFormat="1" applyBorder="1"/>
    <xf numFmtId="165" fontId="0" fillId="0" borderId="114" xfId="5" applyNumberFormat="1" applyFont="1" applyFill="1" applyBorder="1" applyAlignment="1" applyProtection="1"/>
    <xf numFmtId="165" fontId="0" fillId="2" borderId="115" xfId="5" applyNumberFormat="1" applyFont="1" applyFill="1" applyBorder="1" applyAlignment="1" applyProtection="1"/>
    <xf numFmtId="3" fontId="6" fillId="10" borderId="49" xfId="0" applyNumberFormat="1" applyFont="1" applyFill="1" applyBorder="1"/>
    <xf numFmtId="165" fontId="6" fillId="10" borderId="49" xfId="5" applyNumberFormat="1" applyFont="1" applyFill="1" applyBorder="1" applyAlignment="1" applyProtection="1"/>
    <xf numFmtId="165" fontId="6" fillId="10" borderId="1" xfId="5" applyNumberFormat="1" applyFont="1" applyFill="1" applyBorder="1" applyAlignment="1" applyProtection="1"/>
    <xf numFmtId="4" fontId="6" fillId="10" borderId="3" xfId="0" applyNumberFormat="1" applyFont="1" applyFill="1" applyBorder="1"/>
    <xf numFmtId="3" fontId="6" fillId="9" borderId="10" xfId="0" applyNumberFormat="1" applyFont="1" applyFill="1" applyBorder="1"/>
    <xf numFmtId="165" fontId="6" fillId="9" borderId="10" xfId="5" applyNumberFormat="1" applyFont="1" applyFill="1" applyBorder="1" applyAlignment="1" applyProtection="1"/>
    <xf numFmtId="3" fontId="11" fillId="10" borderId="1" xfId="0" applyNumberFormat="1" applyFont="1" applyFill="1" applyBorder="1" applyAlignment="1">
      <alignment horizontal="center"/>
    </xf>
    <xf numFmtId="0" fontId="11" fillId="10" borderId="1" xfId="0" applyFont="1" applyFill="1" applyBorder="1" applyAlignment="1">
      <alignment horizontal="center"/>
    </xf>
    <xf numFmtId="0" fontId="0" fillId="0" borderId="1" xfId="0" applyBorder="1"/>
    <xf numFmtId="10" fontId="11" fillId="10" borderId="3" xfId="0" applyNumberFormat="1" applyFont="1" applyFill="1" applyBorder="1"/>
    <xf numFmtId="4" fontId="6" fillId="10" borderId="108" xfId="0" applyNumberFormat="1" applyFont="1" applyFill="1" applyBorder="1"/>
    <xf numFmtId="10" fontId="11" fillId="10" borderId="108" xfId="0" applyNumberFormat="1" applyFont="1" applyFill="1" applyBorder="1"/>
    <xf numFmtId="10" fontId="11" fillId="10" borderId="28" xfId="0" applyNumberFormat="1" applyFont="1" applyFill="1" applyBorder="1"/>
    <xf numFmtId="10" fontId="11" fillId="10" borderId="1" xfId="0" applyNumberFormat="1" applyFont="1" applyFill="1" applyBorder="1"/>
    <xf numFmtId="3" fontId="0" fillId="0" borderId="1" xfId="0" applyNumberFormat="1" applyBorder="1" applyAlignment="1">
      <alignment horizontal="left"/>
    </xf>
    <xf numFmtId="4" fontId="28" fillId="0" borderId="28" xfId="0" applyNumberFormat="1" applyFont="1" applyBorder="1"/>
    <xf numFmtId="10" fontId="11" fillId="0" borderId="0" xfId="0" applyNumberFormat="1" applyFont="1"/>
    <xf numFmtId="3" fontId="0" fillId="0" borderId="49" xfId="0" applyNumberFormat="1" applyBorder="1" applyAlignment="1">
      <alignment horizontal="left"/>
    </xf>
    <xf numFmtId="3" fontId="0" fillId="0" borderId="50" xfId="0" applyNumberFormat="1" applyBorder="1" applyAlignment="1">
      <alignment horizontal="left"/>
    </xf>
    <xf numFmtId="3" fontId="0" fillId="0" borderId="2" xfId="0" applyNumberFormat="1" applyBorder="1" applyAlignment="1">
      <alignment horizontal="left"/>
    </xf>
    <xf numFmtId="165" fontId="6" fillId="10" borderId="1" xfId="0" applyNumberFormat="1" applyFont="1" applyFill="1" applyBorder="1"/>
    <xf numFmtId="4" fontId="0" fillId="10" borderId="3" xfId="0" applyNumberFormat="1" applyFill="1" applyBorder="1"/>
    <xf numFmtId="4" fontId="0" fillId="10" borderId="1" xfId="0" applyNumberFormat="1" applyFill="1" applyBorder="1"/>
    <xf numFmtId="165" fontId="6" fillId="10" borderId="3" xfId="0" applyNumberFormat="1" applyFont="1" applyFill="1" applyBorder="1"/>
    <xf numFmtId="165" fontId="6" fillId="9" borderId="10" xfId="0" applyNumberFormat="1" applyFont="1" applyFill="1" applyBorder="1" applyAlignment="1">
      <alignment horizontal="left"/>
    </xf>
    <xf numFmtId="4" fontId="6" fillId="9" borderId="39" xfId="0" applyNumberFormat="1" applyFont="1" applyFill="1" applyBorder="1"/>
    <xf numFmtId="165" fontId="20" fillId="0" borderId="1" xfId="0" applyNumberFormat="1" applyFont="1" applyBorder="1"/>
    <xf numFmtId="4" fontId="0" fillId="2" borderId="116" xfId="0" applyNumberFormat="1" applyFill="1" applyBorder="1"/>
    <xf numFmtId="4" fontId="0" fillId="2" borderId="108" xfId="0" applyNumberFormat="1" applyFill="1" applyBorder="1"/>
    <xf numFmtId="4" fontId="0" fillId="2" borderId="117" xfId="0" applyNumberFormat="1" applyFill="1" applyBorder="1"/>
    <xf numFmtId="165" fontId="0" fillId="0" borderId="1" xfId="0" applyNumberFormat="1" applyBorder="1"/>
    <xf numFmtId="165" fontId="6" fillId="9" borderId="10" xfId="0" applyNumberFormat="1" applyFont="1" applyFill="1" applyBorder="1"/>
    <xf numFmtId="165" fontId="6" fillId="0" borderId="3" xfId="0" applyNumberFormat="1" applyFont="1" applyBorder="1"/>
    <xf numFmtId="4" fontId="0" fillId="2" borderId="3" xfId="0" applyNumberFormat="1" applyFill="1" applyBorder="1"/>
    <xf numFmtId="165" fontId="6" fillId="0" borderId="28" xfId="0" applyNumberFormat="1" applyFont="1" applyBorder="1"/>
    <xf numFmtId="4" fontId="0" fillId="2" borderId="28" xfId="0" applyNumberFormat="1" applyFill="1" applyBorder="1"/>
    <xf numFmtId="165" fontId="6" fillId="0" borderId="1" xfId="0" applyNumberFormat="1" applyFont="1" applyBorder="1"/>
    <xf numFmtId="4" fontId="0" fillId="2" borderId="1" xfId="0" applyNumberFormat="1" applyFill="1" applyBorder="1"/>
    <xf numFmtId="165" fontId="0" fillId="0" borderId="0" xfId="0" applyNumberFormat="1"/>
    <xf numFmtId="0" fontId="12" fillId="10" borderId="1" xfId="0" applyFont="1" applyFill="1" applyBorder="1" applyAlignment="1">
      <alignment horizontal="center" vertical="center"/>
    </xf>
    <xf numFmtId="4" fontId="0" fillId="10" borderId="3" xfId="0" applyNumberFormat="1" applyFill="1" applyBorder="1" applyAlignment="1">
      <alignment vertical="center"/>
    </xf>
    <xf numFmtId="4" fontId="6" fillId="10" borderId="3" xfId="0" applyNumberFormat="1" applyFont="1" applyFill="1" applyBorder="1" applyAlignment="1">
      <alignment vertical="center"/>
    </xf>
    <xf numFmtId="4" fontId="20" fillId="10" borderId="40" xfId="0" applyNumberFormat="1" applyFont="1" applyFill="1" applyBorder="1" applyAlignment="1">
      <alignment vertical="center"/>
    </xf>
    <xf numFmtId="169" fontId="0" fillId="10" borderId="28" xfId="0" applyNumberFormat="1" applyFill="1" applyBorder="1" applyAlignment="1">
      <alignment horizontal="left" vertical="center"/>
    </xf>
    <xf numFmtId="0" fontId="0" fillId="10" borderId="28" xfId="0" applyFill="1" applyBorder="1" applyAlignment="1">
      <alignment horizontal="left" vertical="center"/>
    </xf>
    <xf numFmtId="4" fontId="20" fillId="10" borderId="28" xfId="0" applyNumberFormat="1" applyFont="1" applyFill="1" applyBorder="1" applyAlignment="1">
      <alignment vertical="center"/>
    </xf>
    <xf numFmtId="4" fontId="0" fillId="10" borderId="1" xfId="0" applyNumberFormat="1" applyFill="1" applyBorder="1" applyAlignment="1">
      <alignment vertical="center"/>
    </xf>
    <xf numFmtId="4" fontId="6" fillId="10" borderId="1" xfId="0" applyNumberFormat="1" applyFont="1" applyFill="1" applyBorder="1" applyAlignment="1">
      <alignment vertical="center"/>
    </xf>
    <xf numFmtId="4" fontId="20" fillId="0" borderId="116" xfId="0" applyNumberFormat="1" applyFont="1" applyBorder="1" applyAlignment="1">
      <alignment vertical="center"/>
    </xf>
    <xf numFmtId="4" fontId="12" fillId="0" borderId="116" xfId="0" applyNumberFormat="1" applyFont="1" applyBorder="1" applyAlignment="1">
      <alignment vertical="center"/>
    </xf>
    <xf numFmtId="4" fontId="20" fillId="0" borderId="108" xfId="0" applyNumberFormat="1" applyFont="1" applyBorder="1" applyAlignment="1">
      <alignment vertical="center"/>
    </xf>
    <xf numFmtId="4" fontId="12" fillId="0" borderId="108" xfId="0" applyNumberFormat="1" applyFont="1" applyBorder="1" applyAlignment="1">
      <alignment vertical="center"/>
    </xf>
    <xf numFmtId="169" fontId="6" fillId="10" borderId="3" xfId="0" applyNumberFormat="1" applyFont="1" applyFill="1" applyBorder="1" applyAlignment="1">
      <alignment horizontal="center" vertical="center"/>
    </xf>
    <xf numFmtId="169" fontId="6" fillId="3" borderId="49" xfId="0" applyNumberFormat="1" applyFont="1" applyFill="1" applyBorder="1" applyAlignment="1">
      <alignment horizontal="center" vertical="center"/>
    </xf>
    <xf numFmtId="0" fontId="6" fillId="3" borderId="2" xfId="0" applyFont="1" applyFill="1" applyBorder="1" applyAlignment="1">
      <alignment horizontal="center" vertical="center"/>
    </xf>
    <xf numFmtId="169" fontId="6" fillId="2" borderId="1" xfId="0" applyNumberFormat="1" applyFont="1" applyFill="1" applyBorder="1" applyAlignment="1">
      <alignment horizontal="center" vertical="center"/>
    </xf>
    <xf numFmtId="169" fontId="6" fillId="2" borderId="49" xfId="0" applyNumberFormat="1" applyFont="1" applyFill="1" applyBorder="1" applyAlignment="1">
      <alignment horizontal="center" vertical="center"/>
    </xf>
    <xf numFmtId="4" fontId="6" fillId="10" borderId="1" xfId="0" applyNumberFormat="1" applyFont="1" applyFill="1" applyBorder="1" applyAlignment="1">
      <alignment horizontal="center" vertical="center"/>
    </xf>
    <xf numFmtId="10" fontId="6" fillId="10" borderId="1" xfId="0" applyNumberFormat="1" applyFont="1" applyFill="1" applyBorder="1" applyAlignment="1">
      <alignment vertical="center"/>
    </xf>
    <xf numFmtId="10" fontId="0" fillId="0" borderId="1" xfId="0" applyNumberFormat="1" applyBorder="1" applyAlignment="1">
      <alignment vertical="center"/>
    </xf>
    <xf numFmtId="10" fontId="0" fillId="0" borderId="3" xfId="0" applyNumberFormat="1" applyBorder="1" applyAlignment="1">
      <alignment vertical="center"/>
    </xf>
    <xf numFmtId="4" fontId="0" fillId="0" borderId="108" xfId="0" applyNumberFormat="1" applyBorder="1" applyAlignment="1">
      <alignment vertical="center"/>
    </xf>
    <xf numFmtId="10" fontId="0" fillId="0" borderId="108" xfId="0" applyNumberFormat="1" applyBorder="1" applyAlignment="1">
      <alignment vertical="center"/>
    </xf>
    <xf numFmtId="4" fontId="0" fillId="0" borderId="28" xfId="0" applyNumberFormat="1" applyBorder="1" applyAlignment="1">
      <alignment vertical="center"/>
    </xf>
    <xf numFmtId="10" fontId="0" fillId="0" borderId="28" xfId="0" applyNumberFormat="1" applyBorder="1" applyAlignment="1">
      <alignment vertical="center"/>
    </xf>
    <xf numFmtId="4" fontId="28" fillId="0" borderId="3" xfId="0" applyNumberFormat="1" applyFont="1" applyBorder="1" applyAlignment="1">
      <alignment vertical="center"/>
    </xf>
    <xf numFmtId="4" fontId="28" fillId="0" borderId="118" xfId="0" applyNumberFormat="1" applyFont="1" applyBorder="1" applyAlignment="1">
      <alignment vertical="center"/>
    </xf>
    <xf numFmtId="10" fontId="0" fillId="0" borderId="118" xfId="0" applyNumberFormat="1" applyBorder="1" applyAlignment="1">
      <alignment vertical="center"/>
    </xf>
    <xf numFmtId="4" fontId="17" fillId="0" borderId="3" xfId="0" applyNumberFormat="1" applyFont="1" applyBorder="1" applyAlignment="1">
      <alignment vertical="center"/>
    </xf>
    <xf numFmtId="4" fontId="0" fillId="0" borderId="118" xfId="0" applyNumberFormat="1" applyBorder="1" applyAlignment="1">
      <alignment vertical="center"/>
    </xf>
    <xf numFmtId="3" fontId="6" fillId="10" borderId="3" xfId="0" applyNumberFormat="1" applyFont="1" applyFill="1" applyBorder="1" applyAlignment="1">
      <alignment horizontal="center" vertical="center"/>
    </xf>
    <xf numFmtId="3" fontId="6" fillId="3" borderId="49" xfId="0" applyNumberFormat="1" applyFont="1" applyFill="1" applyBorder="1" applyAlignment="1">
      <alignment horizontal="center" vertical="center"/>
    </xf>
    <xf numFmtId="10" fontId="28" fillId="0" borderId="3" xfId="0" applyNumberFormat="1" applyFont="1" applyBorder="1" applyAlignment="1">
      <alignment vertical="center"/>
    </xf>
    <xf numFmtId="4" fontId="28" fillId="0" borderId="108" xfId="0" applyNumberFormat="1" applyFont="1" applyBorder="1" applyAlignment="1">
      <alignment vertical="center"/>
    </xf>
    <xf numFmtId="10" fontId="28" fillId="0" borderId="108" xfId="0" applyNumberFormat="1" applyFont="1" applyBorder="1" applyAlignment="1">
      <alignment vertical="center"/>
    </xf>
    <xf numFmtId="4" fontId="28" fillId="0" borderId="28" xfId="0" applyNumberFormat="1" applyFont="1" applyBorder="1" applyAlignment="1">
      <alignment vertical="center"/>
    </xf>
    <xf numFmtId="10" fontId="28" fillId="0" borderId="28" xfId="0" applyNumberFormat="1" applyFont="1" applyBorder="1" applyAlignment="1">
      <alignment vertical="center"/>
    </xf>
    <xf numFmtId="4" fontId="17" fillId="0" borderId="28" xfId="0" applyNumberFormat="1" applyFont="1" applyBorder="1" applyAlignment="1">
      <alignment vertical="center"/>
    </xf>
    <xf numFmtId="4" fontId="17" fillId="0" borderId="108" xfId="0" applyNumberFormat="1" applyFont="1" applyBorder="1" applyAlignment="1">
      <alignment vertical="center"/>
    </xf>
    <xf numFmtId="4" fontId="22" fillId="0" borderId="108" xfId="0" applyNumberFormat="1" applyFont="1" applyBorder="1" applyAlignment="1">
      <alignment vertical="center"/>
    </xf>
    <xf numFmtId="10" fontId="22" fillId="0" borderId="108" xfId="0" applyNumberFormat="1" applyFont="1" applyBorder="1" applyAlignment="1">
      <alignment vertical="center"/>
    </xf>
    <xf numFmtId="4" fontId="45" fillId="0" borderId="108" xfId="0" applyNumberFormat="1" applyFont="1" applyBorder="1" applyAlignment="1">
      <alignment vertical="center"/>
    </xf>
    <xf numFmtId="167" fontId="0" fillId="0" borderId="0" xfId="2" applyNumberFormat="1" applyFont="1" applyFill="1" applyBorder="1" applyAlignment="1" applyProtection="1"/>
    <xf numFmtId="9" fontId="0" fillId="0" borderId="0" xfId="5" applyFont="1" applyFill="1" applyBorder="1" applyAlignment="1" applyProtection="1"/>
    <xf numFmtId="167" fontId="0" fillId="0" borderId="0" xfId="0" applyNumberFormat="1"/>
    <xf numFmtId="10" fontId="0" fillId="0" borderId="0" xfId="5" applyNumberFormat="1" applyFont="1" applyFill="1" applyBorder="1" applyAlignment="1" applyProtection="1"/>
    <xf numFmtId="10" fontId="0" fillId="0" borderId="0" xfId="0" applyNumberFormat="1"/>
    <xf numFmtId="167" fontId="0" fillId="0" borderId="0" xfId="2" applyNumberFormat="1" applyFont="1" applyFill="1" applyBorder="1" applyAlignment="1" applyProtection="1">
      <alignment horizontal="center"/>
    </xf>
    <xf numFmtId="9" fontId="0" fillId="0" borderId="0" xfId="0" applyNumberFormat="1"/>
    <xf numFmtId="9" fontId="6" fillId="3" borderId="1" xfId="0" applyNumberFormat="1" applyFont="1" applyFill="1" applyBorder="1" applyAlignment="1">
      <alignment horizontal="center" vertical="center"/>
    </xf>
    <xf numFmtId="0" fontId="6" fillId="0" borderId="0" xfId="0" applyFont="1" applyAlignment="1">
      <alignment horizontal="center" wrapText="1"/>
    </xf>
    <xf numFmtId="0" fontId="6" fillId="0" borderId="58" xfId="0" applyFont="1" applyBorder="1" applyAlignment="1">
      <alignment horizontal="center"/>
    </xf>
    <xf numFmtId="169" fontId="6" fillId="0" borderId="1" xfId="0" applyNumberFormat="1" applyFont="1" applyBorder="1" applyAlignment="1">
      <alignment horizontal="center"/>
    </xf>
    <xf numFmtId="169" fontId="6" fillId="0" borderId="1" xfId="0" applyNumberFormat="1" applyFont="1" applyBorder="1" applyAlignment="1">
      <alignment horizontal="left"/>
    </xf>
    <xf numFmtId="169" fontId="25" fillId="9" borderId="1" xfId="0" applyNumberFormat="1" applyFont="1" applyFill="1" applyBorder="1"/>
    <xf numFmtId="4" fontId="25" fillId="9" borderId="1" xfId="0" applyNumberFormat="1" applyFont="1" applyFill="1" applyBorder="1"/>
    <xf numFmtId="10" fontId="0" fillId="0" borderId="0" xfId="0" applyNumberFormat="1" applyAlignment="1">
      <alignment horizontal="center"/>
    </xf>
    <xf numFmtId="169" fontId="2" fillId="0" borderId="0" xfId="0" applyNumberFormat="1" applyFont="1" applyAlignment="1">
      <alignment horizontal="left"/>
    </xf>
    <xf numFmtId="169" fontId="25" fillId="0" borderId="1" xfId="0" applyNumberFormat="1" applyFont="1" applyBorder="1"/>
    <xf numFmtId="0" fontId="25" fillId="0" borderId="0" xfId="0" applyFont="1" applyAlignment="1">
      <alignment horizontal="center"/>
    </xf>
    <xf numFmtId="0" fontId="51" fillId="0" borderId="0" xfId="0" applyFont="1"/>
    <xf numFmtId="3" fontId="51" fillId="0" borderId="0" xfId="0" applyNumberFormat="1" applyFont="1"/>
    <xf numFmtId="3" fontId="52" fillId="0" borderId="1" xfId="0" applyNumberFormat="1" applyFont="1" applyBorder="1" applyAlignment="1">
      <alignment horizontal="center"/>
    </xf>
    <xf numFmtId="169" fontId="25" fillId="0" borderId="1" xfId="0" applyNumberFormat="1" applyFont="1" applyBorder="1" applyAlignment="1">
      <alignment horizontal="center"/>
    </xf>
    <xf numFmtId="4" fontId="28" fillId="0" borderId="1" xfId="0" applyNumberFormat="1" applyFont="1" applyBorder="1"/>
    <xf numFmtId="169" fontId="6" fillId="10" borderId="3" xfId="0" applyNumberFormat="1" applyFont="1" applyFill="1" applyBorder="1"/>
    <xf numFmtId="4" fontId="28" fillId="0" borderId="3" xfId="0" applyNumberFormat="1" applyFont="1" applyBorder="1"/>
    <xf numFmtId="4" fontId="45" fillId="0" borderId="40" xfId="0" applyNumberFormat="1" applyFont="1" applyBorder="1"/>
    <xf numFmtId="169" fontId="6" fillId="0" borderId="28" xfId="0" applyNumberFormat="1" applyFont="1" applyBorder="1"/>
    <xf numFmtId="4" fontId="45" fillId="0" borderId="28" xfId="0" applyNumberFormat="1" applyFont="1" applyBorder="1"/>
    <xf numFmtId="169" fontId="6" fillId="10" borderId="40" xfId="0" applyNumberFormat="1" applyFont="1" applyFill="1" applyBorder="1"/>
    <xf numFmtId="169" fontId="6" fillId="10" borderId="28" xfId="0" applyNumberFormat="1" applyFont="1" applyFill="1" applyBorder="1"/>
    <xf numFmtId="4" fontId="2" fillId="9" borderId="1" xfId="0" applyNumberFormat="1" applyFont="1" applyFill="1" applyBorder="1"/>
    <xf numFmtId="4" fontId="2" fillId="0" borderId="1" xfId="0" applyNumberFormat="1" applyFont="1" applyBorder="1"/>
    <xf numFmtId="169" fontId="2" fillId="10" borderId="1" xfId="0" applyNumberFormat="1" applyFont="1" applyFill="1" applyBorder="1" applyAlignment="1">
      <alignment horizontal="left"/>
    </xf>
    <xf numFmtId="10" fontId="2" fillId="10" borderId="1" xfId="0" applyNumberFormat="1" applyFont="1" applyFill="1" applyBorder="1" applyAlignment="1">
      <alignment horizontal="right"/>
    </xf>
    <xf numFmtId="0" fontId="40" fillId="0" borderId="0" xfId="0" applyFont="1"/>
    <xf numFmtId="3" fontId="40" fillId="0" borderId="0" xfId="0" applyNumberFormat="1" applyFont="1"/>
    <xf numFmtId="10" fontId="2" fillId="10" borderId="1" xfId="0" applyNumberFormat="1" applyFont="1" applyFill="1" applyBorder="1" applyAlignment="1">
      <alignment horizontal="center"/>
    </xf>
    <xf numFmtId="0" fontId="40" fillId="0" borderId="0" xfId="0" applyFont="1" applyAlignment="1">
      <alignment horizontal="left"/>
    </xf>
    <xf numFmtId="10" fontId="40" fillId="0" borderId="0" xfId="5" applyNumberFormat="1" applyFont="1" applyFill="1" applyBorder="1" applyAlignment="1" applyProtection="1">
      <alignment horizontal="right"/>
    </xf>
    <xf numFmtId="10" fontId="40" fillId="0" borderId="0" xfId="5" applyNumberFormat="1" applyFont="1" applyFill="1" applyBorder="1" applyAlignment="1" applyProtection="1"/>
    <xf numFmtId="4" fontId="2" fillId="10" borderId="1" xfId="0" applyNumberFormat="1" applyFont="1" applyFill="1" applyBorder="1"/>
    <xf numFmtId="4" fontId="2" fillId="9" borderId="10" xfId="0" applyNumberFormat="1" applyFont="1" applyFill="1" applyBorder="1" applyAlignment="1">
      <alignment horizontal="right"/>
    </xf>
    <xf numFmtId="169" fontId="40" fillId="0" borderId="0" xfId="0" applyNumberFormat="1" applyFont="1"/>
    <xf numFmtId="0" fontId="2" fillId="0" borderId="0" xfId="0" applyFont="1"/>
    <xf numFmtId="0" fontId="40" fillId="0" borderId="0" xfId="0" applyFont="1" applyAlignment="1">
      <alignment horizontal="right"/>
    </xf>
    <xf numFmtId="169" fontId="6" fillId="7" borderId="49" xfId="0" applyNumberFormat="1" applyFont="1" applyFill="1" applyBorder="1" applyAlignment="1">
      <alignment horizontal="center"/>
    </xf>
    <xf numFmtId="169" fontId="11" fillId="10" borderId="1" xfId="0" applyNumberFormat="1" applyFont="1" applyFill="1" applyBorder="1" applyAlignment="1">
      <alignment horizontal="center"/>
    </xf>
    <xf numFmtId="3" fontId="11" fillId="8" borderId="1" xfId="0" applyNumberFormat="1" applyFont="1" applyFill="1" applyBorder="1" applyAlignment="1">
      <alignment horizontal="center"/>
    </xf>
    <xf numFmtId="0" fontId="7" fillId="0" borderId="49" xfId="0" applyFont="1" applyBorder="1"/>
    <xf numFmtId="4" fontId="7" fillId="0" borderId="1" xfId="0" applyNumberFormat="1" applyFont="1" applyBorder="1"/>
    <xf numFmtId="3" fontId="7" fillId="0" borderId="1" xfId="0" applyNumberFormat="1" applyFont="1" applyBorder="1"/>
    <xf numFmtId="10" fontId="7" fillId="0" borderId="1" xfId="5" applyNumberFormat="1" applyFont="1" applyFill="1" applyBorder="1" applyAlignment="1" applyProtection="1"/>
    <xf numFmtId="169" fontId="6" fillId="8" borderId="1" xfId="0" applyNumberFormat="1" applyFont="1" applyFill="1" applyBorder="1" applyAlignment="1">
      <alignment horizontal="right"/>
    </xf>
    <xf numFmtId="4" fontId="7" fillId="8" borderId="1" xfId="0" applyNumberFormat="1" applyFont="1" applyFill="1" applyBorder="1" applyAlignment="1">
      <alignment horizontal="right"/>
    </xf>
    <xf numFmtId="0" fontId="6" fillId="9" borderId="1" xfId="0" applyFont="1" applyFill="1" applyBorder="1" applyAlignment="1">
      <alignment horizontal="center"/>
    </xf>
    <xf numFmtId="169" fontId="6" fillId="9" borderId="1" xfId="0" applyNumberFormat="1" applyFont="1" applyFill="1" applyBorder="1" applyAlignment="1">
      <alignment horizontal="right"/>
    </xf>
    <xf numFmtId="10" fontId="7" fillId="0" borderId="1" xfId="0" applyNumberFormat="1" applyFont="1" applyBorder="1" applyAlignment="1">
      <alignment horizontal="right"/>
    </xf>
    <xf numFmtId="3" fontId="6" fillId="10" borderId="49" xfId="0" applyNumberFormat="1" applyFont="1" applyFill="1" applyBorder="1" applyAlignment="1">
      <alignment horizontal="left"/>
    </xf>
    <xf numFmtId="3" fontId="6" fillId="9" borderId="28" xfId="0" applyNumberFormat="1" applyFont="1" applyFill="1" applyBorder="1" applyAlignment="1">
      <alignment horizontal="center" vertical="center"/>
    </xf>
    <xf numFmtId="169" fontId="11" fillId="9" borderId="1" xfId="0" applyNumberFormat="1" applyFont="1" applyFill="1" applyBorder="1" applyAlignment="1">
      <alignment horizontal="center"/>
    </xf>
    <xf numFmtId="3" fontId="11" fillId="9" borderId="1" xfId="0" applyNumberFormat="1" applyFont="1" applyFill="1" applyBorder="1" applyAlignment="1">
      <alignment horizontal="center"/>
    </xf>
    <xf numFmtId="3" fontId="7" fillId="8" borderId="1" xfId="0" applyNumberFormat="1" applyFont="1" applyFill="1" applyBorder="1" applyAlignment="1">
      <alignment horizontal="right"/>
    </xf>
    <xf numFmtId="0" fontId="7" fillId="0" borderId="56" xfId="0" applyFont="1" applyBorder="1"/>
    <xf numFmtId="4" fontId="7" fillId="0" borderId="3" xfId="0" applyNumberFormat="1" applyFont="1" applyBorder="1"/>
    <xf numFmtId="10" fontId="7" fillId="0" borderId="3" xfId="5" applyNumberFormat="1" applyFont="1" applyFill="1" applyBorder="1" applyAlignment="1" applyProtection="1"/>
    <xf numFmtId="169" fontId="6" fillId="8" borderId="3" xfId="0" applyNumberFormat="1" applyFont="1" applyFill="1" applyBorder="1" applyAlignment="1">
      <alignment horizontal="right"/>
    </xf>
    <xf numFmtId="3" fontId="7" fillId="8" borderId="3" xfId="0" applyNumberFormat="1" applyFont="1" applyFill="1" applyBorder="1" applyAlignment="1">
      <alignment horizontal="right"/>
    </xf>
    <xf numFmtId="3" fontId="6" fillId="0" borderId="10" xfId="0" applyNumberFormat="1" applyFont="1" applyBorder="1" applyAlignment="1">
      <alignment horizontal="left"/>
    </xf>
    <xf numFmtId="0" fontId="6" fillId="9" borderId="10" xfId="0" applyFont="1" applyFill="1" applyBorder="1" applyAlignment="1">
      <alignment horizontal="center"/>
    </xf>
    <xf numFmtId="169" fontId="6" fillId="9" borderId="10" xfId="0" applyNumberFormat="1" applyFont="1" applyFill="1" applyBorder="1" applyAlignment="1">
      <alignment horizontal="right"/>
    </xf>
    <xf numFmtId="10" fontId="7" fillId="0" borderId="10" xfId="0" applyNumberFormat="1" applyFont="1" applyBorder="1" applyAlignment="1">
      <alignment horizontal="right"/>
    </xf>
    <xf numFmtId="4" fontId="7" fillId="8" borderId="10" xfId="0" applyNumberFormat="1" applyFont="1" applyFill="1" applyBorder="1" applyAlignment="1">
      <alignment horizontal="right"/>
    </xf>
    <xf numFmtId="169" fontId="6" fillId="9" borderId="0" xfId="0" applyNumberFormat="1" applyFont="1" applyFill="1" applyAlignment="1">
      <alignment horizontal="right"/>
    </xf>
    <xf numFmtId="4" fontId="6" fillId="0" borderId="0" xfId="0" applyNumberFormat="1" applyFont="1" applyAlignment="1">
      <alignment horizontal="right"/>
    </xf>
    <xf numFmtId="10" fontId="7" fillId="0" borderId="0" xfId="0" applyNumberFormat="1" applyFont="1" applyAlignment="1">
      <alignment horizontal="right"/>
    </xf>
    <xf numFmtId="4" fontId="7" fillId="8" borderId="0" xfId="0" applyNumberFormat="1" applyFont="1" applyFill="1" applyAlignment="1">
      <alignment horizontal="right"/>
    </xf>
    <xf numFmtId="0" fontId="25" fillId="9" borderId="1" xfId="0" applyFont="1" applyFill="1" applyBorder="1" applyAlignment="1">
      <alignment horizontal="left"/>
    </xf>
    <xf numFmtId="169" fontId="2" fillId="0" borderId="0" xfId="0" applyNumberFormat="1" applyFont="1" applyAlignment="1">
      <alignment horizontal="center"/>
    </xf>
    <xf numFmtId="0" fontId="25" fillId="0" borderId="1" xfId="0" applyFont="1" applyBorder="1"/>
    <xf numFmtId="0" fontId="6" fillId="10" borderId="3" xfId="0" applyFont="1" applyFill="1" applyBorder="1"/>
    <xf numFmtId="0" fontId="6" fillId="0" borderId="28" xfId="0" applyFont="1" applyBorder="1"/>
    <xf numFmtId="0" fontId="6" fillId="10" borderId="40" xfId="0" applyFont="1" applyFill="1" applyBorder="1"/>
    <xf numFmtId="0" fontId="6" fillId="10" borderId="28" xfId="0" applyFont="1" applyFill="1" applyBorder="1"/>
    <xf numFmtId="0" fontId="2" fillId="9" borderId="1" xfId="0" applyFont="1" applyFill="1" applyBorder="1"/>
    <xf numFmtId="3" fontId="2" fillId="0" borderId="0" xfId="0" applyNumberFormat="1" applyFont="1"/>
    <xf numFmtId="0" fontId="2" fillId="10" borderId="1" xfId="0" applyFont="1" applyFill="1" applyBorder="1" applyAlignment="1">
      <alignment horizontal="left"/>
    </xf>
    <xf numFmtId="3" fontId="6" fillId="3" borderId="3" xfId="0" applyNumberFormat="1" applyFont="1" applyFill="1" applyBorder="1" applyAlignment="1">
      <alignment horizontal="center"/>
    </xf>
    <xf numFmtId="3" fontId="6" fillId="3" borderId="28" xfId="0" applyNumberFormat="1" applyFont="1" applyFill="1" applyBorder="1" applyAlignment="1">
      <alignment horizontal="center"/>
    </xf>
    <xf numFmtId="3" fontId="6" fillId="9" borderId="1" xfId="0" applyNumberFormat="1" applyFont="1" applyFill="1" applyBorder="1"/>
    <xf numFmtId="10" fontId="6" fillId="10" borderId="1" xfId="5" applyNumberFormat="1" applyFont="1" applyFill="1" applyBorder="1" applyAlignment="1" applyProtection="1">
      <alignment horizontal="center"/>
    </xf>
    <xf numFmtId="3" fontId="6" fillId="10" borderId="28" xfId="0" applyNumberFormat="1" applyFont="1" applyFill="1" applyBorder="1"/>
    <xf numFmtId="9" fontId="0" fillId="0" borderId="0" xfId="5" applyFont="1" applyFill="1" applyBorder="1" applyAlignment="1" applyProtection="1">
      <alignment horizontal="center"/>
    </xf>
    <xf numFmtId="9" fontId="6" fillId="10" borderId="1" xfId="0" applyNumberFormat="1" applyFont="1" applyFill="1" applyBorder="1"/>
    <xf numFmtId="165" fontId="16" fillId="10" borderId="1" xfId="5" applyNumberFormat="1" applyFont="1" applyFill="1" applyBorder="1" applyAlignment="1" applyProtection="1">
      <alignment horizontal="center"/>
      <protection locked="0"/>
    </xf>
    <xf numFmtId="9" fontId="6" fillId="18" borderId="1" xfId="0" applyNumberFormat="1" applyFont="1" applyFill="1" applyBorder="1" applyAlignment="1">
      <alignment horizontal="center"/>
    </xf>
    <xf numFmtId="9" fontId="9" fillId="14" borderId="1" xfId="0" applyNumberFormat="1" applyFont="1" applyFill="1" applyBorder="1" applyAlignment="1">
      <alignment horizontal="center"/>
    </xf>
    <xf numFmtId="9" fontId="16" fillId="18" borderId="1" xfId="5" applyFont="1" applyFill="1" applyBorder="1" applyAlignment="1" applyProtection="1">
      <alignment horizontal="center"/>
      <protection locked="0"/>
    </xf>
    <xf numFmtId="9" fontId="6" fillId="9" borderId="1" xfId="0" applyNumberFormat="1" applyFont="1" applyFill="1" applyBorder="1"/>
    <xf numFmtId="9" fontId="0" fillId="0" borderId="1" xfId="0" applyNumberFormat="1" applyBorder="1"/>
    <xf numFmtId="10" fontId="6" fillId="13" borderId="1" xfId="5" applyNumberFormat="1" applyFont="1" applyFill="1" applyBorder="1" applyAlignment="1" applyProtection="1"/>
    <xf numFmtId="9" fontId="6" fillId="8" borderId="1" xfId="0" applyNumberFormat="1" applyFont="1" applyFill="1" applyBorder="1" applyAlignment="1">
      <alignment horizontal="center"/>
    </xf>
    <xf numFmtId="9" fontId="6" fillId="18" borderId="1" xfId="5" applyFont="1" applyFill="1" applyBorder="1" applyAlignment="1" applyProtection="1">
      <alignment horizontal="center"/>
    </xf>
    <xf numFmtId="9" fontId="6" fillId="9" borderId="1" xfId="0" applyNumberFormat="1" applyFont="1" applyFill="1" applyBorder="1" applyAlignment="1">
      <alignment horizontal="center"/>
    </xf>
    <xf numFmtId="9" fontId="16" fillId="9" borderId="1" xfId="0" applyNumberFormat="1" applyFont="1" applyFill="1" applyBorder="1" applyAlignment="1" applyProtection="1">
      <alignment horizontal="center"/>
      <protection locked="0"/>
    </xf>
    <xf numFmtId="9" fontId="19" fillId="9" borderId="1" xfId="0" applyNumberFormat="1" applyFont="1" applyFill="1" applyBorder="1" applyAlignment="1" applyProtection="1">
      <alignment horizontal="center"/>
      <protection locked="0"/>
    </xf>
    <xf numFmtId="4" fontId="11" fillId="3" borderId="1" xfId="0" applyNumberFormat="1" applyFont="1" applyFill="1" applyBorder="1" applyAlignment="1">
      <alignment horizontal="right"/>
    </xf>
    <xf numFmtId="0" fontId="22" fillId="0" borderId="0" xfId="0" applyFont="1" applyAlignment="1">
      <alignment horizontal="left"/>
    </xf>
    <xf numFmtId="0" fontId="22" fillId="0" borderId="0" xfId="0" applyFont="1" applyAlignment="1">
      <alignment horizontal="center"/>
    </xf>
    <xf numFmtId="9" fontId="6" fillId="10" borderId="1" xfId="0" applyNumberFormat="1" applyFont="1" applyFill="1" applyBorder="1" applyAlignment="1">
      <alignment horizontal="center"/>
    </xf>
    <xf numFmtId="0" fontId="11" fillId="0" borderId="0" xfId="0" applyFont="1" applyAlignment="1">
      <alignment horizontal="left"/>
    </xf>
    <xf numFmtId="9" fontId="22" fillId="10" borderId="1" xfId="0" applyNumberFormat="1" applyFont="1" applyFill="1" applyBorder="1" applyAlignment="1">
      <alignment horizontal="left"/>
    </xf>
    <xf numFmtId="4" fontId="22" fillId="7" borderId="1" xfId="0" applyNumberFormat="1" applyFont="1" applyFill="1" applyBorder="1" applyAlignment="1">
      <alignment horizontal="center"/>
    </xf>
    <xf numFmtId="10" fontId="22" fillId="7" borderId="1" xfId="0" applyNumberFormat="1" applyFont="1" applyFill="1" applyBorder="1" applyAlignment="1">
      <alignment horizontal="center"/>
    </xf>
    <xf numFmtId="2" fontId="22" fillId="7" borderId="1" xfId="0" applyNumberFormat="1" applyFont="1" applyFill="1" applyBorder="1" applyAlignment="1">
      <alignment horizontal="center"/>
    </xf>
    <xf numFmtId="10" fontId="22" fillId="7" borderId="1" xfId="5" applyNumberFormat="1" applyFont="1" applyFill="1" applyBorder="1" applyAlignment="1" applyProtection="1">
      <alignment horizontal="center"/>
    </xf>
    <xf numFmtId="0" fontId="22" fillId="12" borderId="1" xfId="0" applyFont="1" applyFill="1" applyBorder="1" applyAlignment="1">
      <alignment horizontal="center"/>
    </xf>
    <xf numFmtId="9" fontId="6" fillId="3" borderId="1" xfId="0" applyNumberFormat="1" applyFont="1" applyFill="1" applyBorder="1" applyAlignment="1">
      <alignment horizontal="center"/>
    </xf>
    <xf numFmtId="9" fontId="22" fillId="0" borderId="49" xfId="0" applyNumberFormat="1" applyFont="1" applyBorder="1" applyAlignment="1">
      <alignment horizontal="left"/>
    </xf>
    <xf numFmtId="4" fontId="22" fillId="0" borderId="1" xfId="0" applyNumberFormat="1" applyFont="1" applyBorder="1" applyAlignment="1">
      <alignment horizontal="center"/>
    </xf>
    <xf numFmtId="9" fontId="22" fillId="0" borderId="1" xfId="0" applyNumberFormat="1" applyFont="1" applyBorder="1" applyAlignment="1">
      <alignment horizontal="left"/>
    </xf>
    <xf numFmtId="4" fontId="22" fillId="0" borderId="1" xfId="3" applyNumberFormat="1" applyFont="1" applyFill="1" applyBorder="1" applyAlignment="1" applyProtection="1">
      <alignment horizontal="center"/>
    </xf>
    <xf numFmtId="9" fontId="11" fillId="4" borderId="1" xfId="0" applyNumberFormat="1" applyFont="1" applyFill="1" applyBorder="1" applyAlignment="1">
      <alignment horizontal="center"/>
    </xf>
    <xf numFmtId="165" fontId="45" fillId="0" borderId="1" xfId="5" applyNumberFormat="1" applyFont="1" applyFill="1" applyBorder="1" applyAlignment="1" applyProtection="1">
      <alignment horizontal="center"/>
    </xf>
    <xf numFmtId="10" fontId="22" fillId="0" borderId="1" xfId="5" applyNumberFormat="1" applyFont="1" applyFill="1" applyBorder="1" applyAlignment="1" applyProtection="1">
      <alignment horizontal="center"/>
    </xf>
    <xf numFmtId="9" fontId="34" fillId="4" borderId="1" xfId="0" applyNumberFormat="1" applyFont="1" applyFill="1" applyBorder="1" applyAlignment="1">
      <alignment horizontal="center"/>
    </xf>
    <xf numFmtId="10" fontId="22" fillId="0" borderId="1" xfId="0" applyNumberFormat="1" applyFont="1" applyBorder="1" applyAlignment="1">
      <alignment horizontal="center"/>
    </xf>
    <xf numFmtId="2" fontId="22" fillId="0" borderId="1" xfId="0" applyNumberFormat="1" applyFont="1" applyBorder="1" applyAlignment="1">
      <alignment horizontal="center"/>
    </xf>
    <xf numFmtId="165" fontId="22" fillId="0" borderId="1" xfId="0" applyNumberFormat="1" applyFont="1" applyBorder="1" applyAlignment="1">
      <alignment horizontal="center"/>
    </xf>
    <xf numFmtId="9" fontId="6" fillId="0" borderId="1" xfId="0" applyNumberFormat="1" applyFont="1" applyBorder="1" applyAlignment="1">
      <alignment horizontal="center"/>
    </xf>
    <xf numFmtId="0" fontId="22" fillId="4" borderId="0" xfId="0" applyFont="1" applyFill="1" applyAlignment="1">
      <alignment horizontal="left"/>
    </xf>
    <xf numFmtId="0" fontId="22" fillId="4" borderId="0" xfId="0" applyFont="1" applyFill="1" applyAlignment="1">
      <alignment horizontal="center"/>
    </xf>
    <xf numFmtId="9" fontId="6" fillId="0" borderId="1" xfId="0" applyNumberFormat="1" applyFont="1" applyBorder="1" applyAlignment="1">
      <alignment horizontal="left"/>
    </xf>
    <xf numFmtId="9" fontId="6" fillId="0" borderId="49" xfId="0" applyNumberFormat="1" applyFont="1" applyBorder="1" applyAlignment="1">
      <alignment horizontal="left"/>
    </xf>
    <xf numFmtId="9" fontId="0" fillId="0" borderId="49" xfId="0" applyNumberFormat="1" applyBorder="1" applyAlignment="1">
      <alignment horizontal="left"/>
    </xf>
    <xf numFmtId="4" fontId="0" fillId="0" borderId="1" xfId="0" applyNumberFormat="1" applyBorder="1" applyAlignment="1">
      <alignment horizontal="center"/>
    </xf>
    <xf numFmtId="9" fontId="0" fillId="0" borderId="1" xfId="0" applyNumberFormat="1" applyBorder="1" applyAlignment="1">
      <alignment horizontal="left"/>
    </xf>
    <xf numFmtId="4" fontId="22" fillId="0" borderId="0" xfId="0" applyNumberFormat="1" applyFont="1" applyAlignment="1">
      <alignment horizontal="center"/>
    </xf>
    <xf numFmtId="4" fontId="22" fillId="0" borderId="1" xfId="0" applyNumberFormat="1" applyFont="1" applyBorder="1" applyAlignment="1">
      <alignment horizontal="left"/>
    </xf>
    <xf numFmtId="0" fontId="11" fillId="0" borderId="1" xfId="0" applyFont="1" applyBorder="1" applyAlignment="1">
      <alignment horizontal="center"/>
    </xf>
    <xf numFmtId="4" fontId="0" fillId="0" borderId="1" xfId="0" applyNumberFormat="1" applyBorder="1" applyAlignment="1">
      <alignment horizontal="left"/>
    </xf>
    <xf numFmtId="4" fontId="6" fillId="9" borderId="1" xfId="0" applyNumberFormat="1" applyFont="1" applyFill="1" applyBorder="1" applyAlignment="1">
      <alignment horizontal="left"/>
    </xf>
    <xf numFmtId="4" fontId="0" fillId="9" borderId="1" xfId="0" applyNumberFormat="1" applyFill="1" applyBorder="1" applyAlignment="1">
      <alignment horizontal="center"/>
    </xf>
    <xf numFmtId="3" fontId="22" fillId="0" borderId="0" xfId="0" applyNumberFormat="1" applyFont="1" applyAlignment="1">
      <alignment horizontal="center"/>
    </xf>
    <xf numFmtId="9" fontId="16" fillId="7" borderId="71" xfId="0" applyNumberFormat="1" applyFont="1" applyFill="1" applyBorder="1" applyAlignment="1">
      <alignment horizontal="center" vertical="center"/>
    </xf>
    <xf numFmtId="4" fontId="6" fillId="10" borderId="45" xfId="0" applyNumberFormat="1" applyFont="1" applyFill="1" applyBorder="1"/>
    <xf numFmtId="4" fontId="0" fillId="0" borderId="117" xfId="0" applyNumberFormat="1" applyBorder="1"/>
    <xf numFmtId="4" fontId="6" fillId="3" borderId="40" xfId="0" applyNumberFormat="1" applyFont="1" applyFill="1" applyBorder="1"/>
    <xf numFmtId="4" fontId="0" fillId="34" borderId="119" xfId="0" applyNumberFormat="1" applyFill="1" applyBorder="1"/>
    <xf numFmtId="4" fontId="6" fillId="35" borderId="119" xfId="0" applyNumberFormat="1" applyFont="1" applyFill="1" applyBorder="1"/>
    <xf numFmtId="0" fontId="6" fillId="10" borderId="119" xfId="0" applyFont="1" applyFill="1" applyBorder="1"/>
    <xf numFmtId="4" fontId="6" fillId="10" borderId="119" xfId="0" applyNumberFormat="1" applyFont="1" applyFill="1" applyBorder="1"/>
    <xf numFmtId="0" fontId="53" fillId="2" borderId="119" xfId="0" applyFont="1" applyFill="1" applyBorder="1" applyAlignment="1">
      <alignment horizontal="center" vertical="center"/>
    </xf>
    <xf numFmtId="9" fontId="53" fillId="2" borderId="119" xfId="5" applyFont="1" applyFill="1" applyBorder="1" applyAlignment="1" applyProtection="1">
      <alignment horizontal="center" vertical="center"/>
      <protection locked="0"/>
    </xf>
    <xf numFmtId="4" fontId="53" fillId="2" borderId="119" xfId="5" applyNumberFormat="1" applyFont="1" applyFill="1" applyBorder="1" applyAlignment="1" applyProtection="1">
      <alignment horizontal="center" vertical="center"/>
      <protection locked="0"/>
    </xf>
    <xf numFmtId="9" fontId="53" fillId="36" borderId="119" xfId="5" applyFont="1" applyFill="1" applyBorder="1" applyAlignment="1" applyProtection="1">
      <alignment horizontal="center" vertical="center"/>
      <protection locked="0"/>
    </xf>
    <xf numFmtId="0" fontId="6" fillId="10" borderId="48" xfId="0" applyFont="1" applyFill="1" applyBorder="1"/>
    <xf numFmtId="3" fontId="6" fillId="37" borderId="120" xfId="0" applyNumberFormat="1" applyFont="1" applyFill="1" applyBorder="1"/>
    <xf numFmtId="4" fontId="6" fillId="37" borderId="121" xfId="0" applyNumberFormat="1" applyFont="1" applyFill="1" applyBorder="1"/>
    <xf numFmtId="4" fontId="7" fillId="37" borderId="121" xfId="0" applyNumberFormat="1" applyFont="1" applyFill="1" applyBorder="1"/>
    <xf numFmtId="4" fontId="6" fillId="9" borderId="7" xfId="0" applyNumberFormat="1" applyFont="1" applyFill="1" applyBorder="1"/>
    <xf numFmtId="10" fontId="11" fillId="9" borderId="9" xfId="0" applyNumberFormat="1" applyFont="1" applyFill="1" applyBorder="1"/>
    <xf numFmtId="4" fontId="6" fillId="10" borderId="117" xfId="0" applyNumberFormat="1" applyFont="1" applyFill="1" applyBorder="1"/>
    <xf numFmtId="4" fontId="6" fillId="35" borderId="122" xfId="0" applyNumberFormat="1" applyFont="1" applyFill="1" applyBorder="1"/>
    <xf numFmtId="4" fontId="6" fillId="37" borderId="123" xfId="0" applyNumberFormat="1" applyFont="1" applyFill="1" applyBorder="1"/>
    <xf numFmtId="4" fontId="0" fillId="0" borderId="73" xfId="0" applyNumberFormat="1" applyBorder="1"/>
    <xf numFmtId="4" fontId="0" fillId="2" borderId="73" xfId="0" applyNumberFormat="1" applyFill="1" applyBorder="1"/>
    <xf numFmtId="165" fontId="0" fillId="2" borderId="70" xfId="5" applyNumberFormat="1" applyFont="1" applyFill="1" applyBorder="1" applyAlignment="1" applyProtection="1"/>
    <xf numFmtId="165" fontId="6" fillId="10" borderId="124" xfId="5" applyNumberFormat="1" applyFont="1" applyFill="1" applyBorder="1" applyAlignment="1" applyProtection="1"/>
    <xf numFmtId="165" fontId="6" fillId="37" borderId="125" xfId="5" applyNumberFormat="1" applyFont="1" applyFill="1" applyBorder="1" applyAlignment="1" applyProtection="1"/>
    <xf numFmtId="165" fontId="6" fillId="10" borderId="126" xfId="5" applyNumberFormat="1" applyFont="1" applyFill="1" applyBorder="1" applyAlignment="1" applyProtection="1"/>
    <xf numFmtId="4" fontId="7" fillId="37" borderId="123" xfId="0" applyNumberFormat="1" applyFont="1" applyFill="1" applyBorder="1"/>
    <xf numFmtId="3" fontId="6" fillId="37" borderId="124" xfId="0" applyNumberFormat="1" applyFont="1" applyFill="1" applyBorder="1"/>
    <xf numFmtId="165" fontId="0" fillId="2" borderId="127" xfId="5" applyNumberFormat="1" applyFont="1" applyFill="1" applyBorder="1" applyAlignment="1" applyProtection="1"/>
    <xf numFmtId="4" fontId="0" fillId="0" borderId="128" xfId="0" applyNumberFormat="1" applyBorder="1"/>
    <xf numFmtId="165" fontId="0" fillId="0" borderId="127" xfId="5" applyNumberFormat="1" applyFont="1" applyFill="1" applyBorder="1" applyAlignment="1" applyProtection="1"/>
    <xf numFmtId="4" fontId="0" fillId="2" borderId="128" xfId="0" applyNumberFormat="1" applyFill="1" applyBorder="1"/>
    <xf numFmtId="165" fontId="0" fillId="2" borderId="129" xfId="5" applyNumberFormat="1" applyFont="1" applyFill="1" applyBorder="1" applyAlignment="1" applyProtection="1"/>
    <xf numFmtId="4" fontId="7" fillId="37" borderId="120" xfId="0" applyNumberFormat="1" applyFont="1" applyFill="1" applyBorder="1"/>
    <xf numFmtId="4" fontId="6" fillId="37" borderId="124" xfId="0" applyNumberFormat="1" applyFont="1" applyFill="1" applyBorder="1"/>
    <xf numFmtId="165" fontId="6" fillId="10" borderId="119" xfId="5" applyNumberFormat="1" applyFont="1" applyFill="1" applyBorder="1" applyAlignment="1" applyProtection="1"/>
    <xf numFmtId="4" fontId="6" fillId="37" borderId="130" xfId="0" applyNumberFormat="1" applyFont="1" applyFill="1" applyBorder="1"/>
    <xf numFmtId="165" fontId="6" fillId="10" borderId="125" xfId="5" applyNumberFormat="1" applyFont="1" applyFill="1" applyBorder="1" applyAlignment="1" applyProtection="1"/>
    <xf numFmtId="3" fontId="0" fillId="10" borderId="26" xfId="0" applyNumberFormat="1" applyFill="1" applyBorder="1" applyAlignment="1">
      <alignment horizontal="left"/>
    </xf>
    <xf numFmtId="3" fontId="6" fillId="10" borderId="3" xfId="0" applyNumberFormat="1" applyFont="1" applyFill="1" applyBorder="1" applyAlignment="1">
      <alignment horizontal="center"/>
    </xf>
    <xf numFmtId="9" fontId="16" fillId="0" borderId="119" xfId="5" applyFont="1" applyFill="1" applyBorder="1" applyAlignment="1" applyProtection="1">
      <alignment horizontal="center"/>
      <protection locked="0"/>
    </xf>
    <xf numFmtId="3" fontId="16" fillId="0" borderId="119" xfId="0" applyNumberFormat="1" applyFont="1" applyBorder="1" applyAlignment="1" applyProtection="1">
      <alignment horizontal="center"/>
      <protection locked="0"/>
    </xf>
    <xf numFmtId="3" fontId="6" fillId="0" borderId="119" xfId="0" applyNumberFormat="1" applyFont="1" applyBorder="1" applyAlignment="1" applyProtection="1">
      <alignment horizontal="center"/>
      <protection locked="0"/>
    </xf>
    <xf numFmtId="3" fontId="16" fillId="34" borderId="119" xfId="0" applyNumberFormat="1" applyFont="1" applyFill="1" applyBorder="1" applyAlignment="1" applyProtection="1">
      <alignment horizontal="center"/>
      <protection locked="0"/>
    </xf>
    <xf numFmtId="4" fontId="2" fillId="10" borderId="0" xfId="0" applyNumberFormat="1" applyFont="1" applyFill="1"/>
    <xf numFmtId="169" fontId="55" fillId="0" borderId="0" xfId="0" applyNumberFormat="1" applyFont="1"/>
    <xf numFmtId="0" fontId="47" fillId="0" borderId="0" xfId="0" applyFont="1"/>
    <xf numFmtId="169" fontId="47" fillId="0" borderId="0" xfId="0" applyNumberFormat="1" applyFont="1" applyAlignment="1">
      <alignment horizontal="center"/>
    </xf>
    <xf numFmtId="10" fontId="56" fillId="0" borderId="0" xfId="0" applyNumberFormat="1" applyFont="1" applyAlignment="1">
      <alignment horizontal="right"/>
    </xf>
    <xf numFmtId="4" fontId="56" fillId="0" borderId="0" xfId="0" applyNumberFormat="1" applyFont="1" applyAlignment="1">
      <alignment horizontal="center"/>
    </xf>
    <xf numFmtId="169" fontId="2" fillId="9" borderId="49" xfId="0" applyNumberFormat="1" applyFont="1" applyFill="1" applyBorder="1"/>
    <xf numFmtId="169" fontId="2" fillId="10" borderId="49" xfId="0" applyNumberFormat="1" applyFont="1" applyFill="1" applyBorder="1" applyAlignment="1">
      <alignment horizontal="left"/>
    </xf>
    <xf numFmtId="4" fontId="40" fillId="0" borderId="0" xfId="0" applyNumberFormat="1" applyFont="1" applyAlignment="1">
      <alignment horizontal="center"/>
    </xf>
    <xf numFmtId="169" fontId="2" fillId="9" borderId="7" xfId="0" applyNumberFormat="1" applyFont="1" applyFill="1" applyBorder="1" applyAlignment="1">
      <alignment horizontal="left"/>
    </xf>
    <xf numFmtId="0" fontId="57" fillId="0" borderId="0" xfId="0" applyFont="1" applyAlignment="1">
      <alignment horizontal="left"/>
    </xf>
    <xf numFmtId="0" fontId="2" fillId="9" borderId="11" xfId="0" applyFont="1" applyFill="1" applyBorder="1" applyAlignment="1">
      <alignment horizontal="left"/>
    </xf>
    <xf numFmtId="4" fontId="2" fillId="9" borderId="11" xfId="0" applyNumberFormat="1" applyFont="1" applyFill="1" applyBorder="1" applyAlignment="1">
      <alignment horizontal="right"/>
    </xf>
    <xf numFmtId="4" fontId="2" fillId="9" borderId="122" xfId="0" applyNumberFormat="1" applyFont="1" applyFill="1" applyBorder="1" applyAlignment="1">
      <alignment horizontal="right"/>
    </xf>
    <xf numFmtId="4" fontId="2" fillId="9" borderId="131" xfId="0" applyNumberFormat="1" applyFont="1" applyFill="1" applyBorder="1" applyAlignment="1">
      <alignment horizontal="right"/>
    </xf>
    <xf numFmtId="4" fontId="2" fillId="9" borderId="132" xfId="0" applyNumberFormat="1" applyFont="1" applyFill="1" applyBorder="1" applyAlignment="1">
      <alignment horizontal="right"/>
    </xf>
    <xf numFmtId="0" fontId="2" fillId="9" borderId="122" xfId="0" applyFont="1" applyFill="1" applyBorder="1" applyAlignment="1">
      <alignment horizontal="left"/>
    </xf>
    <xf numFmtId="4" fontId="2" fillId="9" borderId="9" xfId="0" applyNumberFormat="1" applyFont="1" applyFill="1" applyBorder="1" applyAlignment="1">
      <alignment horizontal="right"/>
    </xf>
    <xf numFmtId="3" fontId="16" fillId="0" borderId="119" xfId="0" applyNumberFormat="1" applyFont="1" applyBorder="1" applyAlignment="1">
      <alignment horizontal="center"/>
    </xf>
    <xf numFmtId="4" fontId="7" fillId="10" borderId="1" xfId="0" applyNumberFormat="1" applyFont="1" applyFill="1" applyBorder="1" applyAlignment="1">
      <alignment horizontal="center"/>
    </xf>
    <xf numFmtId="4" fontId="45" fillId="0" borderId="116" xfId="0" applyNumberFormat="1" applyFont="1" applyBorder="1" applyAlignment="1">
      <alignment horizontal="center"/>
    </xf>
    <xf numFmtId="4" fontId="45" fillId="0" borderId="108" xfId="0" applyNumberFormat="1" applyFont="1" applyBorder="1" applyAlignment="1">
      <alignment horizontal="center"/>
    </xf>
    <xf numFmtId="4" fontId="45" fillId="0" borderId="28" xfId="0" applyNumberFormat="1" applyFont="1" applyBorder="1" applyAlignment="1">
      <alignment horizontal="center"/>
    </xf>
    <xf numFmtId="4" fontId="45" fillId="0" borderId="117" xfId="0" applyNumberFormat="1" applyFont="1" applyBorder="1" applyAlignment="1">
      <alignment horizontal="center"/>
    </xf>
    <xf numFmtId="4" fontId="7" fillId="10" borderId="48" xfId="0" applyNumberFormat="1" applyFont="1" applyFill="1" applyBorder="1" applyAlignment="1">
      <alignment horizontal="center"/>
    </xf>
    <xf numFmtId="4" fontId="7" fillId="10" borderId="56" xfId="0" applyNumberFormat="1" applyFont="1" applyFill="1" applyBorder="1" applyAlignment="1">
      <alignment horizontal="center"/>
    </xf>
    <xf numFmtId="4" fontId="2" fillId="9" borderId="119" xfId="0" applyNumberFormat="1" applyFont="1" applyFill="1" applyBorder="1" applyAlignment="1">
      <alignment horizontal="center"/>
    </xf>
    <xf numFmtId="10" fontId="2" fillId="10" borderId="119" xfId="0" applyNumberFormat="1" applyFont="1" applyFill="1" applyBorder="1" applyAlignment="1">
      <alignment horizontal="center"/>
    </xf>
    <xf numFmtId="4" fontId="7" fillId="10" borderId="28" xfId="0" applyNumberFormat="1" applyFont="1" applyFill="1" applyBorder="1" applyAlignment="1">
      <alignment horizontal="center"/>
    </xf>
    <xf numFmtId="4" fontId="2" fillId="9" borderId="1" xfId="0" applyNumberFormat="1" applyFont="1" applyFill="1" applyBorder="1" applyAlignment="1">
      <alignment horizontal="center"/>
    </xf>
    <xf numFmtId="4" fontId="7" fillId="10" borderId="119" xfId="0" applyNumberFormat="1" applyFont="1" applyFill="1" applyBorder="1" applyAlignment="1">
      <alignment horizontal="center"/>
    </xf>
    <xf numFmtId="10" fontId="59" fillId="0" borderId="1" xfId="0" applyNumberFormat="1" applyFont="1" applyBorder="1" applyAlignment="1" applyProtection="1">
      <alignment horizontal="center"/>
      <protection locked="0"/>
    </xf>
    <xf numFmtId="10" fontId="59" fillId="0" borderId="23" xfId="0" applyNumberFormat="1" applyFont="1" applyBorder="1" applyAlignment="1" applyProtection="1">
      <alignment horizontal="center"/>
      <protection locked="0"/>
    </xf>
    <xf numFmtId="0" fontId="59" fillId="0" borderId="1" xfId="0" applyFont="1" applyBorder="1" applyAlignment="1" applyProtection="1">
      <alignment horizontal="center"/>
      <protection locked="0"/>
    </xf>
    <xf numFmtId="0" fontId="59" fillId="0" borderId="23" xfId="0" applyFont="1" applyBorder="1" applyAlignment="1" applyProtection="1">
      <alignment horizontal="center"/>
      <protection locked="0"/>
    </xf>
    <xf numFmtId="0" fontId="60" fillId="0" borderId="1" xfId="0" applyFont="1" applyBorder="1" applyAlignment="1" applyProtection="1">
      <alignment horizontal="center" vertical="center"/>
      <protection locked="0"/>
    </xf>
    <xf numFmtId="0" fontId="60" fillId="0" borderId="23" xfId="0"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0" fontId="60" fillId="0" borderId="23" xfId="0" applyNumberFormat="1" applyFont="1" applyBorder="1" applyAlignment="1" applyProtection="1">
      <alignment horizontal="center" vertical="center"/>
      <protection locked="0"/>
    </xf>
    <xf numFmtId="9" fontId="61" fillId="2" borderId="1" xfId="5" applyFont="1" applyFill="1" applyBorder="1" applyAlignment="1" applyProtection="1">
      <alignment horizontal="center"/>
      <protection locked="0"/>
    </xf>
    <xf numFmtId="9" fontId="61" fillId="2" borderId="23" xfId="5" applyFont="1" applyFill="1" applyBorder="1" applyAlignment="1" applyProtection="1">
      <alignment horizontal="center"/>
      <protection locked="0"/>
    </xf>
    <xf numFmtId="9" fontId="61" fillId="38" borderId="1" xfId="5" applyFont="1" applyFill="1" applyBorder="1" applyAlignment="1" applyProtection="1">
      <alignment horizontal="center"/>
      <protection locked="0"/>
    </xf>
    <xf numFmtId="3" fontId="62" fillId="0" borderId="59" xfId="0" applyNumberFormat="1" applyFont="1" applyBorder="1" applyAlignment="1" applyProtection="1">
      <alignment horizontal="right"/>
      <protection locked="0"/>
    </xf>
    <xf numFmtId="3" fontId="62" fillId="9" borderId="59" xfId="0" applyNumberFormat="1" applyFont="1" applyFill="1" applyBorder="1" applyAlignment="1">
      <alignment horizontal="right"/>
    </xf>
    <xf numFmtId="3" fontId="63" fillId="9" borderId="59" xfId="0" applyNumberFormat="1" applyFont="1" applyFill="1" applyBorder="1" applyAlignment="1">
      <alignment horizontal="right"/>
    </xf>
    <xf numFmtId="9" fontId="61" fillId="0" borderId="1" xfId="5" applyFont="1" applyFill="1" applyBorder="1" applyAlignment="1" applyProtection="1">
      <alignment horizontal="center" vertical="center"/>
      <protection locked="0"/>
    </xf>
    <xf numFmtId="9" fontId="61" fillId="0" borderId="3" xfId="5" applyFont="1" applyFill="1" applyBorder="1" applyAlignment="1" applyProtection="1">
      <alignment horizontal="center" vertical="center"/>
      <protection locked="0"/>
    </xf>
    <xf numFmtId="9" fontId="16" fillId="38" borderId="1" xfId="5" applyFont="1" applyFill="1" applyBorder="1" applyAlignment="1" applyProtection="1">
      <alignment horizontal="center"/>
      <protection locked="0"/>
    </xf>
    <xf numFmtId="165" fontId="64" fillId="7" borderId="0" xfId="5" applyNumberFormat="1" applyFont="1" applyFill="1" applyBorder="1" applyAlignment="1" applyProtection="1">
      <alignment horizontal="center"/>
    </xf>
    <xf numFmtId="9" fontId="61" fillId="39" borderId="1" xfId="5" applyFont="1" applyFill="1" applyBorder="1" applyAlignment="1" applyProtection="1">
      <alignment horizontal="center"/>
      <protection locked="0"/>
    </xf>
    <xf numFmtId="9" fontId="61" fillId="0" borderId="28" xfId="5" applyFont="1" applyFill="1" applyBorder="1" applyAlignment="1" applyProtection="1">
      <alignment horizontal="right"/>
      <protection locked="0"/>
    </xf>
    <xf numFmtId="10" fontId="61" fillId="0" borderId="28" xfId="5" applyNumberFormat="1" applyFont="1" applyFill="1" applyBorder="1" applyAlignment="1" applyProtection="1">
      <alignment horizontal="right"/>
      <protection locked="0"/>
    </xf>
    <xf numFmtId="3" fontId="61" fillId="0" borderId="52" xfId="0" applyNumberFormat="1" applyFont="1" applyBorder="1" applyAlignment="1" applyProtection="1">
      <alignment horizontal="right"/>
      <protection locked="0"/>
    </xf>
    <xf numFmtId="9" fontId="61" fillId="0" borderId="52" xfId="5" applyFont="1" applyFill="1" applyBorder="1" applyAlignment="1" applyProtection="1">
      <alignment horizontal="right"/>
      <protection locked="0"/>
    </xf>
    <xf numFmtId="9" fontId="61" fillId="0" borderId="8" xfId="5" applyFont="1" applyFill="1" applyBorder="1" applyAlignment="1" applyProtection="1">
      <alignment horizontal="right"/>
      <protection locked="0"/>
    </xf>
    <xf numFmtId="3" fontId="62" fillId="0" borderId="60" xfId="0" applyNumberFormat="1" applyFont="1" applyBorder="1" applyAlignment="1" applyProtection="1">
      <alignment horizontal="right"/>
      <protection locked="0"/>
    </xf>
    <xf numFmtId="0" fontId="61" fillId="0" borderId="1" xfId="0" applyFont="1" applyBorder="1" applyAlignment="1" applyProtection="1">
      <alignment horizontal="center"/>
      <protection locked="0"/>
    </xf>
    <xf numFmtId="1" fontId="61" fillId="0" borderId="1" xfId="0" applyNumberFormat="1" applyFont="1" applyBorder="1" applyAlignment="1" applyProtection="1">
      <alignment horizontal="right"/>
      <protection locked="0"/>
    </xf>
    <xf numFmtId="1" fontId="61" fillId="0" borderId="23" xfId="0" applyNumberFormat="1" applyFont="1" applyBorder="1" applyAlignment="1" applyProtection="1">
      <alignment horizontal="right"/>
      <protection locked="0"/>
    </xf>
    <xf numFmtId="9" fontId="60" fillId="0" borderId="1" xfId="0" applyNumberFormat="1" applyFont="1" applyBorder="1" applyAlignment="1" applyProtection="1">
      <alignment horizontal="center"/>
      <protection locked="0"/>
    </xf>
    <xf numFmtId="9" fontId="60" fillId="0" borderId="23" xfId="0" applyNumberFormat="1" applyFont="1" applyBorder="1" applyAlignment="1" applyProtection="1">
      <alignment horizontal="center"/>
      <protection locked="0"/>
    </xf>
    <xf numFmtId="10" fontId="60" fillId="0" borderId="1" xfId="0" applyNumberFormat="1" applyFont="1" applyBorder="1" applyAlignment="1" applyProtection="1">
      <alignment horizontal="center"/>
      <protection locked="0"/>
    </xf>
    <xf numFmtId="10" fontId="60" fillId="0" borderId="23" xfId="0" applyNumberFormat="1" applyFont="1" applyBorder="1" applyAlignment="1" applyProtection="1">
      <alignment horizontal="center"/>
      <protection locked="0"/>
    </xf>
    <xf numFmtId="168" fontId="61" fillId="0" borderId="1" xfId="0" applyNumberFormat="1" applyFont="1" applyBorder="1" applyAlignment="1" applyProtection="1">
      <alignment horizontal="right"/>
      <protection locked="0"/>
    </xf>
    <xf numFmtId="168" fontId="61" fillId="0" borderId="23" xfId="0" applyNumberFormat="1" applyFont="1" applyBorder="1" applyAlignment="1" applyProtection="1">
      <alignment horizontal="right"/>
      <protection locked="0"/>
    </xf>
    <xf numFmtId="165" fontId="61" fillId="0" borderId="1" xfId="0" applyNumberFormat="1" applyFont="1" applyBorder="1" applyAlignment="1" applyProtection="1">
      <alignment horizontal="center"/>
      <protection locked="0"/>
    </xf>
    <xf numFmtId="165" fontId="61" fillId="0" borderId="23" xfId="0" applyNumberFormat="1" applyFont="1" applyBorder="1" applyAlignment="1" applyProtection="1">
      <alignment horizontal="center"/>
      <protection locked="0"/>
    </xf>
    <xf numFmtId="10" fontId="61" fillId="0" borderId="1" xfId="5" applyNumberFormat="1" applyFont="1" applyFill="1" applyBorder="1" applyAlignment="1" applyProtection="1">
      <alignment horizontal="center"/>
      <protection locked="0"/>
    </xf>
    <xf numFmtId="9" fontId="61" fillId="0" borderId="1" xfId="5" applyFont="1" applyFill="1" applyBorder="1" applyAlignment="1" applyProtection="1">
      <alignment horizontal="center"/>
      <protection locked="0"/>
    </xf>
    <xf numFmtId="0" fontId="61" fillId="0" borderId="23" xfId="0" applyFont="1" applyBorder="1" applyAlignment="1" applyProtection="1">
      <alignment horizontal="center"/>
      <protection locked="0"/>
    </xf>
    <xf numFmtId="3" fontId="61" fillId="0" borderId="1" xfId="0" applyNumberFormat="1" applyFont="1" applyBorder="1" applyAlignment="1" applyProtection="1">
      <alignment horizontal="right"/>
      <protection locked="0"/>
    </xf>
    <xf numFmtId="3" fontId="61" fillId="0" borderId="23" xfId="0" applyNumberFormat="1" applyFont="1" applyBorder="1" applyAlignment="1" applyProtection="1">
      <alignment horizontal="right"/>
      <protection locked="0"/>
    </xf>
    <xf numFmtId="9" fontId="65" fillId="0" borderId="1" xfId="5" applyFont="1" applyFill="1" applyBorder="1" applyAlignment="1" applyProtection="1">
      <alignment horizontal="center"/>
      <protection locked="0"/>
    </xf>
    <xf numFmtId="9" fontId="65" fillId="0" borderId="23" xfId="5" applyFont="1" applyFill="1" applyBorder="1" applyAlignment="1" applyProtection="1">
      <alignment horizontal="center"/>
      <protection locked="0"/>
    </xf>
    <xf numFmtId="10" fontId="65" fillId="0" borderId="1" xfId="5" applyNumberFormat="1" applyFont="1" applyFill="1" applyBorder="1" applyAlignment="1" applyProtection="1">
      <alignment horizontal="center"/>
      <protection locked="0"/>
    </xf>
    <xf numFmtId="10" fontId="65" fillId="0" borderId="23" xfId="5" applyNumberFormat="1" applyFont="1" applyFill="1" applyBorder="1" applyAlignment="1" applyProtection="1">
      <alignment horizontal="center"/>
      <protection locked="0"/>
    </xf>
    <xf numFmtId="3" fontId="61" fillId="0" borderId="1" xfId="5" applyNumberFormat="1" applyFont="1" applyFill="1" applyBorder="1" applyAlignment="1" applyProtection="1">
      <alignment horizontal="center"/>
      <protection locked="0"/>
    </xf>
    <xf numFmtId="3" fontId="61" fillId="0" borderId="23" xfId="5" applyNumberFormat="1" applyFont="1" applyFill="1" applyBorder="1" applyAlignment="1" applyProtection="1">
      <alignment horizontal="center"/>
      <protection locked="0"/>
    </xf>
    <xf numFmtId="10" fontId="61" fillId="0" borderId="23" xfId="5" applyNumberFormat="1" applyFont="1" applyFill="1" applyBorder="1" applyAlignment="1" applyProtection="1">
      <alignment horizontal="center"/>
      <protection locked="0"/>
    </xf>
    <xf numFmtId="9" fontId="61" fillId="0" borderId="23" xfId="5" applyFont="1" applyFill="1" applyBorder="1" applyAlignment="1" applyProtection="1">
      <alignment horizontal="center"/>
      <protection locked="0"/>
    </xf>
    <xf numFmtId="9" fontId="61" fillId="0" borderId="23" xfId="5" applyFont="1" applyFill="1" applyBorder="1" applyAlignment="1" applyProtection="1">
      <alignment horizontal="center" vertical="center"/>
      <protection locked="0"/>
    </xf>
    <xf numFmtId="9" fontId="61" fillId="0" borderId="42" xfId="5" applyFont="1" applyFill="1" applyBorder="1" applyAlignment="1" applyProtection="1">
      <alignment horizontal="center" vertical="center"/>
      <protection locked="0"/>
    </xf>
    <xf numFmtId="9" fontId="61" fillId="0" borderId="1" xfId="5" applyFont="1" applyFill="1" applyBorder="1" applyAlignment="1" applyProtection="1">
      <alignment horizontal="right"/>
      <protection locked="0"/>
    </xf>
    <xf numFmtId="10" fontId="61" fillId="0" borderId="1" xfId="5" applyNumberFormat="1" applyFont="1" applyFill="1" applyBorder="1" applyAlignment="1" applyProtection="1">
      <alignment horizontal="right"/>
      <protection locked="0"/>
    </xf>
    <xf numFmtId="9" fontId="61" fillId="18" borderId="1" xfId="5" applyFont="1" applyFill="1" applyBorder="1" applyAlignment="1" applyProtection="1">
      <alignment horizontal="center"/>
      <protection locked="0"/>
    </xf>
    <xf numFmtId="0" fontId="2" fillId="2" borderId="0" xfId="0" applyFont="1" applyFill="1" applyAlignment="1">
      <alignment horizontal="left"/>
    </xf>
    <xf numFmtId="0" fontId="5" fillId="2" borderId="0" xfId="0" applyFont="1" applyFill="1" applyAlignment="1">
      <alignment horizontal="center"/>
    </xf>
    <xf numFmtId="0" fontId="6" fillId="2" borderId="0" xfId="0" applyFont="1" applyFill="1" applyAlignment="1">
      <alignment horizontal="center"/>
    </xf>
    <xf numFmtId="3" fontId="6" fillId="0" borderId="1" xfId="0" applyNumberFormat="1" applyFont="1" applyBorder="1" applyAlignment="1">
      <alignment horizontal="center"/>
    </xf>
    <xf numFmtId="0" fontId="6" fillId="0" borderId="0" xfId="0" applyFont="1" applyAlignment="1">
      <alignment horizontal="center"/>
    </xf>
    <xf numFmtId="3" fontId="6" fillId="7" borderId="1" xfId="0" applyNumberFormat="1" applyFont="1" applyFill="1" applyBorder="1" applyAlignment="1">
      <alignment horizontal="left"/>
    </xf>
    <xf numFmtId="3" fontId="6" fillId="9" borderId="1" xfId="0" applyNumberFormat="1" applyFont="1" applyFill="1" applyBorder="1" applyAlignment="1">
      <alignment horizontal="center"/>
    </xf>
    <xf numFmtId="0" fontId="0" fillId="7" borderId="4" xfId="0" applyFill="1" applyBorder="1" applyAlignment="1">
      <alignment horizontal="center"/>
    </xf>
    <xf numFmtId="0" fontId="7" fillId="7" borderId="0" xfId="0" applyFont="1" applyFill="1" applyAlignment="1">
      <alignment horizontal="center" vertical="center"/>
    </xf>
    <xf numFmtId="0" fontId="12" fillId="7" borderId="0" xfId="0" applyFont="1" applyFill="1" applyAlignment="1">
      <alignment horizontal="center" vertical="center"/>
    </xf>
    <xf numFmtId="3" fontId="12" fillId="10" borderId="46" xfId="0" applyNumberFormat="1" applyFont="1" applyFill="1" applyBorder="1" applyAlignment="1">
      <alignment horizontal="center" vertical="center"/>
    </xf>
    <xf numFmtId="3" fontId="6" fillId="3" borderId="10" xfId="0" applyNumberFormat="1" applyFont="1" applyFill="1" applyBorder="1" applyAlignment="1">
      <alignment horizontal="center" vertical="center"/>
    </xf>
    <xf numFmtId="0" fontId="7" fillId="3" borderId="10" xfId="0" applyFont="1" applyFill="1" applyBorder="1" applyAlignment="1">
      <alignment horizontal="center" vertical="center"/>
    </xf>
    <xf numFmtId="3" fontId="12" fillId="10" borderId="37" xfId="0" applyNumberFormat="1" applyFont="1" applyFill="1" applyBorder="1" applyAlignment="1">
      <alignment horizontal="center" vertical="center"/>
    </xf>
    <xf numFmtId="3" fontId="7" fillId="3" borderId="10" xfId="0" applyNumberFormat="1" applyFont="1" applyFill="1" applyBorder="1" applyAlignment="1">
      <alignment horizontal="center" vertical="center"/>
    </xf>
    <xf numFmtId="3" fontId="7" fillId="3" borderId="10" xfId="0" applyNumberFormat="1" applyFont="1" applyFill="1" applyBorder="1" applyAlignment="1">
      <alignment horizontal="center"/>
    </xf>
    <xf numFmtId="0" fontId="0" fillId="7" borderId="46" xfId="0" applyFill="1" applyBorder="1" applyAlignment="1">
      <alignment horizontal="center"/>
    </xf>
    <xf numFmtId="3" fontId="6" fillId="10" borderId="13" xfId="0" applyNumberFormat="1" applyFont="1" applyFill="1" applyBorder="1" applyAlignment="1">
      <alignment horizontal="left"/>
    </xf>
    <xf numFmtId="3" fontId="6" fillId="10" borderId="67" xfId="0" applyNumberFormat="1" applyFont="1" applyFill="1" applyBorder="1" applyAlignment="1">
      <alignment horizontal="left"/>
    </xf>
    <xf numFmtId="3" fontId="6" fillId="10" borderId="23" xfId="0" applyNumberFormat="1" applyFont="1" applyFill="1" applyBorder="1" applyAlignment="1">
      <alignment horizontal="left"/>
    </xf>
    <xf numFmtId="3" fontId="6" fillId="0" borderId="10" xfId="0" applyNumberFormat="1" applyFont="1" applyBorder="1" applyAlignment="1">
      <alignment horizontal="center"/>
    </xf>
    <xf numFmtId="3" fontId="7" fillId="0" borderId="10" xfId="0" applyNumberFormat="1" applyFont="1" applyBorder="1" applyAlignment="1">
      <alignment horizontal="center"/>
    </xf>
    <xf numFmtId="4" fontId="6" fillId="0" borderId="10" xfId="0" applyNumberFormat="1" applyFont="1" applyBorder="1" applyAlignment="1">
      <alignment horizontal="center"/>
    </xf>
    <xf numFmtId="4" fontId="6" fillId="3" borderId="10" xfId="0" applyNumberFormat="1" applyFont="1" applyFill="1" applyBorder="1" applyAlignment="1">
      <alignment horizontal="center"/>
    </xf>
    <xf numFmtId="4" fontId="46" fillId="10" borderId="10" xfId="0" applyNumberFormat="1" applyFont="1" applyFill="1" applyBorder="1" applyAlignment="1">
      <alignment horizontal="center" vertical="center"/>
    </xf>
    <xf numFmtId="4" fontId="2" fillId="13" borderId="1" xfId="0" applyNumberFormat="1" applyFont="1" applyFill="1" applyBorder="1" applyAlignment="1">
      <alignment horizontal="center" vertical="center"/>
    </xf>
    <xf numFmtId="4" fontId="6" fillId="23" borderId="1" xfId="0" applyNumberFormat="1" applyFont="1" applyFill="1" applyBorder="1" applyAlignment="1">
      <alignment horizontal="center" vertical="center"/>
    </xf>
    <xf numFmtId="0" fontId="6" fillId="7" borderId="0" xfId="0" applyFont="1" applyFill="1" applyAlignment="1">
      <alignment horizontal="center" vertical="center"/>
    </xf>
    <xf numFmtId="4" fontId="6" fillId="7" borderId="73" xfId="0" applyNumberFormat="1" applyFont="1" applyFill="1" applyBorder="1" applyAlignment="1">
      <alignment horizontal="left" vertical="center"/>
    </xf>
    <xf numFmtId="0" fontId="6" fillId="7" borderId="0" xfId="0" applyFont="1" applyFill="1" applyAlignment="1">
      <alignment vertical="center"/>
    </xf>
    <xf numFmtId="4" fontId="6" fillId="7" borderId="76" xfId="0" applyNumberFormat="1" applyFont="1" applyFill="1" applyBorder="1" applyAlignment="1">
      <alignment horizontal="left" vertical="center"/>
    </xf>
    <xf numFmtId="0" fontId="6" fillId="17" borderId="76" xfId="0" applyFont="1" applyFill="1" applyBorder="1" applyAlignment="1">
      <alignment horizontal="left" vertical="center"/>
    </xf>
    <xf numFmtId="4" fontId="20" fillId="19" borderId="1" xfId="0" applyNumberFormat="1" applyFont="1" applyFill="1" applyBorder="1" applyAlignment="1">
      <alignment horizontal="center" vertical="center" wrapText="1"/>
    </xf>
    <xf numFmtId="4" fontId="0" fillId="19" borderId="1" xfId="0" applyNumberFormat="1" applyFill="1" applyBorder="1" applyAlignment="1">
      <alignment horizontal="center" vertical="center"/>
    </xf>
    <xf numFmtId="4" fontId="6" fillId="7" borderId="133" xfId="0" applyNumberFormat="1" applyFont="1" applyFill="1" applyBorder="1" applyAlignment="1">
      <alignment horizontal="left" vertical="center"/>
    </xf>
    <xf numFmtId="4" fontId="20" fillId="19" borderId="1" xfId="0" applyNumberFormat="1" applyFont="1" applyFill="1" applyBorder="1" applyAlignment="1">
      <alignment horizontal="center" vertical="center"/>
    </xf>
    <xf numFmtId="4" fontId="0" fillId="23" borderId="80" xfId="0" applyNumberFormat="1" applyFill="1" applyBorder="1" applyAlignment="1">
      <alignment horizontal="center" vertical="center"/>
    </xf>
    <xf numFmtId="4" fontId="0" fillId="23" borderId="81" xfId="0" applyNumberFormat="1" applyFill="1" applyBorder="1" applyAlignment="1">
      <alignment horizontal="center" vertical="center" wrapText="1"/>
    </xf>
    <xf numFmtId="4" fontId="0" fillId="23" borderId="83" xfId="0" applyNumberFormat="1" applyFill="1" applyBorder="1" applyAlignment="1">
      <alignment horizontal="center" vertical="center" wrapText="1"/>
    </xf>
    <xf numFmtId="4" fontId="0" fillId="7" borderId="1" xfId="0" applyNumberFormat="1" applyFill="1" applyBorder="1" applyAlignment="1">
      <alignment horizontal="center" vertical="center"/>
    </xf>
    <xf numFmtId="4" fontId="6" fillId="4" borderId="1" xfId="0" applyNumberFormat="1" applyFont="1" applyFill="1" applyBorder="1" applyAlignment="1">
      <alignment horizontal="center" vertical="center"/>
    </xf>
    <xf numFmtId="4" fontId="0" fillId="4" borderId="80" xfId="0" applyNumberFormat="1" applyFill="1" applyBorder="1" applyAlignment="1">
      <alignment horizontal="center" vertical="center"/>
    </xf>
    <xf numFmtId="4" fontId="0" fillId="4" borderId="81" xfId="0" applyNumberFormat="1" applyFill="1" applyBorder="1" applyAlignment="1">
      <alignment horizontal="center" vertical="center" wrapText="1"/>
    </xf>
    <xf numFmtId="4" fontId="0" fillId="4" borderId="83" xfId="0" applyNumberFormat="1" applyFill="1" applyBorder="1" applyAlignment="1">
      <alignment horizontal="center" vertical="center" wrapText="1"/>
    </xf>
    <xf numFmtId="4" fontId="6" fillId="3" borderId="1" xfId="0" applyNumberFormat="1" applyFont="1" applyFill="1" applyBorder="1" applyAlignment="1">
      <alignment horizontal="center" vertical="center"/>
    </xf>
    <xf numFmtId="4" fontId="0" fillId="3" borderId="80" xfId="0" applyNumberFormat="1" applyFill="1" applyBorder="1" applyAlignment="1">
      <alignment horizontal="center" vertical="center"/>
    </xf>
    <xf numFmtId="4" fontId="0" fillId="3" borderId="81" xfId="0" applyNumberFormat="1" applyFill="1" applyBorder="1" applyAlignment="1">
      <alignment horizontal="center" vertical="center" wrapText="1"/>
    </xf>
    <xf numFmtId="4" fontId="0" fillId="3" borderId="83" xfId="0" applyNumberFormat="1" applyFill="1" applyBorder="1" applyAlignment="1">
      <alignment horizontal="center" vertical="center" wrapText="1"/>
    </xf>
    <xf numFmtId="4" fontId="6" fillId="18" borderId="1" xfId="0" applyNumberFormat="1" applyFont="1" applyFill="1" applyBorder="1" applyAlignment="1">
      <alignment horizontal="center"/>
    </xf>
    <xf numFmtId="165" fontId="6" fillId="11" borderId="48" xfId="5" applyNumberFormat="1" applyFont="1" applyFill="1" applyBorder="1" applyAlignment="1" applyProtection="1">
      <alignment horizontal="center"/>
    </xf>
    <xf numFmtId="165" fontId="6" fillId="0" borderId="1" xfId="0" applyNumberFormat="1" applyFont="1" applyBorder="1" applyAlignment="1">
      <alignment horizontal="center"/>
    </xf>
    <xf numFmtId="3" fontId="16" fillId="0" borderId="1" xfId="0" applyNumberFormat="1" applyFont="1" applyBorder="1" applyAlignment="1" applyProtection="1">
      <alignment horizontal="left"/>
      <protection locked="0"/>
    </xf>
    <xf numFmtId="3" fontId="6" fillId="9" borderId="1" xfId="5" applyNumberFormat="1" applyFont="1" applyFill="1" applyBorder="1" applyAlignment="1" applyProtection="1">
      <alignment horizontal="center"/>
    </xf>
    <xf numFmtId="3" fontId="12" fillId="10" borderId="1" xfId="0" applyNumberFormat="1" applyFont="1" applyFill="1" applyBorder="1" applyAlignment="1">
      <alignment horizontal="center" vertical="center" wrapText="1"/>
    </xf>
    <xf numFmtId="3" fontId="37" fillId="10" borderId="1" xfId="0" applyNumberFormat="1" applyFont="1" applyFill="1" applyBorder="1" applyAlignment="1" applyProtection="1">
      <alignment horizontal="center" vertical="center" wrapText="1"/>
      <protection locked="0"/>
    </xf>
    <xf numFmtId="0" fontId="6" fillId="7" borderId="2" xfId="0" applyFont="1" applyFill="1" applyBorder="1" applyAlignment="1">
      <alignment horizontal="center"/>
    </xf>
    <xf numFmtId="0" fontId="6" fillId="19" borderId="1" xfId="0" applyFont="1" applyFill="1" applyBorder="1" applyAlignment="1">
      <alignment horizontal="center"/>
    </xf>
    <xf numFmtId="3" fontId="6" fillId="4" borderId="1" xfId="0" applyNumberFormat="1" applyFont="1" applyFill="1" applyBorder="1" applyAlignment="1">
      <alignment horizontal="center"/>
    </xf>
    <xf numFmtId="3" fontId="6" fillId="3" borderId="1" xfId="0" applyNumberFormat="1" applyFont="1" applyFill="1" applyBorder="1" applyAlignment="1">
      <alignment horizontal="center"/>
    </xf>
    <xf numFmtId="3" fontId="6" fillId="0" borderId="1" xfId="0" applyNumberFormat="1" applyFont="1" applyBorder="1" applyAlignment="1">
      <alignment horizontal="center" vertical="center"/>
    </xf>
    <xf numFmtId="4" fontId="6" fillId="7" borderId="1" xfId="5" applyNumberFormat="1" applyFont="1" applyFill="1" applyBorder="1" applyAlignment="1" applyProtection="1">
      <alignment horizontal="right" vertical="center"/>
      <protection locked="0"/>
    </xf>
    <xf numFmtId="165" fontId="19" fillId="7" borderId="1" xfId="5" applyNumberFormat="1" applyFont="1" applyFill="1" applyBorder="1" applyAlignment="1" applyProtection="1">
      <alignment horizontal="center" vertical="center"/>
      <protection locked="0"/>
    </xf>
    <xf numFmtId="165" fontId="16" fillId="7" borderId="1" xfId="5" applyNumberFormat="1" applyFont="1" applyFill="1" applyBorder="1" applyAlignment="1" applyProtection="1">
      <alignment horizontal="center" vertical="center"/>
      <protection locked="0"/>
    </xf>
    <xf numFmtId="4" fontId="6" fillId="7" borderId="1" xfId="5" applyNumberFormat="1" applyFont="1" applyFill="1" applyBorder="1" applyAlignment="1" applyProtection="1">
      <alignment vertical="center"/>
    </xf>
    <xf numFmtId="4" fontId="6" fillId="19" borderId="1" xfId="5" applyNumberFormat="1" applyFont="1" applyFill="1" applyBorder="1" applyAlignment="1" applyProtection="1">
      <alignment horizontal="right" vertical="center"/>
      <protection locked="0"/>
    </xf>
    <xf numFmtId="165" fontId="19" fillId="19" borderId="1" xfId="5" applyNumberFormat="1" applyFont="1" applyFill="1" applyBorder="1" applyAlignment="1" applyProtection="1">
      <alignment horizontal="center" vertical="center"/>
      <protection locked="0"/>
    </xf>
    <xf numFmtId="165" fontId="16" fillId="19" borderId="1" xfId="5" applyNumberFormat="1" applyFont="1" applyFill="1" applyBorder="1" applyAlignment="1" applyProtection="1">
      <alignment horizontal="center" vertical="center"/>
      <protection locked="0"/>
    </xf>
    <xf numFmtId="4" fontId="6" fillId="19" borderId="1" xfId="5" applyNumberFormat="1" applyFont="1" applyFill="1" applyBorder="1" applyAlignment="1" applyProtection="1">
      <alignment vertical="center"/>
    </xf>
    <xf numFmtId="4" fontId="6" fillId="4" borderId="1" xfId="0" applyNumberFormat="1" applyFont="1" applyFill="1" applyBorder="1" applyAlignment="1">
      <alignment vertical="center"/>
    </xf>
    <xf numFmtId="4" fontId="6" fillId="4" borderId="1" xfId="5" applyNumberFormat="1" applyFont="1" applyFill="1" applyBorder="1" applyAlignment="1" applyProtection="1">
      <alignment vertical="center"/>
    </xf>
    <xf numFmtId="3" fontId="6" fillId="4" borderId="1" xfId="0" applyNumberFormat="1" applyFont="1" applyFill="1" applyBorder="1" applyAlignment="1">
      <alignment horizontal="center" vertical="center" wrapText="1"/>
    </xf>
    <xf numFmtId="4" fontId="6" fillId="4" borderId="1" xfId="5" applyNumberFormat="1" applyFont="1" applyFill="1" applyBorder="1" applyAlignment="1" applyProtection="1">
      <alignment horizontal="right" vertical="center"/>
    </xf>
    <xf numFmtId="165" fontId="6" fillId="4" borderId="1" xfId="5" applyNumberFormat="1" applyFont="1" applyFill="1" applyBorder="1" applyAlignment="1" applyProtection="1">
      <alignment horizontal="center" vertical="center"/>
    </xf>
    <xf numFmtId="4" fontId="6" fillId="26" borderId="1" xfId="5" applyNumberFormat="1" applyFont="1" applyFill="1" applyBorder="1" applyAlignment="1" applyProtection="1">
      <alignment horizontal="right" vertical="center"/>
    </xf>
    <xf numFmtId="165" fontId="6" fillId="26" borderId="1" xfId="5" applyNumberFormat="1" applyFont="1" applyFill="1" applyBorder="1" applyAlignment="1" applyProtection="1">
      <alignment horizontal="center" vertical="center"/>
    </xf>
    <xf numFmtId="4" fontId="6" fillId="26" borderId="1" xfId="0" applyNumberFormat="1" applyFont="1" applyFill="1" applyBorder="1" applyAlignment="1">
      <alignment vertical="center"/>
    </xf>
    <xf numFmtId="4" fontId="47" fillId="25" borderId="1" xfId="0" applyNumberFormat="1" applyFont="1" applyFill="1" applyBorder="1" applyAlignment="1">
      <alignment vertical="center"/>
    </xf>
    <xf numFmtId="0" fontId="6" fillId="7" borderId="1" xfId="0" applyFont="1" applyFill="1" applyBorder="1" applyAlignment="1">
      <alignment horizontal="center"/>
    </xf>
    <xf numFmtId="3" fontId="6" fillId="15" borderId="1" xfId="0" applyNumberFormat="1" applyFont="1" applyFill="1" applyBorder="1" applyAlignment="1">
      <alignment horizontal="center"/>
    </xf>
    <xf numFmtId="4" fontId="6" fillId="26" borderId="1" xfId="5" applyNumberFormat="1" applyFont="1" applyFill="1" applyBorder="1" applyAlignment="1" applyProtection="1">
      <alignment vertical="center"/>
    </xf>
    <xf numFmtId="4" fontId="47" fillId="25" borderId="1" xfId="5" applyNumberFormat="1" applyFont="1" applyFill="1" applyBorder="1" applyAlignment="1" applyProtection="1">
      <alignment vertical="center"/>
    </xf>
    <xf numFmtId="0" fontId="6" fillId="4" borderId="1" xfId="0" applyFont="1" applyFill="1" applyBorder="1" applyAlignment="1">
      <alignment horizontal="center"/>
    </xf>
    <xf numFmtId="3" fontId="6" fillId="3" borderId="10" xfId="0" applyNumberFormat="1" applyFont="1" applyFill="1" applyBorder="1" applyAlignment="1">
      <alignment horizontal="center"/>
    </xf>
    <xf numFmtId="165" fontId="6" fillId="11" borderId="1" xfId="5" applyNumberFormat="1" applyFont="1" applyFill="1" applyBorder="1" applyAlignment="1" applyProtection="1">
      <alignment horizontal="center"/>
    </xf>
    <xf numFmtId="0" fontId="16" fillId="0" borderId="1" xfId="0" applyFont="1" applyBorder="1" applyAlignment="1">
      <alignment horizontal="left"/>
    </xf>
    <xf numFmtId="3" fontId="6" fillId="10" borderId="1" xfId="0" applyNumberFormat="1" applyFont="1" applyFill="1" applyBorder="1" applyAlignment="1">
      <alignment horizontal="center"/>
    </xf>
    <xf numFmtId="0" fontId="6" fillId="7" borderId="28" xfId="0" applyFont="1" applyFill="1" applyBorder="1" applyAlignment="1">
      <alignment horizontal="center"/>
    </xf>
    <xf numFmtId="0" fontId="6" fillId="0" borderId="28" xfId="0" applyFont="1" applyBorder="1" applyAlignment="1">
      <alignment horizontal="center"/>
    </xf>
    <xf numFmtId="3" fontId="6" fillId="8" borderId="1" xfId="0" applyNumberFormat="1" applyFont="1" applyFill="1" applyBorder="1" applyAlignment="1">
      <alignment horizontal="center"/>
    </xf>
    <xf numFmtId="3" fontId="2" fillId="3" borderId="1" xfId="0" applyNumberFormat="1" applyFont="1" applyFill="1" applyBorder="1" applyAlignment="1">
      <alignment horizontal="center"/>
    </xf>
    <xf numFmtId="4" fontId="6" fillId="7" borderId="1" xfId="0" applyNumberFormat="1" applyFont="1" applyFill="1" applyBorder="1" applyAlignment="1">
      <alignment horizontal="left"/>
    </xf>
    <xf numFmtId="4" fontId="6" fillId="10" borderId="1" xfId="0" applyNumberFormat="1" applyFont="1" applyFill="1" applyBorder="1" applyAlignment="1">
      <alignment horizontal="left"/>
    </xf>
    <xf numFmtId="4" fontId="6" fillId="30" borderId="1" xfId="0" applyNumberFormat="1" applyFont="1" applyFill="1" applyBorder="1" applyAlignment="1">
      <alignment horizontal="left"/>
    </xf>
    <xf numFmtId="4" fontId="6" fillId="7" borderId="28" xfId="0" applyNumberFormat="1" applyFont="1" applyFill="1" applyBorder="1" applyAlignment="1">
      <alignment horizontal="left"/>
    </xf>
    <xf numFmtId="4" fontId="6" fillId="10" borderId="28" xfId="0" applyNumberFormat="1" applyFont="1" applyFill="1" applyBorder="1" applyAlignment="1">
      <alignment horizontal="left"/>
    </xf>
    <xf numFmtId="4" fontId="2" fillId="3" borderId="1" xfId="0" applyNumberFormat="1" applyFont="1" applyFill="1" applyBorder="1" applyAlignment="1">
      <alignment horizontal="center"/>
    </xf>
    <xf numFmtId="0" fontId="6" fillId="0" borderId="0" xfId="0" applyFont="1" applyAlignment="1">
      <alignment horizontal="left"/>
    </xf>
    <xf numFmtId="4" fontId="6" fillId="3" borderId="1" xfId="0" applyNumberFormat="1" applyFont="1" applyFill="1" applyBorder="1" applyAlignment="1">
      <alignment horizontal="center"/>
    </xf>
    <xf numFmtId="0" fontId="0" fillId="0" borderId="34" xfId="0" applyBorder="1" applyAlignment="1">
      <alignment horizontal="left"/>
    </xf>
    <xf numFmtId="4" fontId="6" fillId="0" borderId="1" xfId="0" applyNumberFormat="1" applyFont="1" applyBorder="1" applyAlignment="1">
      <alignment horizontal="left"/>
    </xf>
    <xf numFmtId="4" fontId="12" fillId="0" borderId="1" xfId="0" applyNumberFormat="1" applyFont="1" applyBorder="1" applyAlignment="1">
      <alignment horizontal="left"/>
    </xf>
    <xf numFmtId="4" fontId="12" fillId="0" borderId="3" xfId="0" applyNumberFormat="1" applyFont="1" applyBorder="1" applyAlignment="1">
      <alignment horizontal="left"/>
    </xf>
    <xf numFmtId="4" fontId="34" fillId="0" borderId="40" xfId="0" applyNumberFormat="1" applyFont="1" applyBorder="1" applyAlignment="1">
      <alignment horizontal="left"/>
    </xf>
    <xf numFmtId="4" fontId="34" fillId="0" borderId="28" xfId="0" applyNumberFormat="1" applyFont="1" applyBorder="1" applyAlignment="1">
      <alignment horizontal="left"/>
    </xf>
    <xf numFmtId="3" fontId="6" fillId="0" borderId="3" xfId="0" applyNumberFormat="1" applyFont="1" applyBorder="1" applyAlignment="1">
      <alignment horizontal="left"/>
    </xf>
    <xf numFmtId="3" fontId="12" fillId="0" borderId="40" xfId="0" applyNumberFormat="1" applyFont="1" applyBorder="1" applyAlignment="1">
      <alignment horizontal="left"/>
    </xf>
    <xf numFmtId="3" fontId="12" fillId="0" borderId="28" xfId="0" applyNumberFormat="1" applyFont="1" applyBorder="1" applyAlignment="1">
      <alignment horizontal="left"/>
    </xf>
    <xf numFmtId="3" fontId="6" fillId="0" borderId="1" xfId="0" applyNumberFormat="1" applyFont="1" applyBorder="1" applyAlignment="1">
      <alignment horizontal="left"/>
    </xf>
    <xf numFmtId="3" fontId="47" fillId="17" borderId="1" xfId="0" applyNumberFormat="1" applyFont="1" applyFill="1" applyBorder="1" applyAlignment="1">
      <alignment horizontal="left"/>
    </xf>
    <xf numFmtId="4" fontId="6" fillId="8" borderId="1" xfId="0" applyNumberFormat="1" applyFont="1" applyFill="1" applyBorder="1" applyAlignment="1">
      <alignment horizontal="left"/>
    </xf>
    <xf numFmtId="3" fontId="6" fillId="8" borderId="1" xfId="0" applyNumberFormat="1" applyFont="1" applyFill="1" applyBorder="1" applyAlignment="1">
      <alignment horizontal="left"/>
    </xf>
    <xf numFmtId="0" fontId="0" fillId="0" borderId="34" xfId="0" applyBorder="1" applyAlignment="1">
      <alignment horizontal="center"/>
    </xf>
    <xf numFmtId="3" fontId="6" fillId="0" borderId="40" xfId="0" applyNumberFormat="1" applyFont="1" applyBorder="1" applyAlignment="1">
      <alignment horizontal="left"/>
    </xf>
    <xf numFmtId="3" fontId="12" fillId="0" borderId="3" xfId="0" applyNumberFormat="1" applyFont="1" applyBorder="1" applyAlignment="1">
      <alignment horizontal="left"/>
    </xf>
    <xf numFmtId="3" fontId="34" fillId="0" borderId="40" xfId="0" applyNumberFormat="1" applyFont="1" applyBorder="1" applyAlignment="1">
      <alignment horizontal="left"/>
    </xf>
    <xf numFmtId="3" fontId="34" fillId="0" borderId="28" xfId="0" applyNumberFormat="1" applyFont="1" applyBorder="1" applyAlignment="1">
      <alignment horizontal="left"/>
    </xf>
    <xf numFmtId="3" fontId="6" fillId="0" borderId="28" xfId="0" applyNumberFormat="1" applyFont="1" applyBorder="1" applyAlignment="1">
      <alignment horizontal="left"/>
    </xf>
    <xf numFmtId="3" fontId="12" fillId="0" borderId="1" xfId="0" applyNumberFormat="1" applyFont="1" applyBorder="1" applyAlignment="1">
      <alignment horizontal="left"/>
    </xf>
    <xf numFmtId="3" fontId="12" fillId="8" borderId="1" xfId="0" applyNumberFormat="1" applyFont="1" applyFill="1" applyBorder="1" applyAlignment="1">
      <alignment horizontal="center"/>
    </xf>
    <xf numFmtId="3" fontId="11" fillId="0" borderId="40" xfId="0" applyNumberFormat="1" applyFont="1" applyBorder="1" applyAlignment="1">
      <alignment horizontal="center"/>
    </xf>
    <xf numFmtId="0" fontId="34" fillId="0" borderId="28" xfId="0" applyFont="1" applyBorder="1" applyAlignment="1">
      <alignment horizontal="left"/>
    </xf>
    <xf numFmtId="3" fontId="6" fillId="10" borderId="10" xfId="0" applyNumberFormat="1" applyFont="1" applyFill="1" applyBorder="1" applyAlignment="1">
      <alignment horizontal="center"/>
    </xf>
    <xf numFmtId="3" fontId="12" fillId="0" borderId="10" xfId="0" applyNumberFormat="1" applyFont="1" applyBorder="1" applyAlignment="1">
      <alignment horizontal="center"/>
    </xf>
    <xf numFmtId="3" fontId="6" fillId="0" borderId="33" xfId="0" applyNumberFormat="1" applyFont="1" applyBorder="1" applyAlignment="1">
      <alignment horizontal="left"/>
    </xf>
    <xf numFmtId="3" fontId="6" fillId="0" borderId="60" xfId="0" applyNumberFormat="1" applyFont="1" applyBorder="1" applyAlignment="1">
      <alignment horizontal="left"/>
    </xf>
    <xf numFmtId="3" fontId="12" fillId="0" borderId="33" xfId="0" applyNumberFormat="1" applyFont="1" applyBorder="1" applyAlignment="1">
      <alignment horizontal="left"/>
    </xf>
    <xf numFmtId="3" fontId="12" fillId="0" borderId="59" xfId="0" applyNumberFormat="1" applyFont="1" applyBorder="1" applyAlignment="1">
      <alignment horizontal="left"/>
    </xf>
    <xf numFmtId="3" fontId="12" fillId="0" borderId="60" xfId="0" applyNumberFormat="1" applyFont="1" applyBorder="1" applyAlignment="1">
      <alignment horizontal="left"/>
    </xf>
    <xf numFmtId="3" fontId="6" fillId="0" borderId="59" xfId="0" applyNumberFormat="1" applyFont="1" applyBorder="1" applyAlignment="1">
      <alignment horizontal="left"/>
    </xf>
    <xf numFmtId="4" fontId="6" fillId="0" borderId="33" xfId="0" applyNumberFormat="1" applyFont="1" applyBorder="1" applyAlignment="1">
      <alignment horizontal="left"/>
    </xf>
    <xf numFmtId="4" fontId="6" fillId="0" borderId="59" xfId="0" applyNumberFormat="1" applyFont="1" applyBorder="1" applyAlignment="1">
      <alignment horizontal="left"/>
    </xf>
    <xf numFmtId="4" fontId="6" fillId="0" borderId="60" xfId="0" applyNumberFormat="1" applyFont="1" applyBorder="1" applyAlignment="1">
      <alignment horizontal="left"/>
    </xf>
    <xf numFmtId="4" fontId="11" fillId="0" borderId="1" xfId="0" applyNumberFormat="1" applyFont="1" applyBorder="1" applyAlignment="1">
      <alignment horizontal="center"/>
    </xf>
    <xf numFmtId="4" fontId="11" fillId="7" borderId="1" xfId="0" applyNumberFormat="1" applyFont="1" applyFill="1" applyBorder="1" applyAlignment="1">
      <alignment horizontal="center"/>
    </xf>
    <xf numFmtId="4" fontId="11" fillId="0" borderId="1" xfId="0" applyNumberFormat="1" applyFont="1" applyBorder="1" applyAlignment="1">
      <alignment horizontal="left"/>
    </xf>
    <xf numFmtId="4" fontId="12" fillId="10" borderId="1" xfId="0" applyNumberFormat="1" applyFont="1" applyFill="1" applyBorder="1" applyAlignment="1">
      <alignment horizontal="center" vertical="center"/>
    </xf>
    <xf numFmtId="169" fontId="6" fillId="0" borderId="1" xfId="0" applyNumberFormat="1" applyFont="1" applyBorder="1" applyAlignment="1">
      <alignment horizontal="center" vertical="center"/>
    </xf>
    <xf numFmtId="169" fontId="6" fillId="0" borderId="1" xfId="0" applyNumberFormat="1" applyFont="1" applyBorder="1" applyAlignment="1">
      <alignment horizontal="right" vertical="center"/>
    </xf>
    <xf numFmtId="169" fontId="6" fillId="0" borderId="3" xfId="0" applyNumberFormat="1" applyFont="1" applyBorder="1" applyAlignment="1">
      <alignment horizontal="left" vertical="center"/>
    </xf>
    <xf numFmtId="169" fontId="0" fillId="0" borderId="40" xfId="0" applyNumberFormat="1" applyBorder="1" applyAlignment="1">
      <alignment horizontal="left" vertical="center"/>
    </xf>
    <xf numFmtId="169" fontId="0" fillId="0" borderId="28" xfId="0" applyNumberFormat="1" applyBorder="1" applyAlignment="1">
      <alignment horizontal="left" vertical="center"/>
    </xf>
    <xf numFmtId="169" fontId="6" fillId="0" borderId="1" xfId="0" applyNumberFormat="1" applyFont="1" applyBorder="1" applyAlignment="1">
      <alignment horizontal="left" vertical="center"/>
    </xf>
    <xf numFmtId="169" fontId="6" fillId="9" borderId="1" xfId="0" applyNumberFormat="1" applyFont="1" applyFill="1" applyBorder="1" applyAlignment="1">
      <alignment horizontal="right" vertical="center"/>
    </xf>
    <xf numFmtId="169" fontId="20" fillId="0" borderId="40" xfId="0" applyNumberFormat="1" applyFont="1" applyBorder="1" applyAlignment="1">
      <alignment horizontal="left" vertical="center"/>
    </xf>
    <xf numFmtId="169" fontId="20" fillId="0" borderId="45" xfId="0" applyNumberFormat="1" applyFont="1" applyBorder="1" applyAlignment="1">
      <alignment horizontal="left" vertical="center"/>
    </xf>
    <xf numFmtId="169" fontId="20" fillId="0" borderId="107" xfId="0" applyNumberFormat="1" applyFont="1" applyBorder="1" applyAlignment="1">
      <alignment horizontal="left" vertical="center"/>
    </xf>
    <xf numFmtId="169" fontId="20" fillId="0" borderId="28" xfId="0" applyNumberFormat="1" applyFont="1" applyBorder="1" applyAlignment="1">
      <alignment horizontal="left" vertical="center"/>
    </xf>
    <xf numFmtId="169" fontId="20" fillId="0" borderId="40" xfId="0" applyNumberFormat="1" applyFont="1" applyBorder="1" applyAlignment="1">
      <alignment horizontal="right" vertical="center"/>
    </xf>
    <xf numFmtId="169" fontId="20" fillId="0" borderId="28" xfId="0" applyNumberFormat="1" applyFont="1" applyBorder="1" applyAlignment="1">
      <alignment horizontal="right" vertical="center"/>
    </xf>
    <xf numFmtId="0" fontId="0" fillId="0" borderId="28" xfId="0" applyBorder="1" applyAlignment="1">
      <alignment horizontal="left" vertical="center"/>
    </xf>
    <xf numFmtId="169" fontId="6" fillId="9" borderId="1" xfId="0" applyNumberFormat="1" applyFont="1" applyFill="1" applyBorder="1" applyAlignment="1">
      <alignment horizontal="left" vertical="center"/>
    </xf>
    <xf numFmtId="0" fontId="6" fillId="0" borderId="1" xfId="0" applyFont="1" applyBorder="1" applyAlignment="1">
      <alignment horizontal="left" vertical="center"/>
    </xf>
    <xf numFmtId="169" fontId="12" fillId="10" borderId="1" xfId="0" applyNumberFormat="1" applyFont="1" applyFill="1" applyBorder="1" applyAlignment="1">
      <alignment horizontal="center" vertical="center"/>
    </xf>
    <xf numFmtId="169" fontId="0" fillId="0" borderId="3" xfId="0" applyNumberFormat="1" applyBorder="1" applyAlignment="1">
      <alignment horizontal="left" vertical="center"/>
    </xf>
    <xf numFmtId="0" fontId="0" fillId="0" borderId="40" xfId="0" applyBorder="1" applyAlignment="1">
      <alignment horizontal="left" vertical="center"/>
    </xf>
    <xf numFmtId="169" fontId="6" fillId="0" borderId="23" xfId="0" applyNumberFormat="1" applyFont="1" applyBorder="1" applyAlignment="1">
      <alignment horizontal="center" vertical="center"/>
    </xf>
    <xf numFmtId="169" fontId="6" fillId="10" borderId="13" xfId="0" applyNumberFormat="1" applyFont="1" applyFill="1" applyBorder="1" applyAlignment="1">
      <alignment horizontal="center" wrapText="1"/>
    </xf>
    <xf numFmtId="0" fontId="0" fillId="7" borderId="0" xfId="0" applyFill="1" applyAlignment="1">
      <alignment horizontal="left"/>
    </xf>
    <xf numFmtId="0" fontId="6" fillId="7" borderId="14" xfId="0" applyFont="1" applyFill="1" applyBorder="1" applyAlignment="1">
      <alignment horizontal="center"/>
    </xf>
    <xf numFmtId="0" fontId="6" fillId="7" borderId="6" xfId="0" applyFont="1" applyFill="1" applyBorder="1" applyAlignment="1">
      <alignment horizontal="left"/>
    </xf>
    <xf numFmtId="0" fontId="6" fillId="7" borderId="0" xfId="0" applyFont="1" applyFill="1" applyAlignment="1">
      <alignment horizontal="left"/>
    </xf>
    <xf numFmtId="169" fontId="6" fillId="0" borderId="1" xfId="0" applyNumberFormat="1" applyFont="1" applyBorder="1" applyAlignment="1">
      <alignment horizontal="left"/>
    </xf>
    <xf numFmtId="169" fontId="0" fillId="0" borderId="1" xfId="0" applyNumberFormat="1" applyBorder="1" applyAlignment="1">
      <alignment horizontal="left"/>
    </xf>
    <xf numFmtId="3" fontId="0" fillId="0" borderId="1" xfId="0" applyNumberFormat="1" applyBorder="1" applyAlignment="1">
      <alignment horizontal="left"/>
    </xf>
    <xf numFmtId="0" fontId="2" fillId="0" borderId="34" xfId="0" applyFont="1" applyBorder="1" applyAlignment="1">
      <alignment horizontal="center" vertical="center" wrapText="1"/>
    </xf>
    <xf numFmtId="165" fontId="6" fillId="3" borderId="1" xfId="5" applyNumberFormat="1" applyFont="1" applyFill="1" applyBorder="1" applyAlignment="1" applyProtection="1">
      <alignment horizontal="center" vertical="center"/>
    </xf>
    <xf numFmtId="3" fontId="6" fillId="3" borderId="1" xfId="0" applyNumberFormat="1" applyFont="1" applyFill="1" applyBorder="1" applyAlignment="1">
      <alignment horizontal="center" vertical="center"/>
    </xf>
    <xf numFmtId="4" fontId="6" fillId="10" borderId="1" xfId="0" applyNumberFormat="1" applyFont="1" applyFill="1" applyBorder="1" applyAlignment="1">
      <alignment horizontal="center"/>
    </xf>
    <xf numFmtId="165" fontId="6" fillId="0" borderId="1" xfId="0" applyNumberFormat="1" applyFont="1" applyBorder="1" applyAlignment="1">
      <alignment horizontal="left"/>
    </xf>
    <xf numFmtId="165" fontId="6" fillId="3" borderId="1" xfId="5" applyNumberFormat="1" applyFont="1" applyFill="1" applyBorder="1" applyAlignment="1" applyProtection="1">
      <alignment horizontal="center" wrapText="1"/>
    </xf>
    <xf numFmtId="165" fontId="6" fillId="3" borderId="1" xfId="0" applyNumberFormat="1" applyFont="1" applyFill="1" applyBorder="1" applyAlignment="1">
      <alignment horizontal="center" vertical="center"/>
    </xf>
    <xf numFmtId="0" fontId="6" fillId="10" borderId="1" xfId="0" applyFont="1" applyFill="1" applyBorder="1" applyAlignment="1">
      <alignment horizontal="center" vertical="center"/>
    </xf>
    <xf numFmtId="169" fontId="6" fillId="10" borderId="1" xfId="0" applyNumberFormat="1" applyFont="1" applyFill="1" applyBorder="1" applyAlignment="1">
      <alignment horizontal="center" vertical="center"/>
    </xf>
    <xf numFmtId="169" fontId="6" fillId="10" borderId="3" xfId="0" applyNumberFormat="1" applyFont="1" applyFill="1" applyBorder="1" applyAlignment="1">
      <alignment horizontal="left" vertical="center"/>
    </xf>
    <xf numFmtId="169" fontId="0" fillId="10" borderId="40" xfId="0" applyNumberFormat="1" applyFill="1" applyBorder="1" applyAlignment="1">
      <alignment horizontal="left" vertical="center"/>
    </xf>
    <xf numFmtId="169" fontId="6" fillId="10" borderId="1" xfId="0" applyNumberFormat="1" applyFont="1" applyFill="1" applyBorder="1" applyAlignment="1">
      <alignment horizontal="left" vertical="center"/>
    </xf>
    <xf numFmtId="169" fontId="0" fillId="10" borderId="28" xfId="0" applyNumberFormat="1" applyFill="1" applyBorder="1" applyAlignment="1">
      <alignment horizontal="left" vertical="center"/>
    </xf>
    <xf numFmtId="169" fontId="20" fillId="0" borderId="3" xfId="0" applyNumberFormat="1" applyFont="1" applyBorder="1" applyAlignment="1">
      <alignment horizontal="left" vertical="center"/>
    </xf>
    <xf numFmtId="169" fontId="20" fillId="0" borderId="1" xfId="0" applyNumberFormat="1" applyFont="1" applyBorder="1" applyAlignment="1">
      <alignment horizontal="left" vertical="center"/>
    </xf>
    <xf numFmtId="169" fontId="20" fillId="0" borderId="49" xfId="0" applyNumberFormat="1" applyFont="1" applyBorder="1" applyAlignment="1">
      <alignment horizontal="left" vertical="center"/>
    </xf>
    <xf numFmtId="169" fontId="20" fillId="0" borderId="2" xfId="0" applyNumberFormat="1" applyFont="1" applyBorder="1" applyAlignment="1">
      <alignment horizontal="left" vertical="center"/>
    </xf>
    <xf numFmtId="169" fontId="20" fillId="0" borderId="1" xfId="0" applyNumberFormat="1" applyFont="1" applyBorder="1" applyAlignment="1">
      <alignment horizontal="right" vertical="center"/>
    </xf>
    <xf numFmtId="169" fontId="0" fillId="0" borderId="1" xfId="0" applyNumberFormat="1" applyBorder="1" applyAlignment="1">
      <alignment horizontal="left" vertical="center"/>
    </xf>
    <xf numFmtId="0" fontId="0" fillId="0" borderId="1" xfId="0" applyBorder="1" applyAlignment="1">
      <alignment horizontal="left" vertical="center"/>
    </xf>
    <xf numFmtId="4" fontId="6" fillId="0" borderId="1" xfId="0" applyNumberFormat="1" applyFont="1" applyBorder="1" applyAlignment="1">
      <alignment horizontal="left" vertical="center"/>
    </xf>
    <xf numFmtId="169" fontId="6" fillId="3" borderId="1" xfId="0" applyNumberFormat="1" applyFont="1" applyFill="1" applyBorder="1" applyAlignment="1">
      <alignment horizontal="center" vertical="center"/>
    </xf>
    <xf numFmtId="0" fontId="6" fillId="10" borderId="3" xfId="0" applyFont="1" applyFill="1" applyBorder="1" applyAlignment="1">
      <alignment horizontal="left" vertical="center"/>
    </xf>
    <xf numFmtId="0" fontId="6" fillId="10" borderId="1" xfId="0" applyFont="1" applyFill="1" applyBorder="1" applyAlignment="1">
      <alignment horizontal="left" vertical="center"/>
    </xf>
    <xf numFmtId="0" fontId="6" fillId="9" borderId="1" xfId="0" applyFont="1" applyFill="1" applyBorder="1" applyAlignment="1">
      <alignment horizontal="right" vertical="center"/>
    </xf>
    <xf numFmtId="0" fontId="20" fillId="0" borderId="3" xfId="0" applyFont="1" applyBorder="1" applyAlignment="1">
      <alignment horizontal="left" vertical="center"/>
    </xf>
    <xf numFmtId="0" fontId="20" fillId="0" borderId="1" xfId="0" applyFont="1" applyBorder="1" applyAlignment="1">
      <alignment horizontal="left" vertical="center"/>
    </xf>
    <xf numFmtId="0" fontId="20" fillId="0" borderId="2" xfId="0" applyFont="1" applyBorder="1" applyAlignment="1">
      <alignment horizontal="left" vertical="center"/>
    </xf>
    <xf numFmtId="0" fontId="20" fillId="0" borderId="28" xfId="0" applyFont="1" applyBorder="1" applyAlignment="1">
      <alignment horizontal="left" vertical="center"/>
    </xf>
    <xf numFmtId="0" fontId="20" fillId="0" borderId="1" xfId="0" applyFont="1" applyBorder="1" applyAlignment="1">
      <alignment horizontal="right" vertical="center"/>
    </xf>
    <xf numFmtId="0" fontId="6" fillId="9" borderId="1" xfId="0" applyFont="1" applyFill="1" applyBorder="1" applyAlignment="1">
      <alignment horizontal="left" vertical="center"/>
    </xf>
    <xf numFmtId="169" fontId="6" fillId="4" borderId="1" xfId="0" applyNumberFormat="1" applyFont="1" applyFill="1" applyBorder="1" applyAlignment="1">
      <alignment horizontal="center" vertical="center"/>
    </xf>
    <xf numFmtId="4" fontId="6" fillId="10" borderId="1" xfId="0" applyNumberFormat="1" applyFont="1" applyFill="1" applyBorder="1" applyAlignment="1">
      <alignment horizontal="left" vertical="center"/>
    </xf>
    <xf numFmtId="4" fontId="0" fillId="0" borderId="1" xfId="0" applyNumberFormat="1" applyBorder="1" applyAlignment="1">
      <alignment horizontal="left" vertical="center"/>
    </xf>
    <xf numFmtId="3" fontId="6" fillId="10" borderId="1" xfId="0" applyNumberFormat="1" applyFont="1" applyFill="1" applyBorder="1" applyAlignment="1">
      <alignment horizontal="left" vertical="center"/>
    </xf>
    <xf numFmtId="3" fontId="0" fillId="0" borderId="1" xfId="0" applyNumberFormat="1" applyBorder="1" applyAlignment="1">
      <alignment horizontal="left" vertical="center"/>
    </xf>
    <xf numFmtId="3" fontId="0" fillId="0" borderId="3" xfId="0" applyNumberFormat="1" applyBorder="1" applyAlignment="1">
      <alignment horizontal="left" vertical="center"/>
    </xf>
    <xf numFmtId="3" fontId="0" fillId="0" borderId="118" xfId="0" applyNumberFormat="1" applyBorder="1" applyAlignment="1">
      <alignment horizontal="left" vertical="center"/>
    </xf>
    <xf numFmtId="3" fontId="6" fillId="9" borderId="1" xfId="0" applyNumberFormat="1" applyFont="1" applyFill="1" applyBorder="1" applyAlignment="1">
      <alignment horizontal="center" vertical="center"/>
    </xf>
    <xf numFmtId="3" fontId="6" fillId="4" borderId="1" xfId="0" applyNumberFormat="1" applyFont="1" applyFill="1" applyBorder="1" applyAlignment="1">
      <alignment horizontal="center" vertical="center"/>
    </xf>
    <xf numFmtId="4" fontId="22" fillId="0" borderId="1" xfId="0" applyNumberFormat="1" applyFont="1" applyBorder="1" applyAlignment="1">
      <alignment horizontal="left" vertical="center"/>
    </xf>
    <xf numFmtId="4" fontId="22" fillId="2" borderId="1" xfId="0" applyNumberFormat="1" applyFont="1" applyFill="1" applyBorder="1" applyAlignment="1">
      <alignment horizontal="left" vertical="center"/>
    </xf>
    <xf numFmtId="4" fontId="6" fillId="9" borderId="1" xfId="0" applyNumberFormat="1" applyFont="1" applyFill="1" applyBorder="1" applyAlignment="1">
      <alignment horizontal="center" vertical="center"/>
    </xf>
    <xf numFmtId="9" fontId="6" fillId="0" borderId="1" xfId="0" applyNumberFormat="1" applyFont="1" applyBorder="1" applyAlignment="1">
      <alignment horizontal="center" vertical="center"/>
    </xf>
    <xf numFmtId="3" fontId="6" fillId="10" borderId="1" xfId="0" applyNumberFormat="1" applyFont="1" applyFill="1" applyBorder="1" applyAlignment="1">
      <alignment horizontal="center" vertical="center"/>
    </xf>
    <xf numFmtId="169" fontId="11" fillId="10" borderId="1" xfId="0" applyNumberFormat="1" applyFont="1" applyFill="1" applyBorder="1" applyAlignment="1">
      <alignment horizontal="center"/>
    </xf>
    <xf numFmtId="169" fontId="11" fillId="8" borderId="1" xfId="0" applyNumberFormat="1" applyFont="1" applyFill="1" applyBorder="1" applyAlignment="1">
      <alignment horizontal="center"/>
    </xf>
    <xf numFmtId="9" fontId="6" fillId="18" borderId="1" xfId="0" applyNumberFormat="1" applyFont="1" applyFill="1" applyBorder="1" applyAlignment="1">
      <alignment horizontal="center"/>
    </xf>
    <xf numFmtId="0" fontId="6" fillId="10" borderId="1" xfId="0" applyFont="1" applyFill="1" applyBorder="1" applyAlignment="1">
      <alignment horizontal="center"/>
    </xf>
    <xf numFmtId="9" fontId="47" fillId="16" borderId="0" xfId="0" applyNumberFormat="1" applyFont="1" applyFill="1" applyAlignment="1">
      <alignment horizontal="center"/>
    </xf>
    <xf numFmtId="9" fontId="6" fillId="9" borderId="1" xfId="0" applyNumberFormat="1" applyFont="1" applyFill="1" applyBorder="1" applyAlignment="1">
      <alignment horizontal="center" vertical="center" wrapText="1"/>
    </xf>
    <xf numFmtId="9" fontId="6" fillId="9" borderId="1" xfId="0" applyNumberFormat="1" applyFont="1" applyFill="1" applyBorder="1" applyAlignment="1">
      <alignment horizontal="center"/>
    </xf>
    <xf numFmtId="9" fontId="6" fillId="9" borderId="3" xfId="0" applyNumberFormat="1" applyFont="1" applyFill="1" applyBorder="1" applyAlignment="1">
      <alignment horizontal="center"/>
    </xf>
    <xf numFmtId="9" fontId="47" fillId="16" borderId="48" xfId="0" applyNumberFormat="1" applyFont="1" applyFill="1" applyBorder="1" applyAlignment="1">
      <alignment horizontal="center"/>
    </xf>
    <xf numFmtId="9" fontId="6" fillId="3" borderId="1" xfId="0" applyNumberFormat="1" applyFont="1" applyFill="1" applyBorder="1" applyAlignment="1">
      <alignment horizontal="center"/>
    </xf>
  </cellXfs>
  <cellStyles count="6">
    <cellStyle name="Coma" xfId="2" builtinId="3"/>
    <cellStyle name="Enllaç" xfId="1" builtinId="8"/>
    <cellStyle name="Milers [0]" xfId="3" builtinId="6"/>
    <cellStyle name="Moneda" xfId="4" builtinId="4"/>
    <cellStyle name="Normal" xfId="0" builtinId="0"/>
    <cellStyle name="Percentatge" xfId="5" builtinId="5"/>
  </cellStyles>
  <dxfs count="42">
    <dxf>
      <font>
        <b/>
        <i val="0"/>
        <condense val="0"/>
        <extend val="0"/>
        <color indexed="9"/>
      </font>
      <fill>
        <patternFill patternType="solid">
          <fgColor indexed="60"/>
          <bgColor indexed="10"/>
        </patternFill>
      </fill>
    </dxf>
    <dxf>
      <font>
        <b/>
        <i val="0"/>
        <condense val="0"/>
        <extend val="0"/>
      </font>
      <fill>
        <patternFill patternType="solid">
          <fgColor indexed="54"/>
          <bgColor indexed="47"/>
        </patternFill>
      </fill>
    </dxf>
    <dxf>
      <font>
        <b/>
        <i val="0"/>
        <condense val="0"/>
        <extend val="0"/>
        <color indexed="8"/>
      </font>
      <fill>
        <patternFill patternType="solid">
          <fgColor indexed="49"/>
          <bgColor indexed="11"/>
        </patternFill>
      </fill>
    </dxf>
    <dxf>
      <font>
        <b/>
        <i val="0"/>
        <condense val="0"/>
        <extend val="0"/>
      </font>
      <fill>
        <patternFill patternType="solid">
          <fgColor indexed="26"/>
          <bgColor indexed="43"/>
        </patternFill>
      </fill>
      <border>
        <left style="thin">
          <color indexed="8"/>
        </left>
        <right style="thin">
          <color indexed="8"/>
        </right>
        <top style="thin">
          <color indexed="8"/>
        </top>
        <bottom style="thin">
          <color indexed="8"/>
        </bottom>
      </border>
    </dxf>
    <dxf>
      <font>
        <b/>
        <i val="0"/>
        <condense val="0"/>
        <extend val="0"/>
        <color indexed="9"/>
      </font>
      <fill>
        <patternFill patternType="solid">
          <fgColor indexed="37"/>
          <bgColor indexed="16"/>
        </patternFill>
      </fill>
      <border>
        <left style="thin">
          <color indexed="8"/>
        </left>
        <right style="thin">
          <color indexed="8"/>
        </right>
        <top style="thin">
          <color indexed="8"/>
        </top>
        <bottom style="thin">
          <color indexed="8"/>
        </bottom>
      </border>
    </dxf>
    <dxf>
      <font>
        <b/>
        <i val="0"/>
        <condense val="0"/>
        <extend val="0"/>
        <color indexed="58"/>
      </font>
      <fill>
        <patternFill patternType="solid">
          <fgColor indexed="27"/>
          <bgColor indexed="42"/>
        </patternFill>
      </fill>
      <border>
        <left style="thin">
          <color indexed="8"/>
        </left>
        <right style="thin">
          <color indexed="8"/>
        </right>
        <top style="thin">
          <color indexed="8"/>
        </top>
        <bottom style="thin">
          <color indexed="8"/>
        </bottom>
      </border>
    </dxf>
    <dxf>
      <font>
        <b/>
        <i val="0"/>
        <condense val="0"/>
        <extend val="0"/>
        <color indexed="9"/>
      </font>
      <fill>
        <patternFill patternType="solid">
          <fgColor indexed="60"/>
          <bgColor indexed="10"/>
        </patternFill>
      </fill>
    </dxf>
    <dxf>
      <font>
        <b/>
        <i val="0"/>
        <condense val="0"/>
        <extend val="0"/>
      </font>
      <fill>
        <patternFill patternType="solid">
          <fgColor indexed="54"/>
          <bgColor indexed="47"/>
        </patternFill>
      </fill>
    </dxf>
    <dxf>
      <font>
        <b/>
        <i val="0"/>
        <condense val="0"/>
        <extend val="0"/>
        <color indexed="8"/>
      </font>
      <fill>
        <patternFill patternType="solid">
          <fgColor indexed="49"/>
          <bgColor indexed="11"/>
        </patternFill>
      </fill>
    </dxf>
    <dxf>
      <font>
        <b/>
        <i val="0"/>
        <condense val="0"/>
        <extend val="0"/>
        <color indexed="43"/>
      </font>
      <fill>
        <patternFill patternType="solid">
          <fgColor indexed="26"/>
          <bgColor indexed="43"/>
        </patternFill>
      </fill>
      <border>
        <left style="thin">
          <color indexed="8"/>
        </left>
        <right style="thin">
          <color indexed="8"/>
        </right>
        <top style="thin">
          <color indexed="8"/>
        </top>
        <bottom style="thin">
          <color indexed="8"/>
        </bottom>
      </border>
    </dxf>
    <dxf>
      <font>
        <b/>
        <i val="0"/>
        <condense val="0"/>
        <extend val="0"/>
        <color indexed="8"/>
      </font>
      <fill>
        <patternFill patternType="solid">
          <fgColor indexed="26"/>
          <bgColor indexed="43"/>
        </patternFill>
      </fill>
      <border>
        <left style="thin">
          <color indexed="8"/>
        </left>
        <right style="thin">
          <color indexed="8"/>
        </right>
        <top style="thin">
          <color indexed="8"/>
        </top>
        <bottom style="thin">
          <color indexed="8"/>
        </bottom>
      </border>
    </dxf>
    <dxf>
      <font>
        <b/>
        <i val="0"/>
        <condense val="0"/>
        <extend val="0"/>
        <color indexed="18"/>
      </font>
      <fill>
        <patternFill patternType="solid">
          <fgColor indexed="60"/>
          <bgColor indexed="10"/>
        </patternFill>
      </fill>
      <border>
        <left style="thin">
          <color indexed="8"/>
        </left>
        <right style="thin">
          <color indexed="8"/>
        </right>
        <top style="thin">
          <color indexed="8"/>
        </top>
        <bottom style="thin">
          <color indexed="8"/>
        </bottom>
      </border>
    </dxf>
    <dxf>
      <fill>
        <patternFill patternType="solid">
          <fgColor indexed="26"/>
          <bgColor indexed="9"/>
        </patternFill>
      </fill>
      <border>
        <left style="thin">
          <color indexed="8"/>
        </left>
        <right/>
        <top style="thin">
          <color indexed="8"/>
        </top>
        <bottom/>
      </border>
    </dxf>
    <dxf>
      <fill>
        <patternFill patternType="solid">
          <fgColor indexed="26"/>
          <bgColor indexed="43"/>
        </patternFill>
      </fill>
      <border>
        <left style="thin">
          <color indexed="8"/>
        </left>
        <right style="thin">
          <color indexed="8"/>
        </right>
        <top style="thin">
          <color indexed="8"/>
        </top>
        <bottom style="thin">
          <color indexed="8"/>
        </bottom>
      </border>
    </dxf>
    <dxf>
      <fill>
        <patternFill patternType="solid">
          <fgColor indexed="26"/>
          <bgColor indexed="43"/>
        </patternFill>
      </fill>
      <border>
        <left style="thin">
          <color indexed="8"/>
        </left>
        <right style="thin">
          <color indexed="8"/>
        </right>
        <top style="thin">
          <color indexed="8"/>
        </top>
        <bottom style="thin">
          <color indexed="8"/>
        </bottom>
      </border>
    </dxf>
    <dxf>
      <fill>
        <patternFill patternType="solid">
          <fgColor indexed="26"/>
          <bgColor indexed="43"/>
        </patternFill>
      </fill>
      <border>
        <left style="thin">
          <color indexed="8"/>
        </left>
        <right style="thin">
          <color indexed="8"/>
        </right>
        <top style="thin">
          <color indexed="8"/>
        </top>
        <bottom style="thin">
          <color indexed="8"/>
        </bottom>
      </border>
    </dxf>
    <dxf>
      <fill>
        <patternFill patternType="solid">
          <fgColor indexed="26"/>
          <bgColor indexed="43"/>
        </patternFill>
      </fill>
      <border>
        <left style="thin">
          <color indexed="8"/>
        </left>
        <right style="thin">
          <color indexed="8"/>
        </right>
        <top style="thin">
          <color indexed="8"/>
        </top>
        <bottom style="thin">
          <color indexed="8"/>
        </bottom>
      </border>
    </dxf>
    <dxf>
      <fill>
        <patternFill patternType="solid">
          <fgColor indexed="26"/>
          <bgColor indexed="43"/>
        </patternFill>
      </fill>
      <border>
        <left style="thin">
          <color indexed="8"/>
        </left>
        <right style="thin">
          <color indexed="8"/>
        </right>
        <top style="thin">
          <color indexed="8"/>
        </top>
        <bottom style="thin">
          <color indexed="8"/>
        </bottom>
      </border>
    </dxf>
    <dxf>
      <fill>
        <patternFill patternType="solid">
          <fgColor indexed="26"/>
          <bgColor indexed="43"/>
        </patternFill>
      </fill>
      <border>
        <left style="thin">
          <color indexed="8"/>
        </left>
        <right style="thin">
          <color indexed="8"/>
        </right>
        <top style="thin">
          <color indexed="8"/>
        </top>
        <bottom style="thin">
          <color indexed="8"/>
        </bottom>
      </border>
    </dxf>
    <dxf>
      <fill>
        <patternFill patternType="solid">
          <fgColor indexed="26"/>
          <bgColor indexed="43"/>
        </patternFill>
      </fill>
      <border>
        <left style="thin">
          <color indexed="8"/>
        </left>
        <right style="thin">
          <color indexed="8"/>
        </right>
        <top style="thin">
          <color indexed="8"/>
        </top>
        <bottom style="thin">
          <color indexed="8"/>
        </bottom>
      </border>
    </dxf>
    <dxf>
      <fill>
        <patternFill patternType="solid">
          <fgColor indexed="26"/>
          <bgColor indexed="9"/>
        </patternFill>
      </fill>
      <border>
        <left style="thin">
          <color indexed="8"/>
        </left>
        <right style="thin">
          <color indexed="8"/>
        </right>
        <top style="thin">
          <color indexed="8"/>
        </top>
        <bottom style="thin">
          <color indexed="8"/>
        </bottom>
      </border>
    </dxf>
    <dxf>
      <font>
        <b/>
        <i val="0"/>
        <condense val="0"/>
        <extend val="0"/>
      </font>
      <fill>
        <patternFill patternType="solid">
          <fgColor indexed="26"/>
          <bgColor indexed="43"/>
        </patternFill>
      </fill>
      <border>
        <left style="thin">
          <color indexed="8"/>
        </left>
        <right style="thin">
          <color indexed="8"/>
        </right>
        <top style="thin">
          <color indexed="8"/>
        </top>
        <bottom style="thin">
          <color indexed="8"/>
        </bottom>
      </border>
    </dxf>
    <dxf>
      <font>
        <b/>
        <i val="0"/>
        <condense val="0"/>
        <extend val="0"/>
      </font>
      <fill>
        <patternFill patternType="solid">
          <fgColor indexed="26"/>
          <bgColor indexed="43"/>
        </patternFill>
      </fill>
      <border>
        <left style="thin">
          <color indexed="8"/>
        </left>
        <right style="thin">
          <color indexed="8"/>
        </right>
        <top style="thin">
          <color indexed="8"/>
        </top>
        <bottom style="thin">
          <color indexed="8"/>
        </bottom>
      </border>
    </dxf>
    <dxf>
      <fill>
        <patternFill patternType="solid">
          <fgColor indexed="26"/>
          <bgColor indexed="9"/>
        </patternFill>
      </fill>
      <border>
        <left style="thin">
          <color indexed="8"/>
        </left>
        <right style="thin">
          <color indexed="8"/>
        </right>
        <top style="thin">
          <color indexed="8"/>
        </top>
        <bottom style="thin">
          <color indexed="8"/>
        </bottom>
      </border>
    </dxf>
    <dxf>
      <font>
        <b/>
        <i val="0"/>
        <condense val="0"/>
        <extend val="0"/>
      </font>
      <fill>
        <patternFill patternType="solid">
          <fgColor indexed="26"/>
          <bgColor indexed="43"/>
        </patternFill>
      </fill>
      <border>
        <left style="thin">
          <color indexed="8"/>
        </left>
        <right style="thin">
          <color indexed="8"/>
        </right>
        <top style="thin">
          <color indexed="8"/>
        </top>
        <bottom style="thin">
          <color indexed="8"/>
        </bottom>
      </border>
    </dxf>
    <dxf>
      <font>
        <b/>
        <i val="0"/>
        <condense val="0"/>
        <extend val="0"/>
      </font>
      <fill>
        <patternFill patternType="solid">
          <fgColor indexed="26"/>
          <bgColor indexed="43"/>
        </patternFill>
      </fill>
      <border>
        <left style="thin">
          <color indexed="8"/>
        </left>
        <right style="thin">
          <color indexed="8"/>
        </right>
        <top style="thin">
          <color indexed="8"/>
        </top>
        <bottom style="thin">
          <color indexed="8"/>
        </bottom>
      </border>
    </dxf>
    <dxf>
      <fill>
        <patternFill patternType="solid">
          <fgColor indexed="26"/>
          <bgColor indexed="9"/>
        </patternFill>
      </fill>
      <border>
        <left style="thin">
          <color indexed="8"/>
        </left>
        <right style="thin">
          <color indexed="8"/>
        </right>
        <top style="thin">
          <color indexed="8"/>
        </top>
        <bottom style="thin">
          <color indexed="8"/>
        </bottom>
      </border>
    </dxf>
    <dxf>
      <fill>
        <patternFill patternType="solid">
          <fgColor indexed="26"/>
          <bgColor indexed="9"/>
        </patternFill>
      </fill>
      <border>
        <left style="thin">
          <color indexed="8"/>
        </left>
        <right style="thin">
          <color indexed="8"/>
        </right>
        <top style="thin">
          <color indexed="8"/>
        </top>
        <bottom style="thin">
          <color indexed="8"/>
        </bottom>
      </border>
    </dxf>
    <dxf>
      <fill>
        <patternFill patternType="solid">
          <fgColor indexed="26"/>
          <bgColor indexed="9"/>
        </patternFill>
      </fill>
      <border>
        <left style="thin">
          <color indexed="8"/>
        </left>
        <right style="thin">
          <color indexed="8"/>
        </right>
        <top style="thin">
          <color indexed="8"/>
        </top>
        <bottom style="thin">
          <color indexed="8"/>
        </bottom>
      </border>
    </dxf>
    <dxf>
      <fill>
        <patternFill patternType="solid">
          <fgColor indexed="54"/>
          <bgColor indexed="47"/>
        </patternFill>
      </fill>
    </dxf>
    <dxf>
      <fill>
        <patternFill patternType="solid">
          <fgColor indexed="26"/>
          <bgColor indexed="9"/>
        </patternFill>
      </fill>
      <border>
        <left style="thin">
          <color indexed="8"/>
        </left>
        <right style="thin">
          <color indexed="8"/>
        </right>
        <top style="thin">
          <color indexed="8"/>
        </top>
        <bottom style="thin">
          <color indexed="8"/>
        </bottom>
      </border>
    </dxf>
    <dxf>
      <fill>
        <patternFill patternType="solid">
          <fgColor indexed="26"/>
          <bgColor indexed="9"/>
        </patternFill>
      </fill>
      <border>
        <left style="thin">
          <color indexed="8"/>
        </left>
        <right style="thin">
          <color indexed="8"/>
        </right>
        <top style="thin">
          <color indexed="8"/>
        </top>
        <bottom style="thin">
          <color indexed="8"/>
        </bottom>
      </border>
    </dxf>
    <dxf>
      <fill>
        <patternFill patternType="solid">
          <fgColor indexed="40"/>
          <bgColor indexed="49"/>
        </patternFill>
      </fill>
      <border>
        <left style="thin">
          <color indexed="8"/>
        </left>
        <right style="thin">
          <color indexed="8"/>
        </right>
        <top style="thin">
          <color indexed="8"/>
        </top>
        <bottom style="thin">
          <color indexed="8"/>
        </bottom>
      </border>
    </dxf>
    <dxf>
      <font>
        <b/>
        <i val="0"/>
        <condense val="0"/>
        <extend val="0"/>
        <color indexed="51"/>
      </font>
      <fill>
        <patternFill patternType="solid">
          <fgColor indexed="37"/>
          <bgColor indexed="16"/>
        </patternFill>
      </fill>
    </dxf>
    <dxf>
      <font>
        <b/>
        <i val="0"/>
        <condense val="0"/>
        <extend val="0"/>
        <color indexed="27"/>
      </font>
      <fill>
        <patternFill patternType="solid">
          <fgColor indexed="59"/>
          <bgColor indexed="58"/>
        </patternFill>
      </fill>
      <border>
        <left style="thin">
          <color indexed="10"/>
        </left>
        <right style="thin">
          <color indexed="10"/>
        </right>
        <top style="thin">
          <color indexed="10"/>
        </top>
        <bottom style="thin">
          <color indexed="10"/>
        </bottom>
      </border>
    </dxf>
    <dxf>
      <font>
        <b/>
        <i val="0"/>
        <condense val="0"/>
        <extend val="0"/>
        <color indexed="12"/>
      </font>
      <fill>
        <patternFill patternType="solid">
          <fgColor indexed="60"/>
          <bgColor indexed="10"/>
        </patternFill>
      </fill>
      <border>
        <left style="thin">
          <color indexed="13"/>
        </left>
        <right style="thin">
          <color indexed="13"/>
        </right>
        <top style="thin">
          <color indexed="13"/>
        </top>
        <bottom style="thin">
          <color indexed="13"/>
        </bottom>
      </border>
    </dxf>
    <dxf>
      <font>
        <b/>
        <i val="0"/>
        <condense val="0"/>
        <extend val="0"/>
        <color indexed="51"/>
      </font>
      <fill>
        <patternFill patternType="solid">
          <fgColor indexed="37"/>
          <bgColor indexed="16"/>
        </patternFill>
      </fill>
    </dxf>
    <dxf>
      <font>
        <b/>
        <i val="0"/>
        <condense val="0"/>
        <extend val="0"/>
        <color indexed="27"/>
      </font>
      <fill>
        <patternFill patternType="solid">
          <fgColor indexed="59"/>
          <bgColor indexed="58"/>
        </patternFill>
      </fill>
      <border>
        <left style="thin">
          <color indexed="10"/>
        </left>
        <right style="thin">
          <color indexed="10"/>
        </right>
        <top style="thin">
          <color indexed="10"/>
        </top>
        <bottom style="thin">
          <color indexed="10"/>
        </bottom>
      </border>
    </dxf>
    <dxf>
      <font>
        <b/>
        <i val="0"/>
        <condense val="0"/>
        <extend val="0"/>
        <color indexed="51"/>
      </font>
      <fill>
        <patternFill patternType="solid">
          <fgColor indexed="37"/>
          <bgColor indexed="16"/>
        </patternFill>
      </fill>
    </dxf>
    <dxf>
      <font>
        <b/>
        <i val="0"/>
        <condense val="0"/>
        <extend val="0"/>
        <color indexed="27"/>
      </font>
      <fill>
        <patternFill patternType="solid">
          <fgColor indexed="59"/>
          <bgColor indexed="58"/>
        </patternFill>
      </fill>
      <border>
        <left style="thin">
          <color indexed="10"/>
        </left>
        <right style="thin">
          <color indexed="10"/>
        </right>
        <top style="thin">
          <color indexed="10"/>
        </top>
        <bottom style="thin">
          <color indexed="10"/>
        </bottom>
      </border>
    </dxf>
    <dxf>
      <font>
        <b/>
        <i val="0"/>
        <condense val="0"/>
        <extend val="0"/>
        <color indexed="10"/>
      </font>
      <fill>
        <patternFill patternType="solid">
          <fgColor indexed="32"/>
          <bgColor indexed="18"/>
        </patternFill>
      </fill>
      <border>
        <left style="thin">
          <color indexed="16"/>
        </left>
        <right style="thin">
          <color indexed="16"/>
        </right>
        <top style="thin">
          <color indexed="16"/>
        </top>
        <bottom style="thin">
          <color indexed="16"/>
        </bottom>
      </border>
    </dxf>
    <dxf>
      <font>
        <b/>
        <i val="0"/>
        <condense val="0"/>
        <extend val="0"/>
        <color indexed="11"/>
      </font>
      <fill>
        <patternFill patternType="solid">
          <fgColor indexed="58"/>
          <bgColor indexed="59"/>
        </patternFill>
      </fill>
      <border>
        <left style="thin">
          <color indexed="11"/>
        </left>
        <right style="thin">
          <color indexed="11"/>
        </right>
        <top style="thin">
          <color indexed="11"/>
        </top>
        <bottom style="thin">
          <color indexed="11"/>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D9D9D9"/>
      <rgbColor rgb="00000080"/>
      <rgbColor rgb="00FF00FF"/>
      <rgbColor rgb="00FFE699"/>
      <rgbColor rgb="00C6DFC6"/>
      <rgbColor rgb="00800080"/>
      <rgbColor rgb="00800000"/>
      <rgbColor rgb="00008080"/>
      <rgbColor rgb="000000FF"/>
      <rgbColor rgb="0060DFDF"/>
      <rgbColor rgb="00E5E6CC"/>
      <rgbColor rgb="00CCFFCC"/>
      <rgbColor rgb="00FFFF99"/>
      <rgbColor rgb="0099CCFF"/>
      <rgbColor rgb="00FF99CC"/>
      <rgbColor rgb="00CC99FF"/>
      <rgbColor rgb="00FFCC99"/>
      <rgbColor rgb="00DFDFAD"/>
      <rgbColor rgb="0033CCCC"/>
      <rgbColor rgb="0099CC00"/>
      <rgbColor rgb="00FFCC00"/>
      <rgbColor rgb="00FF9900"/>
      <rgbColor rgb="00DFADC6"/>
      <rgbColor rgb="00DFC6AD"/>
      <rgbColor rgb="00969696"/>
      <rgbColor rgb="00003366"/>
      <rgbColor rgb="007AC6C6"/>
      <rgbColor rgb="00003300"/>
      <rgbColor rgb="00001C00"/>
      <rgbColor rgb="00993300"/>
      <rgbColor rgb="00E5E6B3"/>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image" Target="../media/image1.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a-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36226094665099"/>
          <c:y val="6.8292682926829273E-2"/>
          <c:w val="0.84814444784367959"/>
          <c:h val="0.76829268292682928"/>
        </c:manualLayout>
      </c:layout>
      <c:lineChart>
        <c:grouping val="standard"/>
        <c:varyColors val="0"/>
        <c:ser>
          <c:idx val="0"/>
          <c:order val="0"/>
          <c:tx>
            <c:strRef>
              <c:f>'Càlcul del punt d_equilibri'!$A$12</c:f>
              <c:strCache>
                <c:ptCount val="1"/>
                <c:pt idx="0">
                  <c:v>Ingressos acumulats</c:v>
                </c:pt>
              </c:strCache>
            </c:strRef>
          </c:tx>
          <c:spPr>
            <a:ln w="38100">
              <a:solidFill>
                <a:srgbClr val="000080"/>
              </a:solidFill>
              <a:prstDash val="lgDash"/>
            </a:ln>
          </c:spPr>
          <c:marker>
            <c:symbol val="none"/>
          </c:marker>
          <c:dPt>
            <c:idx val="0"/>
            <c:bubble3D val="0"/>
            <c:spPr>
              <a:ln w="28575">
                <a:noFill/>
              </a:ln>
            </c:spPr>
            <c:extLst>
              <c:ext xmlns:c16="http://schemas.microsoft.com/office/drawing/2014/chart" uri="{C3380CC4-5D6E-409C-BE32-E72D297353CC}">
                <c16:uniqueId val="{00000001-9C0C-4EFF-98F1-9E6E1E8957A6}"/>
              </c:ext>
            </c:extLst>
          </c:dPt>
          <c:cat>
            <c:strRef>
              <c:f>'Càlcul del punt d_equilibri'!$B$11:$M$11</c:f>
              <c:strCache>
                <c:ptCount val="12"/>
                <c:pt idx="0">
                  <c:v> GENER </c:v>
                </c:pt>
                <c:pt idx="1">
                  <c:v> FEBRER </c:v>
                </c:pt>
                <c:pt idx="2">
                  <c:v> MARÇ </c:v>
                </c:pt>
                <c:pt idx="3">
                  <c:v> ABRIL </c:v>
                </c:pt>
                <c:pt idx="4">
                  <c:v> MAIG </c:v>
                </c:pt>
                <c:pt idx="5">
                  <c:v> JUNY </c:v>
                </c:pt>
                <c:pt idx="6">
                  <c:v> JULIOL </c:v>
                </c:pt>
                <c:pt idx="7">
                  <c:v> AGOST </c:v>
                </c:pt>
                <c:pt idx="8">
                  <c:v> SETEMBRE </c:v>
                </c:pt>
                <c:pt idx="9">
                  <c:v> OCTUBRE </c:v>
                </c:pt>
                <c:pt idx="10">
                  <c:v> NOVEMBRE </c:v>
                </c:pt>
                <c:pt idx="11">
                  <c:v> DESEMBRE </c:v>
                </c:pt>
              </c:strCache>
            </c:strRef>
          </c:cat>
          <c:val>
            <c:numRef>
              <c:f>'Càlcul del punt d_equilibri'!$B$12:$M$12</c:f>
              <c:numCache>
                <c:formatCode>_-* #,##0\ _P_t_s_-;\-* #,##0\ _P_t_s_-;_-* \-??\ _P_t_s_-;_-@_-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9C0C-4EFF-98F1-9E6E1E8957A6}"/>
            </c:ext>
          </c:extLst>
        </c:ser>
        <c:ser>
          <c:idx val="1"/>
          <c:order val="1"/>
          <c:tx>
            <c:strRef>
              <c:f>'Càlcul del punt d_equilibri'!$A$13</c:f>
              <c:strCache>
                <c:ptCount val="1"/>
                <c:pt idx="0">
                  <c:v>Costos acumulats</c:v>
                </c:pt>
              </c:strCache>
            </c:strRef>
          </c:tx>
          <c:spPr>
            <a:ln w="38100">
              <a:solidFill>
                <a:srgbClr val="000000"/>
              </a:solidFill>
              <a:prstDash val="sysDash"/>
            </a:ln>
          </c:spPr>
          <c:marker>
            <c:symbol val="none"/>
          </c:marker>
          <c:cat>
            <c:strRef>
              <c:f>'Càlcul del punt d_equilibri'!$B$11:$M$11</c:f>
              <c:strCache>
                <c:ptCount val="12"/>
                <c:pt idx="0">
                  <c:v> GENER </c:v>
                </c:pt>
                <c:pt idx="1">
                  <c:v> FEBRER </c:v>
                </c:pt>
                <c:pt idx="2">
                  <c:v> MARÇ </c:v>
                </c:pt>
                <c:pt idx="3">
                  <c:v> ABRIL </c:v>
                </c:pt>
                <c:pt idx="4">
                  <c:v> MAIG </c:v>
                </c:pt>
                <c:pt idx="5">
                  <c:v> JUNY </c:v>
                </c:pt>
                <c:pt idx="6">
                  <c:v> JULIOL </c:v>
                </c:pt>
                <c:pt idx="7">
                  <c:v> AGOST </c:v>
                </c:pt>
                <c:pt idx="8">
                  <c:v> SETEMBRE </c:v>
                </c:pt>
                <c:pt idx="9">
                  <c:v> OCTUBRE </c:v>
                </c:pt>
                <c:pt idx="10">
                  <c:v> NOVEMBRE </c:v>
                </c:pt>
                <c:pt idx="11">
                  <c:v> DESEMBRE </c:v>
                </c:pt>
              </c:strCache>
            </c:strRef>
          </c:cat>
          <c:val>
            <c:numRef>
              <c:f>'Càlcul del punt d_equilibri'!$B$13:$M$13</c:f>
              <c:numCache>
                <c:formatCode>_-* #,##0\ _P_t_s_-;\-* #,##0\ _P_t_s_-;_-* \-??\ _P_t_s_-;_-@_-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9C0C-4EFF-98F1-9E6E1E8957A6}"/>
            </c:ext>
          </c:extLst>
        </c:ser>
        <c:ser>
          <c:idx val="2"/>
          <c:order val="2"/>
          <c:tx>
            <c:strRef>
              <c:f>'Càlcul del punt d_equilibri'!$A$14</c:f>
              <c:strCache>
                <c:ptCount val="1"/>
                <c:pt idx="0">
                  <c:v>Costos fixos</c:v>
                </c:pt>
              </c:strCache>
            </c:strRef>
          </c:tx>
          <c:spPr>
            <a:ln w="38100">
              <a:solidFill>
                <a:srgbClr val="000000"/>
              </a:solidFill>
              <a:prstDash val="lgDashDot"/>
            </a:ln>
          </c:spPr>
          <c:marker>
            <c:symbol val="none"/>
          </c:marker>
          <c:cat>
            <c:strRef>
              <c:f>'Càlcul del punt d_equilibri'!$B$11:$M$11</c:f>
              <c:strCache>
                <c:ptCount val="12"/>
                <c:pt idx="0">
                  <c:v> GENER </c:v>
                </c:pt>
                <c:pt idx="1">
                  <c:v> FEBRER </c:v>
                </c:pt>
                <c:pt idx="2">
                  <c:v> MARÇ </c:v>
                </c:pt>
                <c:pt idx="3">
                  <c:v> ABRIL </c:v>
                </c:pt>
                <c:pt idx="4">
                  <c:v> MAIG </c:v>
                </c:pt>
                <c:pt idx="5">
                  <c:v> JUNY </c:v>
                </c:pt>
                <c:pt idx="6">
                  <c:v> JULIOL </c:v>
                </c:pt>
                <c:pt idx="7">
                  <c:v> AGOST </c:v>
                </c:pt>
                <c:pt idx="8">
                  <c:v> SETEMBRE </c:v>
                </c:pt>
                <c:pt idx="9">
                  <c:v> OCTUBRE </c:v>
                </c:pt>
                <c:pt idx="10">
                  <c:v> NOVEMBRE </c:v>
                </c:pt>
                <c:pt idx="11">
                  <c:v> DESEMBRE </c:v>
                </c:pt>
              </c:strCache>
            </c:strRef>
          </c:cat>
          <c:val>
            <c:numRef>
              <c:f>'Càlcul del punt d_equilibri'!$B$14:$M$14</c:f>
              <c:numCache>
                <c:formatCode>_-* #,##0\ _P_t_s_-;\-* #,##0\ _P_t_s_-;_-* \-??\ _P_t_s_-;_-@_-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9C0C-4EFF-98F1-9E6E1E8957A6}"/>
            </c:ext>
          </c:extLst>
        </c:ser>
        <c:ser>
          <c:idx val="3"/>
          <c:order val="3"/>
          <c:tx>
            <c:strRef>
              <c:f>'Càlcul del punt d_equilibri'!$A$15</c:f>
              <c:strCache>
                <c:ptCount val="1"/>
                <c:pt idx="0">
                  <c:v>Punt d'equilibri</c:v>
                </c:pt>
              </c:strCache>
            </c:strRef>
          </c:tx>
          <c:spPr>
            <a:ln w="38100">
              <a:solidFill>
                <a:srgbClr val="000000"/>
              </a:solidFill>
              <a:prstDash val="solid"/>
            </a:ln>
          </c:spPr>
          <c:marker>
            <c:symbol val="none"/>
          </c:marker>
          <c:cat>
            <c:strRef>
              <c:f>'Càlcul del punt d_equilibri'!$B$11:$M$11</c:f>
              <c:strCache>
                <c:ptCount val="12"/>
                <c:pt idx="0">
                  <c:v> GENER </c:v>
                </c:pt>
                <c:pt idx="1">
                  <c:v> FEBRER </c:v>
                </c:pt>
                <c:pt idx="2">
                  <c:v> MARÇ </c:v>
                </c:pt>
                <c:pt idx="3">
                  <c:v> ABRIL </c:v>
                </c:pt>
                <c:pt idx="4">
                  <c:v> MAIG </c:v>
                </c:pt>
                <c:pt idx="5">
                  <c:v> JUNY </c:v>
                </c:pt>
                <c:pt idx="6">
                  <c:v> JULIOL </c:v>
                </c:pt>
                <c:pt idx="7">
                  <c:v> AGOST </c:v>
                </c:pt>
                <c:pt idx="8">
                  <c:v> SETEMBRE </c:v>
                </c:pt>
                <c:pt idx="9">
                  <c:v> OCTUBRE </c:v>
                </c:pt>
                <c:pt idx="10">
                  <c:v> NOVEMBRE </c:v>
                </c:pt>
                <c:pt idx="11">
                  <c:v> DESEMBRE </c:v>
                </c:pt>
              </c:strCache>
            </c:strRef>
          </c:cat>
          <c:val>
            <c:numRef>
              <c:f>'Càlcul del punt d_equilibri'!$B$15:$M$15</c:f>
              <c:numCache>
                <c:formatCode>_-* #,##0\ _P_t_s_-;\-* #,##0\ _P_t_s_-;_-* \-??\ _P_t_s_-;_-@_-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9C0C-4EFF-98F1-9E6E1E8957A6}"/>
            </c:ext>
          </c:extLst>
        </c:ser>
        <c:dLbls>
          <c:showLegendKey val="0"/>
          <c:showVal val="0"/>
          <c:showCatName val="0"/>
          <c:showSerName val="0"/>
          <c:showPercent val="0"/>
          <c:showBubbleSize val="0"/>
        </c:dLbls>
        <c:smooth val="0"/>
        <c:axId val="481085440"/>
        <c:axId val="481085832"/>
      </c:lineChart>
      <c:catAx>
        <c:axId val="48108544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481085832"/>
        <c:crossesAt val="0"/>
        <c:auto val="1"/>
        <c:lblAlgn val="ctr"/>
        <c:lblOffset val="100"/>
        <c:tickLblSkip val="1"/>
        <c:tickMarkSkip val="1"/>
        <c:noMultiLvlLbl val="0"/>
      </c:catAx>
      <c:valAx>
        <c:axId val="481085832"/>
        <c:scaling>
          <c:orientation val="minMax"/>
        </c:scaling>
        <c:delete val="0"/>
        <c:axPos val="l"/>
        <c:majorGridlines>
          <c:spPr>
            <a:ln w="3175">
              <a:solidFill>
                <a:srgbClr val="33CCCC"/>
              </a:solidFill>
              <a:prstDash val="sysDash"/>
            </a:ln>
          </c:spPr>
        </c:majorGridlines>
        <c:numFmt formatCode="_-* #,##0\ _P_t_s_-;\-* #,##0\ _P_t_s_-;_-* \-??\ _P_t_s_-;_-@_-" sourceLinked="0"/>
        <c:majorTickMark val="out"/>
        <c:minorTickMark val="none"/>
        <c:tickLblPos val="low"/>
        <c:spPr>
          <a:ln w="3175">
            <a:solidFill>
              <a:srgbClr val="000000"/>
            </a:solidFill>
            <a:prstDash val="solid"/>
          </a:ln>
        </c:spPr>
        <c:txPr>
          <a:bodyPr rot="0" vert="horz"/>
          <a:lstStyle/>
          <a:p>
            <a:pPr>
              <a:defRPr sz="1180" b="0" i="0" u="none" strike="noStrike" baseline="0">
                <a:solidFill>
                  <a:srgbClr val="000000"/>
                </a:solidFill>
                <a:latin typeface="Arial"/>
                <a:ea typeface="Arial"/>
                <a:cs typeface="Arial"/>
              </a:defRPr>
            </a:pPr>
            <a:endParaRPr lang="es-ES"/>
          </a:p>
        </c:txPr>
        <c:crossAx val="481085440"/>
        <c:crosses val="autoZero"/>
        <c:crossBetween val="midCat"/>
      </c:valAx>
      <c:spPr>
        <a:blipFill dpi="0" rotWithShape="0">
          <a:blip xmlns:r="http://schemas.openxmlformats.org/officeDocument/2006/relationships" r:embed="rId1"/>
          <a:srcRect/>
          <a:tile tx="0" ty="0" sx="100000" sy="100000" flip="none" algn="tl"/>
        </a:blipFill>
        <a:ln w="12700">
          <a:solidFill>
            <a:srgbClr val="808080"/>
          </a:solidFill>
          <a:prstDash val="sysDash"/>
        </a:ln>
      </c:spPr>
    </c:plotArea>
    <c:legend>
      <c:legendPos val="b"/>
      <c:layout>
        <c:manualLayout>
          <c:xMode val="edge"/>
          <c:yMode val="edge"/>
          <c:wMode val="edge"/>
          <c:hMode val="edge"/>
          <c:x val="0.23847030932157101"/>
          <c:y val="0.92926829268292688"/>
          <c:w val="0.81439867260686905"/>
          <c:h val="0.98292682926829278"/>
        </c:manualLayout>
      </c:layout>
      <c:overlay val="0"/>
      <c:spPr>
        <a:solidFill>
          <a:srgbClr val="FFFFFF"/>
        </a:solidFill>
        <a:ln w="12700">
          <a:solidFill>
            <a:srgbClr val="000000"/>
          </a:solidFill>
          <a:prstDash val="solid"/>
        </a:ln>
      </c:spPr>
      <c:txPr>
        <a:bodyPr/>
        <a:lstStyle/>
        <a:p>
          <a:pPr>
            <a:defRPr sz="620" b="0" i="0" u="none" strike="noStrike" baseline="0">
              <a:solidFill>
                <a:srgbClr val="000000"/>
              </a:solidFill>
              <a:latin typeface="Arial"/>
              <a:ea typeface="Arial"/>
              <a:cs typeface="Arial"/>
            </a:defRPr>
          </a:pPr>
          <a:endParaRPr lang="es-ES"/>
        </a:p>
      </c:txPr>
    </c:legend>
    <c:plotVisOnly val="0"/>
    <c:dispBlanksAs val="gap"/>
    <c:showDLblsOverMax val="0"/>
  </c:chart>
  <c:spPr>
    <a:solidFill>
      <a:srgbClr val="FFFFFF"/>
    </a:solidFill>
    <a:ln w="12700">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4921259845" footer="0.4921259845"/>
    <c:pageSetup/>
  </c:printSettings>
</c:chartSpace>
</file>

<file path=xl/ctrlProps/ctrlProp1.xml><?xml version="1.0" encoding="utf-8"?>
<formControlPr xmlns="http://schemas.microsoft.com/office/spreadsheetml/2009/9/main" objectType="Button"/>
</file>

<file path=xl/ctrlProps/ctrlProp10.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20.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30.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drawings/_rels/drawing1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13</xdr:row>
          <xdr:rowOff>0</xdr:rowOff>
        </xdr:from>
        <xdr:to>
          <xdr:col>4</xdr:col>
          <xdr:colOff>666750</xdr:colOff>
          <xdr:row>15</xdr:row>
          <xdr:rowOff>31750</xdr:rowOff>
        </xdr:to>
        <xdr:sp macro="" textlink="">
          <xdr:nvSpPr>
            <xdr:cNvPr id="1027" name="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45720" tIns="32004" rIns="45720" bIns="32004" anchor="ctr" upright="1"/>
            <a:lstStyle/>
            <a:p>
              <a:pPr algn="ctr" rtl="0">
                <a:defRPr sz="1000"/>
              </a:pPr>
              <a:r>
                <a:rPr lang="es-ES" sz="1000" b="1" i="0" u="none" strike="noStrike" baseline="0">
                  <a:solidFill>
                    <a:srgbClr val="FFFFFF"/>
                  </a:solidFill>
                  <a:latin typeface="Verdana"/>
                  <a:ea typeface="Verdana"/>
                </a:rPr>
                <a:t>Financiación</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4</xdr:col>
          <xdr:colOff>666750</xdr:colOff>
          <xdr:row>18</xdr:row>
          <xdr:rowOff>31750</xdr:rowOff>
        </xdr:to>
        <xdr:sp macro="" textlink="">
          <xdr:nvSpPr>
            <xdr:cNvPr id="1028" name="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45720" tIns="32004" rIns="45720" bIns="32004" anchor="ctr" upright="1"/>
            <a:lstStyle/>
            <a:p>
              <a:pPr algn="ctr" rtl="0">
                <a:defRPr sz="1000"/>
              </a:pPr>
              <a:r>
                <a:rPr lang="es-ES" sz="1000" b="1" i="0" u="none" strike="noStrike" baseline="0">
                  <a:solidFill>
                    <a:srgbClr val="FFFFFF"/>
                  </a:solidFill>
                  <a:latin typeface="Verdana"/>
                  <a:ea typeface="Verdana"/>
                </a:rPr>
                <a:t>Productos y servicios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19</xdr:row>
          <xdr:rowOff>0</xdr:rowOff>
        </xdr:from>
        <xdr:to>
          <xdr:col>4</xdr:col>
          <xdr:colOff>666750</xdr:colOff>
          <xdr:row>21</xdr:row>
          <xdr:rowOff>31750</xdr:rowOff>
        </xdr:to>
        <xdr:sp macro="" textlink="">
          <xdr:nvSpPr>
            <xdr:cNvPr id="1029" name="Button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45720" tIns="32004" rIns="45720" bIns="32004" anchor="ctr" upright="1"/>
            <a:lstStyle/>
            <a:p>
              <a:pPr algn="ctr" rtl="0">
                <a:defRPr sz="1000"/>
              </a:pPr>
              <a:r>
                <a:rPr lang="es-ES" sz="1000" b="1" i="0" u="none" strike="noStrike" baseline="0">
                  <a:solidFill>
                    <a:srgbClr val="FFFFFF"/>
                  </a:solidFill>
                  <a:latin typeface="Verdana"/>
                  <a:ea typeface="Verdana"/>
                </a:rPr>
                <a:t>Costes no imputables P/S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704850</xdr:colOff>
          <xdr:row>28</xdr:row>
          <xdr:rowOff>0</xdr:rowOff>
        </xdr:from>
        <xdr:to>
          <xdr:col>4</xdr:col>
          <xdr:colOff>660400</xdr:colOff>
          <xdr:row>30</xdr:row>
          <xdr:rowOff>31750</xdr:rowOff>
        </xdr:to>
        <xdr:sp macro="" textlink="">
          <xdr:nvSpPr>
            <xdr:cNvPr id="1030" name="Button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45720" tIns="32004" rIns="45720" bIns="32004" anchor="ctr" upright="1"/>
            <a:lstStyle/>
            <a:p>
              <a:pPr algn="ctr" rtl="0">
                <a:defRPr sz="1000"/>
              </a:pPr>
              <a:r>
                <a:rPr lang="es-ES" sz="1000" b="1" i="0" u="none" strike="noStrike" baseline="0">
                  <a:solidFill>
                    <a:srgbClr val="FFFFFF"/>
                  </a:solidFill>
                  <a:latin typeface="Verdana"/>
                  <a:ea typeface="Verdana"/>
                </a:rPr>
                <a:t>Fiscalidad</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xdr:row>
          <xdr:rowOff>0</xdr:rowOff>
        </xdr:from>
        <xdr:to>
          <xdr:col>10</xdr:col>
          <xdr:colOff>0</xdr:colOff>
          <xdr:row>12</xdr:row>
          <xdr:rowOff>31750</xdr:rowOff>
        </xdr:to>
        <xdr:sp macro="" textlink="">
          <xdr:nvSpPr>
            <xdr:cNvPr id="1031" name="Button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45720" tIns="32004" rIns="45720" bIns="32004" anchor="ctr" upright="1"/>
            <a:lstStyle/>
            <a:p>
              <a:pPr algn="ctr" rtl="0">
                <a:defRPr sz="1000"/>
              </a:pPr>
              <a:r>
                <a:rPr lang="es-ES" sz="1000" b="1" i="0" u="none" strike="noStrike" baseline="0">
                  <a:solidFill>
                    <a:srgbClr val="FFFFFF"/>
                  </a:solidFill>
                  <a:latin typeface="Verdana"/>
                  <a:ea typeface="Verdana"/>
                </a:rPr>
                <a:t>Plan de inversiones y  financiación</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xdr:row>
          <xdr:rowOff>76200</xdr:rowOff>
        </xdr:from>
        <xdr:to>
          <xdr:col>10</xdr:col>
          <xdr:colOff>0</xdr:colOff>
          <xdr:row>14</xdr:row>
          <xdr:rowOff>107950</xdr:rowOff>
        </xdr:to>
        <xdr:sp macro="" textlink="">
          <xdr:nvSpPr>
            <xdr:cNvPr id="1032" name="Button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45720" tIns="32004" rIns="45720" bIns="32004" anchor="ctr" upright="1"/>
            <a:lstStyle/>
            <a:p>
              <a:pPr algn="ctr" rtl="0">
                <a:defRPr sz="1000"/>
              </a:pPr>
              <a:r>
                <a:rPr lang="es-ES" sz="1000" b="1" i="0" u="none" strike="noStrike" baseline="0">
                  <a:solidFill>
                    <a:srgbClr val="FFFFFF"/>
                  </a:solidFill>
                  <a:latin typeface="Verdana"/>
                  <a:ea typeface="Verdana"/>
                </a:rPr>
                <a:t>Resultados anuales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xdr:row>
          <xdr:rowOff>107950</xdr:rowOff>
        </xdr:from>
        <xdr:to>
          <xdr:col>10</xdr:col>
          <xdr:colOff>0</xdr:colOff>
          <xdr:row>20</xdr:row>
          <xdr:rowOff>12700</xdr:rowOff>
        </xdr:to>
        <xdr:sp macro="" textlink="">
          <xdr:nvSpPr>
            <xdr:cNvPr id="1033" name="Button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45720" tIns="32004" rIns="45720" bIns="32004" anchor="ctr" upright="1"/>
            <a:lstStyle/>
            <a:p>
              <a:pPr algn="ctr" rtl="0">
                <a:defRPr sz="1000"/>
              </a:pPr>
              <a:r>
                <a:rPr lang="es-ES" sz="1000" b="1" i="0" u="none" strike="noStrike" baseline="0">
                  <a:solidFill>
                    <a:srgbClr val="FFFFFF"/>
                  </a:solidFill>
                  <a:latin typeface="Verdana"/>
                  <a:ea typeface="Verdana"/>
                </a:rPr>
                <a:t>Plan de tesorería</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88900</xdr:rowOff>
        </xdr:from>
        <xdr:to>
          <xdr:col>10</xdr:col>
          <xdr:colOff>0</xdr:colOff>
          <xdr:row>27</xdr:row>
          <xdr:rowOff>114300</xdr:rowOff>
        </xdr:to>
        <xdr:sp macro="" textlink="">
          <xdr:nvSpPr>
            <xdr:cNvPr id="1034" name="Button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45720" tIns="32004" rIns="45720" bIns="32004" anchor="ctr" upright="1"/>
            <a:lstStyle/>
            <a:p>
              <a:pPr algn="ctr" rtl="0">
                <a:defRPr sz="1000"/>
              </a:pPr>
              <a:r>
                <a:rPr lang="es-ES" sz="1000" b="1" i="0" u="none" strike="noStrike" baseline="0">
                  <a:solidFill>
                    <a:srgbClr val="FFFFFF"/>
                  </a:solidFill>
                  <a:latin typeface="Verdana"/>
                  <a:ea typeface="Verdana"/>
                </a:rPr>
                <a:t>Punto de equilibrio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38100</xdr:rowOff>
        </xdr:from>
        <xdr:to>
          <xdr:col>10</xdr:col>
          <xdr:colOff>0</xdr:colOff>
          <xdr:row>30</xdr:row>
          <xdr:rowOff>69850</xdr:rowOff>
        </xdr:to>
        <xdr:sp macro="" textlink="">
          <xdr:nvSpPr>
            <xdr:cNvPr id="1035" name="Button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45720" tIns="32004" rIns="45720" bIns="32004" anchor="ctr" upright="1"/>
            <a:lstStyle/>
            <a:p>
              <a:pPr algn="ctr" rtl="0">
                <a:defRPr sz="1000"/>
              </a:pPr>
              <a:r>
                <a:rPr lang="es-ES" sz="1000" b="1" i="0" u="none" strike="noStrike" baseline="0">
                  <a:solidFill>
                    <a:srgbClr val="FFFFFF"/>
                  </a:solidFill>
                  <a:latin typeface="Verdana"/>
                  <a:ea typeface="Verdana"/>
                </a:rPr>
                <a:t>Análisis básico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33</xdr:row>
          <xdr:rowOff>31750</xdr:rowOff>
        </xdr:to>
        <xdr:sp macro="" textlink="">
          <xdr:nvSpPr>
            <xdr:cNvPr id="1036" name="Button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45720" tIns="32004" rIns="45720" bIns="32004" anchor="ctr" upright="1"/>
            <a:lstStyle/>
            <a:p>
              <a:pPr algn="ctr" rtl="0">
                <a:defRPr sz="1000"/>
              </a:pPr>
              <a:r>
                <a:rPr lang="es-ES" sz="1000" b="1" i="0" u="none" strike="noStrike" baseline="0">
                  <a:solidFill>
                    <a:srgbClr val="FFFFFF"/>
                  </a:solidFill>
                  <a:latin typeface="Verdana"/>
                  <a:ea typeface="Verdana"/>
                </a:rPr>
                <a:t>Ratios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25</xdr:row>
          <xdr:rowOff>0</xdr:rowOff>
        </xdr:from>
        <xdr:to>
          <xdr:col>4</xdr:col>
          <xdr:colOff>666750</xdr:colOff>
          <xdr:row>27</xdr:row>
          <xdr:rowOff>50800</xdr:rowOff>
        </xdr:to>
        <xdr:sp macro="" textlink="">
          <xdr:nvSpPr>
            <xdr:cNvPr id="1037" name="Button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45720" tIns="32004" rIns="45720" bIns="32004" anchor="ctr" upright="1"/>
            <a:lstStyle/>
            <a:p>
              <a:pPr algn="ctr" rtl="0">
                <a:defRPr sz="1000"/>
              </a:pPr>
              <a:r>
                <a:rPr lang="es-ES" sz="1000" b="1" i="0" u="none" strike="noStrike" baseline="0">
                  <a:solidFill>
                    <a:srgbClr val="FFFFFF"/>
                  </a:solidFill>
                  <a:latin typeface="Verdana"/>
                  <a:ea typeface="Verdana"/>
                </a:rPr>
                <a:t>Personal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22</xdr:row>
          <xdr:rowOff>0</xdr:rowOff>
        </xdr:from>
        <xdr:to>
          <xdr:col>4</xdr:col>
          <xdr:colOff>666750</xdr:colOff>
          <xdr:row>24</xdr:row>
          <xdr:rowOff>31750</xdr:rowOff>
        </xdr:to>
        <xdr:sp macro="" textlink="">
          <xdr:nvSpPr>
            <xdr:cNvPr id="1038" name="Button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45720" tIns="32004" rIns="45720" bIns="32004" anchor="ctr" upright="1"/>
            <a:lstStyle/>
            <a:p>
              <a:pPr algn="ctr" rtl="0">
                <a:defRPr sz="1000"/>
              </a:pPr>
              <a:r>
                <a:rPr lang="es-ES" sz="1000" b="1" i="0" u="none" strike="noStrike" baseline="0">
                  <a:solidFill>
                    <a:srgbClr val="FFFFFF"/>
                  </a:solidFill>
                  <a:latin typeface="Verdana"/>
                  <a:ea typeface="Verdana"/>
                </a:rPr>
                <a:t>Promotor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12700</xdr:rowOff>
        </xdr:from>
        <xdr:to>
          <xdr:col>10</xdr:col>
          <xdr:colOff>0</xdr:colOff>
          <xdr:row>25</xdr:row>
          <xdr:rowOff>38100</xdr:rowOff>
        </xdr:to>
        <xdr:sp macro="" textlink="">
          <xdr:nvSpPr>
            <xdr:cNvPr id="1039" name="Button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45720" tIns="32004" rIns="45720" bIns="32004" anchor="ctr" upright="1"/>
            <a:lstStyle/>
            <a:p>
              <a:pPr algn="ctr" rtl="0">
                <a:defRPr sz="1000"/>
              </a:pPr>
              <a:r>
                <a:rPr lang="es-ES" sz="1000" b="1" i="0" u="none" strike="noStrike" baseline="0">
                  <a:solidFill>
                    <a:srgbClr val="FFFFFF"/>
                  </a:solidFill>
                  <a:latin typeface="Verdana"/>
                  <a:ea typeface="Verdana"/>
                </a:rPr>
                <a:t>Balances de situación</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31</xdr:row>
          <xdr:rowOff>0</xdr:rowOff>
        </xdr:from>
        <xdr:to>
          <xdr:col>4</xdr:col>
          <xdr:colOff>666750</xdr:colOff>
          <xdr:row>33</xdr:row>
          <xdr:rowOff>31750</xdr:rowOff>
        </xdr:to>
        <xdr:sp macro="" textlink="">
          <xdr:nvSpPr>
            <xdr:cNvPr id="1040" name="Button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45720" tIns="32004" rIns="45720" bIns="32004" anchor="ctr" upright="1"/>
            <a:lstStyle/>
            <a:p>
              <a:pPr algn="ctr" rtl="0">
                <a:defRPr sz="1000"/>
              </a:pPr>
              <a:r>
                <a:rPr lang="es-ES" sz="1000" b="1" i="0" u="none" strike="noStrike" baseline="0">
                  <a:solidFill>
                    <a:srgbClr val="FFFFFF"/>
                  </a:solidFill>
                  <a:latin typeface="Verdana"/>
                  <a:ea typeface="Verdana"/>
                </a:rPr>
                <a:t>Gestión de cobros  y pagos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xdr:row>
          <xdr:rowOff>31750</xdr:rowOff>
        </xdr:from>
        <xdr:to>
          <xdr:col>10</xdr:col>
          <xdr:colOff>0</xdr:colOff>
          <xdr:row>17</xdr:row>
          <xdr:rowOff>50800</xdr:rowOff>
        </xdr:to>
        <xdr:sp macro="" textlink="">
          <xdr:nvSpPr>
            <xdr:cNvPr id="1041" name="Button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45720" tIns="32004" rIns="45720" bIns="32004" anchor="ctr" upright="1"/>
            <a:lstStyle/>
            <a:p>
              <a:pPr algn="ctr" rtl="0">
                <a:defRPr sz="1000"/>
              </a:pPr>
              <a:r>
                <a:rPr lang="es-ES" sz="1000" b="1" i="0" u="none" strike="noStrike" baseline="0">
                  <a:solidFill>
                    <a:srgbClr val="FFFFFF"/>
                  </a:solidFill>
                  <a:latin typeface="Verdana"/>
                  <a:ea typeface="Verdana"/>
                </a:rPr>
                <a:t>Resultados por meses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xdr:row>
          <xdr:rowOff>50800</xdr:rowOff>
        </xdr:from>
        <xdr:to>
          <xdr:col>10</xdr:col>
          <xdr:colOff>0</xdr:colOff>
          <xdr:row>22</xdr:row>
          <xdr:rowOff>88900</xdr:rowOff>
        </xdr:to>
        <xdr:sp macro="" textlink="">
          <xdr:nvSpPr>
            <xdr:cNvPr id="1042" name="Button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45720" tIns="32004" rIns="45720" bIns="32004" anchor="ctr" upright="1"/>
            <a:lstStyle/>
            <a:p>
              <a:pPr algn="ctr" rtl="0">
                <a:defRPr sz="1000"/>
              </a:pPr>
              <a:r>
                <a:rPr lang="es-ES" sz="1000" b="1" i="0" u="none" strike="noStrike" baseline="0">
                  <a:solidFill>
                    <a:srgbClr val="FFFFFF"/>
                  </a:solidFill>
                  <a:latin typeface="Verdana"/>
                  <a:ea typeface="Verdana"/>
                </a:rPr>
                <a:t>Tesorería por meses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10</xdr:row>
          <xdr:rowOff>0</xdr:rowOff>
        </xdr:from>
        <xdr:to>
          <xdr:col>4</xdr:col>
          <xdr:colOff>666750</xdr:colOff>
          <xdr:row>12</xdr:row>
          <xdr:rowOff>31750</xdr:rowOff>
        </xdr:to>
        <xdr:sp macro="" textlink="">
          <xdr:nvSpPr>
            <xdr:cNvPr id="1043" name="Button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45720" tIns="32004" rIns="45720" bIns="32004" anchor="ctr" upright="1"/>
            <a:lstStyle/>
            <a:p>
              <a:pPr algn="ctr" rtl="0">
                <a:defRPr sz="1000"/>
              </a:pPr>
              <a:r>
                <a:rPr lang="es-ES" sz="1000" b="1" i="0" u="none" strike="noStrike" baseline="0">
                  <a:solidFill>
                    <a:srgbClr val="FFFFFF"/>
                  </a:solidFill>
                  <a:latin typeface="Verdana"/>
                  <a:ea typeface="Verdana"/>
                </a:rPr>
                <a:t>Inversiones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114300</xdr:colOff>
          <xdr:row>0</xdr:row>
          <xdr:rowOff>12700</xdr:rowOff>
        </xdr:from>
        <xdr:to>
          <xdr:col>10</xdr:col>
          <xdr:colOff>393700</xdr:colOff>
          <xdr:row>1</xdr:row>
          <xdr:rowOff>12700</xdr:rowOff>
        </xdr:to>
        <xdr:sp macro="" textlink="">
          <xdr:nvSpPr>
            <xdr:cNvPr id="26625" name="Button 1" hidden="1">
              <a:extLst>
                <a:ext uri="{63B3BB69-23CF-44E3-9099-C40C66FF867C}">
                  <a14:compatExt spid="_x0000_s26625"/>
                </a:ext>
                <a:ext uri="{FF2B5EF4-FFF2-40B4-BE49-F238E27FC236}">
                  <a16:creationId xmlns:a16="http://schemas.microsoft.com/office/drawing/2014/main" id="{00000000-0008-0000-1900-0000016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es-ES" sz="800" b="1" i="0" u="none" strike="noStrike" baseline="0">
                  <a:solidFill>
                    <a:srgbClr val="FFFFFF"/>
                  </a:solidFill>
                  <a:latin typeface="Verdana"/>
                  <a:ea typeface="Verdana"/>
                </a:rPr>
                <a:t>Índice</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0</xdr:colOff>
      <xdr:row>74</xdr:row>
      <xdr:rowOff>371475</xdr:rowOff>
    </xdr:from>
    <xdr:to>
      <xdr:col>6</xdr:col>
      <xdr:colOff>647700</xdr:colOff>
      <xdr:row>75</xdr:row>
      <xdr:rowOff>762000</xdr:rowOff>
    </xdr:to>
    <xdr:graphicFrame macro="">
      <xdr:nvGraphicFramePr>
        <xdr:cNvPr id="28717" name="Chart 2">
          <a:extLst>
            <a:ext uri="{FF2B5EF4-FFF2-40B4-BE49-F238E27FC236}">
              <a16:creationId xmlns:a16="http://schemas.microsoft.com/office/drawing/2014/main" id="{00000000-0008-0000-1B00-00002D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1</xdr:col>
          <xdr:colOff>114300</xdr:colOff>
          <xdr:row>0</xdr:row>
          <xdr:rowOff>12700</xdr:rowOff>
        </xdr:from>
        <xdr:to>
          <xdr:col>2</xdr:col>
          <xdr:colOff>304800</xdr:colOff>
          <xdr:row>0</xdr:row>
          <xdr:rowOff>241300</xdr:rowOff>
        </xdr:to>
        <xdr:sp macro="" textlink="">
          <xdr:nvSpPr>
            <xdr:cNvPr id="28673" name="Button 1" hidden="1">
              <a:extLst>
                <a:ext uri="{63B3BB69-23CF-44E3-9099-C40C66FF867C}">
                  <a14:compatExt spid="_x0000_s28673"/>
                </a:ext>
                <a:ext uri="{FF2B5EF4-FFF2-40B4-BE49-F238E27FC236}">
                  <a16:creationId xmlns:a16="http://schemas.microsoft.com/office/drawing/2014/main" id="{00000000-0008-0000-1B00-0000017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es-ES" sz="800" b="1" i="0" u="none" strike="noStrike" baseline="0">
                  <a:solidFill>
                    <a:srgbClr val="FFFFFF"/>
                  </a:solidFill>
                  <a:latin typeface="Verdana"/>
                  <a:ea typeface="Verdana"/>
                </a:rPr>
                <a:t>Índice</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127000</xdr:colOff>
          <xdr:row>0</xdr:row>
          <xdr:rowOff>0</xdr:rowOff>
        </xdr:from>
        <xdr:to>
          <xdr:col>3</xdr:col>
          <xdr:colOff>381000</xdr:colOff>
          <xdr:row>0</xdr:row>
          <xdr:rowOff>228600</xdr:rowOff>
        </xdr:to>
        <xdr:sp macro="" textlink="">
          <xdr:nvSpPr>
            <xdr:cNvPr id="29704" name="Button 8" hidden="1">
              <a:extLst>
                <a:ext uri="{63B3BB69-23CF-44E3-9099-C40C66FF867C}">
                  <a14:compatExt spid="_x0000_s29704"/>
                </a:ext>
                <a:ext uri="{FF2B5EF4-FFF2-40B4-BE49-F238E27FC236}">
                  <a16:creationId xmlns:a16="http://schemas.microsoft.com/office/drawing/2014/main" id="{00000000-0008-0000-1C00-0000087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es-ES" sz="800" b="1" i="0" u="none" strike="noStrike" baseline="0">
                  <a:solidFill>
                    <a:srgbClr val="FFFFFF"/>
                  </a:solidFill>
                  <a:latin typeface="Verdana"/>
                  <a:ea typeface="Verdana"/>
                </a:rPr>
                <a:t>Índice</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107950</xdr:colOff>
          <xdr:row>0</xdr:row>
          <xdr:rowOff>12700</xdr:rowOff>
        </xdr:from>
        <xdr:to>
          <xdr:col>2</xdr:col>
          <xdr:colOff>241300</xdr:colOff>
          <xdr:row>1</xdr:row>
          <xdr:rowOff>76200</xdr:rowOff>
        </xdr:to>
        <xdr:sp macro="" textlink="">
          <xdr:nvSpPr>
            <xdr:cNvPr id="31749" name="Button 5" hidden="1">
              <a:extLst>
                <a:ext uri="{63B3BB69-23CF-44E3-9099-C40C66FF867C}">
                  <a14:compatExt spid="_x0000_s31749"/>
                </a:ext>
                <a:ext uri="{FF2B5EF4-FFF2-40B4-BE49-F238E27FC236}">
                  <a16:creationId xmlns:a16="http://schemas.microsoft.com/office/drawing/2014/main" id="{00000000-0008-0000-1E00-0000057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es-ES" sz="800" b="1" i="0" u="none" strike="noStrike" baseline="0">
                  <a:solidFill>
                    <a:srgbClr val="FFFFFF"/>
                  </a:solidFill>
                  <a:latin typeface="Verdana"/>
                  <a:ea typeface="Verdana"/>
                </a:rPr>
                <a:t>Índice</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0</xdr:rowOff>
    </xdr:from>
    <xdr:to>
      <xdr:col>6</xdr:col>
      <xdr:colOff>0</xdr:colOff>
      <xdr:row>5</xdr:row>
      <xdr:rowOff>0</xdr:rowOff>
    </xdr:to>
    <xdr:sp macro="" textlink="">
      <xdr:nvSpPr>
        <xdr:cNvPr id="4140" name="Rectangle 1">
          <a:extLst>
            <a:ext uri="{FF2B5EF4-FFF2-40B4-BE49-F238E27FC236}">
              <a16:creationId xmlns:a16="http://schemas.microsoft.com/office/drawing/2014/main" id="{00000000-0008-0000-0300-00002C100000}"/>
            </a:ext>
          </a:extLst>
        </xdr:cNvPr>
        <xdr:cNvSpPr>
          <a:spLocks noChangeArrowheads="1"/>
        </xdr:cNvSpPr>
      </xdr:nvSpPr>
      <xdr:spPr bwMode="auto">
        <a:xfrm>
          <a:off x="2286000" y="323850"/>
          <a:ext cx="2286000" cy="485775"/>
        </a:xfrm>
        <a:prstGeom prst="rect">
          <a:avLst/>
        </a:prstGeom>
        <a:noFill/>
        <a:ln w="936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1041400</xdr:colOff>
          <xdr:row>3</xdr:row>
          <xdr:rowOff>152400</xdr:rowOff>
        </xdr:from>
        <xdr:to>
          <xdr:col>3</xdr:col>
          <xdr:colOff>1028700</xdr:colOff>
          <xdr:row>5</xdr:row>
          <xdr:rowOff>0</xdr:rowOff>
        </xdr:to>
        <xdr:sp macro="" textlink="">
          <xdr:nvSpPr>
            <xdr:cNvPr id="6226" name="Button 82" hidden="1">
              <a:extLst>
                <a:ext uri="{63B3BB69-23CF-44E3-9099-C40C66FF867C}">
                  <a14:compatExt spid="_x0000_s6226"/>
                </a:ext>
                <a:ext uri="{FF2B5EF4-FFF2-40B4-BE49-F238E27FC236}">
                  <a16:creationId xmlns:a16="http://schemas.microsoft.com/office/drawing/2014/main" id="{00000000-0008-0000-0500-0000521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es-ES" sz="800" b="1" i="0" u="none" strike="noStrike" baseline="0">
                  <a:solidFill>
                    <a:srgbClr val="FFFFFF"/>
                  </a:solidFill>
                  <a:latin typeface="Verdana"/>
                  <a:ea typeface="Verdana"/>
                </a:rPr>
                <a:t>Índice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123</xdr:row>
          <xdr:rowOff>165100</xdr:rowOff>
        </xdr:from>
        <xdr:to>
          <xdr:col>3</xdr:col>
          <xdr:colOff>1041400</xdr:colOff>
          <xdr:row>125</xdr:row>
          <xdr:rowOff>0</xdr:rowOff>
        </xdr:to>
        <xdr:sp macro="" textlink="">
          <xdr:nvSpPr>
            <xdr:cNvPr id="6227" name="Button 83" hidden="1">
              <a:extLst>
                <a:ext uri="{63B3BB69-23CF-44E3-9099-C40C66FF867C}">
                  <a14:compatExt spid="_x0000_s6227"/>
                </a:ext>
                <a:ext uri="{FF2B5EF4-FFF2-40B4-BE49-F238E27FC236}">
                  <a16:creationId xmlns:a16="http://schemas.microsoft.com/office/drawing/2014/main" id="{00000000-0008-0000-0500-0000531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es-ES" sz="800" b="1" i="0" u="none" strike="noStrike" baseline="0">
                  <a:solidFill>
                    <a:srgbClr val="FFFFFF"/>
                  </a:solidFill>
                  <a:latin typeface="Verdana"/>
                  <a:ea typeface="Verdana"/>
                </a:rPr>
                <a:t>Índice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148</xdr:row>
          <xdr:rowOff>152400</xdr:rowOff>
        </xdr:from>
        <xdr:to>
          <xdr:col>3</xdr:col>
          <xdr:colOff>1041400</xdr:colOff>
          <xdr:row>150</xdr:row>
          <xdr:rowOff>0</xdr:rowOff>
        </xdr:to>
        <xdr:sp macro="" textlink="">
          <xdr:nvSpPr>
            <xdr:cNvPr id="6228" name="Button 84" hidden="1">
              <a:extLst>
                <a:ext uri="{63B3BB69-23CF-44E3-9099-C40C66FF867C}">
                  <a14:compatExt spid="_x0000_s6228"/>
                </a:ext>
                <a:ext uri="{FF2B5EF4-FFF2-40B4-BE49-F238E27FC236}">
                  <a16:creationId xmlns:a16="http://schemas.microsoft.com/office/drawing/2014/main" id="{00000000-0008-0000-0500-0000541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es-ES" sz="800" b="1" i="0" u="none" strike="noStrike" baseline="0">
                  <a:solidFill>
                    <a:srgbClr val="FFFFFF"/>
                  </a:solidFill>
                  <a:latin typeface="Verdana"/>
                  <a:ea typeface="Verdana"/>
                </a:rPr>
                <a:t>Índice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12700</xdr:colOff>
          <xdr:row>214</xdr:row>
          <xdr:rowOff>152400</xdr:rowOff>
        </xdr:from>
        <xdr:to>
          <xdr:col>6</xdr:col>
          <xdr:colOff>0</xdr:colOff>
          <xdr:row>216</xdr:row>
          <xdr:rowOff>0</xdr:rowOff>
        </xdr:to>
        <xdr:sp macro="" textlink="">
          <xdr:nvSpPr>
            <xdr:cNvPr id="6229" name="Button 85" hidden="1">
              <a:extLst>
                <a:ext uri="{63B3BB69-23CF-44E3-9099-C40C66FF867C}">
                  <a14:compatExt spid="_x0000_s6229"/>
                </a:ext>
                <a:ext uri="{FF2B5EF4-FFF2-40B4-BE49-F238E27FC236}">
                  <a16:creationId xmlns:a16="http://schemas.microsoft.com/office/drawing/2014/main" id="{00000000-0008-0000-0500-0000551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es-ES" sz="800" b="1" i="0" u="none" strike="noStrike" baseline="0">
                  <a:solidFill>
                    <a:srgbClr val="FFFFFF"/>
                  </a:solidFill>
                  <a:latin typeface="Verdana"/>
                  <a:ea typeface="Verdana"/>
                </a:rPr>
                <a:t>Índice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285</xdr:row>
          <xdr:rowOff>152400</xdr:rowOff>
        </xdr:from>
        <xdr:to>
          <xdr:col>3</xdr:col>
          <xdr:colOff>1041400</xdr:colOff>
          <xdr:row>287</xdr:row>
          <xdr:rowOff>0</xdr:rowOff>
        </xdr:to>
        <xdr:sp macro="" textlink="">
          <xdr:nvSpPr>
            <xdr:cNvPr id="6230" name="Button 86" hidden="1">
              <a:extLst>
                <a:ext uri="{63B3BB69-23CF-44E3-9099-C40C66FF867C}">
                  <a14:compatExt spid="_x0000_s6230"/>
                </a:ext>
                <a:ext uri="{FF2B5EF4-FFF2-40B4-BE49-F238E27FC236}">
                  <a16:creationId xmlns:a16="http://schemas.microsoft.com/office/drawing/2014/main" id="{00000000-0008-0000-0500-0000561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es-ES" sz="800" b="1" i="0" u="none" strike="noStrike" baseline="0">
                  <a:solidFill>
                    <a:srgbClr val="FFFFFF"/>
                  </a:solidFill>
                  <a:latin typeface="Verdana"/>
                  <a:ea typeface="Verdana"/>
                </a:rPr>
                <a:t>Índice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329</xdr:row>
          <xdr:rowOff>165100</xdr:rowOff>
        </xdr:from>
        <xdr:to>
          <xdr:col>3</xdr:col>
          <xdr:colOff>1041400</xdr:colOff>
          <xdr:row>331</xdr:row>
          <xdr:rowOff>0</xdr:rowOff>
        </xdr:to>
        <xdr:sp macro="" textlink="">
          <xdr:nvSpPr>
            <xdr:cNvPr id="6231" name="Button 87" hidden="1">
              <a:extLst>
                <a:ext uri="{63B3BB69-23CF-44E3-9099-C40C66FF867C}">
                  <a14:compatExt spid="_x0000_s6231"/>
                </a:ext>
                <a:ext uri="{FF2B5EF4-FFF2-40B4-BE49-F238E27FC236}">
                  <a16:creationId xmlns:a16="http://schemas.microsoft.com/office/drawing/2014/main" id="{00000000-0008-0000-0500-0000571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es-ES" sz="800" b="1" i="0" u="none" strike="noStrike" baseline="0">
                  <a:solidFill>
                    <a:srgbClr val="FFFFFF"/>
                  </a:solidFill>
                  <a:latin typeface="Verdana"/>
                  <a:ea typeface="Verdana"/>
                </a:rPr>
                <a:t>Índice</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386</xdr:row>
          <xdr:rowOff>133350</xdr:rowOff>
        </xdr:from>
        <xdr:to>
          <xdr:col>3</xdr:col>
          <xdr:colOff>1041400</xdr:colOff>
          <xdr:row>388</xdr:row>
          <xdr:rowOff>0</xdr:rowOff>
        </xdr:to>
        <xdr:sp macro="" textlink="">
          <xdr:nvSpPr>
            <xdr:cNvPr id="6232" name="Button 88" hidden="1">
              <a:extLst>
                <a:ext uri="{63B3BB69-23CF-44E3-9099-C40C66FF867C}">
                  <a14:compatExt spid="_x0000_s6232"/>
                </a:ext>
                <a:ext uri="{FF2B5EF4-FFF2-40B4-BE49-F238E27FC236}">
                  <a16:creationId xmlns:a16="http://schemas.microsoft.com/office/drawing/2014/main" id="{00000000-0008-0000-0500-0000581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es-ES" sz="800" b="1" i="0" u="none" strike="noStrike" baseline="0">
                  <a:solidFill>
                    <a:srgbClr val="FFFFFF"/>
                  </a:solidFill>
                  <a:latin typeface="Verdana"/>
                  <a:ea typeface="Verdana"/>
                </a:rPr>
                <a:t>Índice</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317500</xdr:colOff>
          <xdr:row>0</xdr:row>
          <xdr:rowOff>152400</xdr:rowOff>
        </xdr:from>
        <xdr:to>
          <xdr:col>5</xdr:col>
          <xdr:colOff>317500</xdr:colOff>
          <xdr:row>2</xdr:row>
          <xdr:rowOff>0</xdr:rowOff>
        </xdr:to>
        <xdr:sp macro="" textlink="">
          <xdr:nvSpPr>
            <xdr:cNvPr id="19460" name="Button 4" hidden="1">
              <a:extLst>
                <a:ext uri="{63B3BB69-23CF-44E3-9099-C40C66FF867C}">
                  <a14:compatExt spid="_x0000_s19460"/>
                </a:ext>
                <a:ext uri="{FF2B5EF4-FFF2-40B4-BE49-F238E27FC236}">
                  <a16:creationId xmlns:a16="http://schemas.microsoft.com/office/drawing/2014/main" id="{00000000-0008-0000-1200-0000044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es-ES" sz="800" b="1" i="0" u="none" strike="noStrike" baseline="0">
                  <a:solidFill>
                    <a:srgbClr val="FFFFFF"/>
                  </a:solidFill>
                  <a:latin typeface="Verdana"/>
                  <a:ea typeface="Verdana"/>
                </a:rPr>
                <a:t>Índice</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69850</xdr:colOff>
          <xdr:row>0</xdr:row>
          <xdr:rowOff>0</xdr:rowOff>
        </xdr:from>
        <xdr:to>
          <xdr:col>5</xdr:col>
          <xdr:colOff>342900</xdr:colOff>
          <xdr:row>0</xdr:row>
          <xdr:rowOff>228600</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1300-0000015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es-ES" sz="800" b="1" i="0" u="none" strike="noStrike" baseline="0">
                  <a:solidFill>
                    <a:srgbClr val="FFFFFF"/>
                  </a:solidFill>
                  <a:latin typeface="Verdana"/>
                  <a:ea typeface="Verdana"/>
                </a:rPr>
                <a:t>Índice</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50800</xdr:colOff>
          <xdr:row>1</xdr:row>
          <xdr:rowOff>0</xdr:rowOff>
        </xdr:from>
        <xdr:to>
          <xdr:col>8</xdr:col>
          <xdr:colOff>323850</xdr:colOff>
          <xdr:row>2</xdr:row>
          <xdr:rowOff>69850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1400-0000015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es-ES" sz="800" b="1" i="0" u="none" strike="noStrike" baseline="0">
                  <a:solidFill>
                    <a:srgbClr val="FFFFFF"/>
                  </a:solidFill>
                  <a:latin typeface="Verdana"/>
                  <a:ea typeface="Verdana"/>
                </a:rPr>
                <a:t>Índice</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12700</xdr:colOff>
          <xdr:row>0</xdr:row>
          <xdr:rowOff>0</xdr:rowOff>
        </xdr:from>
        <xdr:to>
          <xdr:col>4</xdr:col>
          <xdr:colOff>266700</xdr:colOff>
          <xdr:row>1</xdr:row>
          <xdr:rowOff>69850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1500-0000015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es-ES" sz="800" b="1" i="0" u="none" strike="noStrike" baseline="0">
                  <a:solidFill>
                    <a:srgbClr val="FFFFFF"/>
                  </a:solidFill>
                  <a:latin typeface="Verdana"/>
                  <a:ea typeface="Verdana"/>
                </a:rPr>
                <a:t>Índice</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69850</xdr:colOff>
          <xdr:row>0</xdr:row>
          <xdr:rowOff>12700</xdr:rowOff>
        </xdr:from>
        <xdr:to>
          <xdr:col>5</xdr:col>
          <xdr:colOff>342900</xdr:colOff>
          <xdr:row>1</xdr:row>
          <xdr:rowOff>88900</xdr:rowOff>
        </xdr:to>
        <xdr:sp macro="" textlink="">
          <xdr:nvSpPr>
            <xdr:cNvPr id="23553" name="Button 1" hidden="1">
              <a:extLst>
                <a:ext uri="{63B3BB69-23CF-44E3-9099-C40C66FF867C}">
                  <a14:compatExt spid="_x0000_s23553"/>
                </a:ext>
                <a:ext uri="{FF2B5EF4-FFF2-40B4-BE49-F238E27FC236}">
                  <a16:creationId xmlns:a16="http://schemas.microsoft.com/office/drawing/2014/main" id="{00000000-0008-0000-1600-0000015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es-ES" sz="800" b="1" i="0" u="none" strike="noStrike" baseline="0">
                  <a:solidFill>
                    <a:srgbClr val="FFFFFF"/>
                  </a:solidFill>
                  <a:latin typeface="Verdana"/>
                  <a:ea typeface="Verdana"/>
                </a:rPr>
                <a:t>Índice</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15</xdr:col>
          <xdr:colOff>76200</xdr:colOff>
          <xdr:row>0</xdr:row>
          <xdr:rowOff>12700</xdr:rowOff>
        </xdr:from>
        <xdr:to>
          <xdr:col>16</xdr:col>
          <xdr:colOff>355600</xdr:colOff>
          <xdr:row>1</xdr:row>
          <xdr:rowOff>88900</xdr:rowOff>
        </xdr:to>
        <xdr:sp macro="" textlink="">
          <xdr:nvSpPr>
            <xdr:cNvPr id="25601" name="Button 1" hidden="1">
              <a:extLst>
                <a:ext uri="{63B3BB69-23CF-44E3-9099-C40C66FF867C}">
                  <a14:compatExt spid="_x0000_s25601"/>
                </a:ext>
                <a:ext uri="{FF2B5EF4-FFF2-40B4-BE49-F238E27FC236}">
                  <a16:creationId xmlns:a16="http://schemas.microsoft.com/office/drawing/2014/main" id="{00000000-0008-0000-1800-0000016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22860" rIns="36576" bIns="22860" anchor="ctr" upright="1"/>
            <a:lstStyle/>
            <a:p>
              <a:pPr algn="ctr" rtl="0">
                <a:defRPr sz="1000"/>
              </a:pPr>
              <a:r>
                <a:rPr lang="es-ES" sz="800" b="1" i="0" u="none" strike="noStrike" baseline="0">
                  <a:solidFill>
                    <a:srgbClr val="FFFFFF"/>
                  </a:solidFill>
                  <a:latin typeface="Verdana"/>
                  <a:ea typeface="Verdana"/>
                </a:rPr>
                <a:t>Índice</a:t>
              </a:r>
            </a:p>
          </xdr:txBody>
        </xdr:sp>
        <xdr:clientData/>
      </xdr:twoCellAnchor>
    </mc:Choice>
    <mc:Fallback/>
  </mc:AlternateContent>
</xdr:wsDr>
</file>

<file path=xl/theme/theme1.xml><?xml version="1.0" encoding="utf-8"?>
<a:theme xmlns:a="http://schemas.openxmlformats.org/drawingml/2006/main" name="Tema de l'Office">
  <a:themeElements>
    <a:clrScheme name="Oficin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cin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cin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omments" Target="../comments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4.xml"/><Relationship Id="rId1" Type="http://schemas.openxmlformats.org/officeDocument/2006/relationships/printerSettings" Target="../printerSettings/printerSettings19.bin"/><Relationship Id="rId5" Type="http://schemas.openxmlformats.org/officeDocument/2006/relationships/comments" Target="../comments13.xml"/><Relationship Id="rId4" Type="http://schemas.openxmlformats.org/officeDocument/2006/relationships/ctrlProp" Target="../ctrlProps/ctrlProp2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5.xml"/><Relationship Id="rId1" Type="http://schemas.openxmlformats.org/officeDocument/2006/relationships/printerSettings" Target="../printerSettings/printerSettings20.bin"/><Relationship Id="rId4" Type="http://schemas.openxmlformats.org/officeDocument/2006/relationships/ctrlProp" Target="../ctrlProps/ctrlProp2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6.xml"/><Relationship Id="rId1" Type="http://schemas.openxmlformats.org/officeDocument/2006/relationships/printerSettings" Target="../printerSettings/printerSettings21.bin"/><Relationship Id="rId4" Type="http://schemas.openxmlformats.org/officeDocument/2006/relationships/ctrlProp" Target="../ctrlProps/ctrlProp2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7.xml"/><Relationship Id="rId1" Type="http://schemas.openxmlformats.org/officeDocument/2006/relationships/printerSettings" Target="../printerSettings/printerSettings22.bin"/><Relationship Id="rId4" Type="http://schemas.openxmlformats.org/officeDocument/2006/relationships/ctrlProp" Target="../ctrlProps/ctrlProp2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8.xml"/><Relationship Id="rId1" Type="http://schemas.openxmlformats.org/officeDocument/2006/relationships/printerSettings" Target="../printerSettings/printerSettings23.bin"/><Relationship Id="rId4" Type="http://schemas.openxmlformats.org/officeDocument/2006/relationships/ctrlProp" Target="../ctrlProps/ctrlProp29.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9.xml"/><Relationship Id="rId1" Type="http://schemas.openxmlformats.org/officeDocument/2006/relationships/printerSettings" Target="../printerSettings/printerSettings25.bin"/><Relationship Id="rId4" Type="http://schemas.openxmlformats.org/officeDocument/2006/relationships/ctrlProp" Target="../ctrlProps/ctrlProp3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0.xml"/><Relationship Id="rId1" Type="http://schemas.openxmlformats.org/officeDocument/2006/relationships/printerSettings" Target="../printerSettings/printerSettings26.bin"/><Relationship Id="rId4" Type="http://schemas.openxmlformats.org/officeDocument/2006/relationships/ctrlProp" Target="../ctrlProps/ctrlProp3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1.xml"/><Relationship Id="rId1" Type="http://schemas.openxmlformats.org/officeDocument/2006/relationships/printerSettings" Target="../printerSettings/printerSettings28.bin"/><Relationship Id="rId4" Type="http://schemas.openxmlformats.org/officeDocument/2006/relationships/ctrlProp" Target="../ctrlProps/ctrlProp3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2.xml"/><Relationship Id="rId1" Type="http://schemas.openxmlformats.org/officeDocument/2006/relationships/printerSettings" Target="../printerSettings/printerSettings29.bin"/><Relationship Id="rId5" Type="http://schemas.openxmlformats.org/officeDocument/2006/relationships/comments" Target="../comments14.xml"/><Relationship Id="rId4" Type="http://schemas.openxmlformats.org/officeDocument/2006/relationships/ctrlProp" Target="../ctrlProps/ctrlProp3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3.xml"/><Relationship Id="rId1" Type="http://schemas.openxmlformats.org/officeDocument/2006/relationships/printerSettings" Target="../printerSettings/printerSettings31.bin"/><Relationship Id="rId5" Type="http://schemas.openxmlformats.org/officeDocument/2006/relationships/comments" Target="../comments16.xml"/><Relationship Id="rId4" Type="http://schemas.openxmlformats.org/officeDocument/2006/relationships/ctrlProp" Target="../ctrlProps/ctrlProp3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2.xml"/><Relationship Id="rId3" Type="http://schemas.openxmlformats.org/officeDocument/2006/relationships/vmlDrawing" Target="../drawings/vmlDrawing3.vml"/><Relationship Id="rId7" Type="http://schemas.openxmlformats.org/officeDocument/2006/relationships/ctrlProp" Target="../ctrlProps/ctrlProp21.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20.xml"/><Relationship Id="rId11" Type="http://schemas.openxmlformats.org/officeDocument/2006/relationships/comments" Target="../comments3.xml"/><Relationship Id="rId5" Type="http://schemas.openxmlformats.org/officeDocument/2006/relationships/ctrlProp" Target="../ctrlProps/ctrlProp19.xml"/><Relationship Id="rId10" Type="http://schemas.openxmlformats.org/officeDocument/2006/relationships/ctrlProp" Target="../ctrlProps/ctrlProp24.xml"/><Relationship Id="rId4" Type="http://schemas.openxmlformats.org/officeDocument/2006/relationships/ctrlProp" Target="../ctrlProps/ctrlProp18.xml"/><Relationship Id="rId9" Type="http://schemas.openxmlformats.org/officeDocument/2006/relationships/ctrlProp" Target="../ctrlProps/ctrlProp2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Z56"/>
  <sheetViews>
    <sheetView workbookViewId="0">
      <selection activeCell="C200" sqref="C200"/>
    </sheetView>
  </sheetViews>
  <sheetFormatPr defaultColWidth="11.453125" defaultRowHeight="12.5" x14ac:dyDescent="0.25"/>
  <cols>
    <col min="1" max="9" width="10.7265625" style="1" customWidth="1"/>
    <col min="10" max="10" width="5.1796875" style="1" customWidth="1"/>
    <col min="11" max="16384" width="11.453125" style="1"/>
  </cols>
  <sheetData>
    <row r="1" spans="1:26" ht="18" customHeight="1" x14ac:dyDescent="0.4">
      <c r="A1" s="2" t="s">
        <v>0</v>
      </c>
    </row>
    <row r="2" spans="1:26" ht="18" customHeight="1" x14ac:dyDescent="0.35">
      <c r="A2" s="1776" t="s">
        <v>1</v>
      </c>
      <c r="B2" s="1776"/>
      <c r="C2" s="1776"/>
      <c r="D2" s="1776"/>
      <c r="E2" s="1776"/>
      <c r="F2" s="1776"/>
    </row>
    <row r="3" spans="1:26" ht="13.5" x14ac:dyDescent="0.3">
      <c r="G3" s="1777" t="s">
        <v>2</v>
      </c>
      <c r="H3" s="1777"/>
      <c r="I3" s="1777"/>
      <c r="J3" s="1777"/>
    </row>
    <row r="4" spans="1:26" ht="6.75" customHeight="1" x14ac:dyDescent="0.25"/>
    <row r="5" spans="1:26" ht="13" hidden="1" x14ac:dyDescent="0.3">
      <c r="A5" s="1778" t="s">
        <v>3</v>
      </c>
      <c r="B5" s="1778"/>
      <c r="C5" s="4">
        <f>'Introducció dades'!C7</f>
        <v>2023</v>
      </c>
    </row>
    <row r="6" spans="1:26" ht="13" hidden="1" x14ac:dyDescent="0.3">
      <c r="A6" s="1778" t="s">
        <v>4</v>
      </c>
      <c r="B6" s="1778"/>
      <c r="C6" s="4">
        <f>'Introducció dades'!C8</f>
        <v>1</v>
      </c>
      <c r="D6" s="3" t="str">
        <f>LOOKUP(D8,$D9:$Z9,$D10:$Z10)</f>
        <v>GENER</v>
      </c>
    </row>
    <row r="7" spans="1:26" ht="13" hidden="1" x14ac:dyDescent="0.3">
      <c r="E7" s="5" t="str">
        <f t="shared" ref="E7:O7" si="0">LOOKUP(E8,$D9:$Z9,$D10:$Z10)</f>
        <v>FEBRER</v>
      </c>
      <c r="F7" s="5" t="str">
        <f t="shared" si="0"/>
        <v>MARÇ</v>
      </c>
      <c r="G7" s="5" t="str">
        <f t="shared" si="0"/>
        <v>ABRIL</v>
      </c>
      <c r="H7" s="5" t="str">
        <f t="shared" si="0"/>
        <v>MAIG</v>
      </c>
      <c r="I7" s="5" t="str">
        <f t="shared" si="0"/>
        <v>JUNY</v>
      </c>
      <c r="J7" s="5" t="str">
        <f t="shared" si="0"/>
        <v>JULIOL</v>
      </c>
      <c r="K7" s="5" t="str">
        <f t="shared" si="0"/>
        <v>AGOST</v>
      </c>
      <c r="L7" s="5" t="str">
        <f t="shared" si="0"/>
        <v>SETEMBRE</v>
      </c>
      <c r="M7" s="5" t="str">
        <f t="shared" si="0"/>
        <v>OCTUBRE</v>
      </c>
      <c r="N7" s="5" t="str">
        <f t="shared" si="0"/>
        <v>NOVEMBRE</v>
      </c>
      <c r="O7" s="5" t="str">
        <f t="shared" si="0"/>
        <v>DESEMBRE</v>
      </c>
    </row>
    <row r="8" spans="1:26" ht="13" hidden="1" x14ac:dyDescent="0.3">
      <c r="A8" s="3"/>
      <c r="B8" s="3"/>
      <c r="C8" s="3"/>
      <c r="D8" s="3">
        <f>C6</f>
        <v>1</v>
      </c>
      <c r="E8" s="3">
        <f t="shared" ref="E8:O8" si="1">D8+1</f>
        <v>2</v>
      </c>
      <c r="F8" s="3">
        <f t="shared" si="1"/>
        <v>3</v>
      </c>
      <c r="G8" s="3">
        <f t="shared" si="1"/>
        <v>4</v>
      </c>
      <c r="H8" s="3">
        <f t="shared" si="1"/>
        <v>5</v>
      </c>
      <c r="I8" s="3">
        <f t="shared" si="1"/>
        <v>6</v>
      </c>
      <c r="J8" s="3">
        <f t="shared" si="1"/>
        <v>7</v>
      </c>
      <c r="K8" s="3">
        <f t="shared" si="1"/>
        <v>8</v>
      </c>
      <c r="L8" s="3">
        <f t="shared" si="1"/>
        <v>9</v>
      </c>
      <c r="M8" s="3">
        <f t="shared" si="1"/>
        <v>10</v>
      </c>
      <c r="N8" s="3">
        <f t="shared" si="1"/>
        <v>11</v>
      </c>
      <c r="O8" s="3">
        <f t="shared" si="1"/>
        <v>12</v>
      </c>
      <c r="P8" s="3"/>
      <c r="Q8" s="3"/>
      <c r="R8" s="3"/>
      <c r="S8" s="3"/>
      <c r="T8" s="3"/>
      <c r="U8" s="3"/>
      <c r="V8" s="3"/>
      <c r="W8" s="3"/>
      <c r="X8" s="3"/>
      <c r="Y8" s="3"/>
      <c r="Z8" s="3"/>
    </row>
    <row r="9" spans="1:26" ht="13" hidden="1" x14ac:dyDescent="0.3">
      <c r="A9" s="3"/>
      <c r="B9" s="3"/>
      <c r="C9" s="3"/>
      <c r="D9" s="3">
        <v>1</v>
      </c>
      <c r="E9" s="3">
        <f t="shared" ref="E9:O9" si="2">D9+1</f>
        <v>2</v>
      </c>
      <c r="F9" s="3">
        <f t="shared" si="2"/>
        <v>3</v>
      </c>
      <c r="G9" s="3">
        <f t="shared" si="2"/>
        <v>4</v>
      </c>
      <c r="H9" s="3">
        <f t="shared" si="2"/>
        <v>5</v>
      </c>
      <c r="I9" s="3">
        <f t="shared" si="2"/>
        <v>6</v>
      </c>
      <c r="J9" s="3">
        <f t="shared" si="2"/>
        <v>7</v>
      </c>
      <c r="K9" s="3">
        <f t="shared" si="2"/>
        <v>8</v>
      </c>
      <c r="L9" s="3">
        <f t="shared" si="2"/>
        <v>9</v>
      </c>
      <c r="M9" s="3">
        <f t="shared" si="2"/>
        <v>10</v>
      </c>
      <c r="N9" s="3">
        <f t="shared" si="2"/>
        <v>11</v>
      </c>
      <c r="O9" s="3">
        <f t="shared" si="2"/>
        <v>12</v>
      </c>
      <c r="P9" s="3">
        <f t="shared" ref="P9:Z9" si="3">O9+1</f>
        <v>13</v>
      </c>
      <c r="Q9" s="3">
        <f t="shared" si="3"/>
        <v>14</v>
      </c>
      <c r="R9" s="3">
        <f t="shared" si="3"/>
        <v>15</v>
      </c>
      <c r="S9" s="3">
        <f t="shared" si="3"/>
        <v>16</v>
      </c>
      <c r="T9" s="3">
        <f t="shared" si="3"/>
        <v>17</v>
      </c>
      <c r="U9" s="3">
        <f t="shared" si="3"/>
        <v>18</v>
      </c>
      <c r="V9" s="3">
        <f t="shared" si="3"/>
        <v>19</v>
      </c>
      <c r="W9" s="3">
        <f t="shared" si="3"/>
        <v>20</v>
      </c>
      <c r="X9" s="3">
        <f t="shared" si="3"/>
        <v>21</v>
      </c>
      <c r="Y9" s="3">
        <f t="shared" si="3"/>
        <v>22</v>
      </c>
      <c r="Z9" s="3">
        <f t="shared" si="3"/>
        <v>23</v>
      </c>
    </row>
    <row r="10" spans="1:26" ht="13" hidden="1" x14ac:dyDescent="0.3">
      <c r="A10" s="3"/>
      <c r="B10" s="3"/>
      <c r="C10" s="3"/>
      <c r="D10" s="3" t="s">
        <v>5</v>
      </c>
      <c r="E10" s="3" t="s">
        <v>6</v>
      </c>
      <c r="F10" s="3" t="s">
        <v>7</v>
      </c>
      <c r="G10" s="3" t="s">
        <v>8</v>
      </c>
      <c r="H10" s="3" t="s">
        <v>9</v>
      </c>
      <c r="I10" s="3" t="s">
        <v>10</v>
      </c>
      <c r="J10" s="3" t="s">
        <v>11</v>
      </c>
      <c r="K10" s="3" t="s">
        <v>12</v>
      </c>
      <c r="L10" s="3" t="s">
        <v>13</v>
      </c>
      <c r="M10" s="3" t="s">
        <v>14</v>
      </c>
      <c r="N10" s="3" t="s">
        <v>15</v>
      </c>
      <c r="O10" s="3" t="s">
        <v>16</v>
      </c>
      <c r="P10" s="3" t="s">
        <v>5</v>
      </c>
      <c r="Q10" s="3" t="s">
        <v>6</v>
      </c>
      <c r="R10" s="3" t="s">
        <v>7</v>
      </c>
      <c r="S10" s="3" t="s">
        <v>8</v>
      </c>
      <c r="T10" s="3" t="s">
        <v>9</v>
      </c>
      <c r="U10" s="3" t="s">
        <v>10</v>
      </c>
      <c r="V10" s="3" t="s">
        <v>11</v>
      </c>
      <c r="W10" s="3" t="s">
        <v>12</v>
      </c>
      <c r="X10" s="3" t="s">
        <v>13</v>
      </c>
      <c r="Y10" s="3" t="s">
        <v>14</v>
      </c>
      <c r="Z10" s="3" t="s">
        <v>15</v>
      </c>
    </row>
    <row r="11" spans="1:26" ht="9.75" customHeight="1" x14ac:dyDescent="0.3">
      <c r="A11" s="3"/>
      <c r="B11" s="3"/>
      <c r="C11" s="3"/>
      <c r="D11" s="3"/>
      <c r="E11" s="3"/>
      <c r="F11" s="3"/>
      <c r="G11" s="3"/>
      <c r="H11" s="3"/>
      <c r="I11" s="3"/>
      <c r="J11" s="3"/>
      <c r="K11" s="3"/>
      <c r="L11" s="3"/>
      <c r="M11" s="3"/>
      <c r="N11" s="3"/>
      <c r="O11" s="3"/>
      <c r="P11" s="3"/>
      <c r="Q11" s="3"/>
      <c r="R11" s="3"/>
      <c r="S11" s="3"/>
      <c r="T11" s="3"/>
      <c r="U11" s="3"/>
      <c r="V11" s="3"/>
      <c r="W11" s="3"/>
      <c r="X11" s="3"/>
      <c r="Y11" s="3"/>
      <c r="Z11" s="3"/>
    </row>
    <row r="12" spans="1:26" ht="9.75" customHeight="1" x14ac:dyDescent="0.3">
      <c r="A12" s="3"/>
      <c r="B12" s="3"/>
      <c r="C12" s="3"/>
      <c r="D12" s="3"/>
      <c r="E12" s="3"/>
      <c r="F12" s="3"/>
      <c r="G12" s="3"/>
      <c r="H12" s="3"/>
      <c r="I12" s="3"/>
      <c r="J12" s="3"/>
      <c r="K12" s="3"/>
      <c r="L12" s="3"/>
      <c r="M12" s="3"/>
      <c r="N12" s="3"/>
      <c r="O12" s="3"/>
      <c r="P12" s="3"/>
      <c r="Q12" s="3"/>
      <c r="R12" s="3"/>
      <c r="S12" s="3"/>
      <c r="T12" s="3"/>
      <c r="U12" s="3"/>
      <c r="V12" s="3"/>
      <c r="W12" s="3"/>
      <c r="X12" s="3"/>
      <c r="Y12" s="3"/>
      <c r="Z12" s="3"/>
    </row>
    <row r="13" spans="1:26" ht="9.75" customHeight="1" x14ac:dyDescent="0.25"/>
    <row r="14" spans="1:26" ht="9.75" customHeight="1" x14ac:dyDescent="0.25"/>
    <row r="15" spans="1:26" ht="9.75" customHeight="1" x14ac:dyDescent="0.25"/>
    <row r="16" spans="1:26" ht="9.75" customHeight="1" x14ac:dyDescent="0.25"/>
    <row r="17" spans="6:6" ht="9.75" customHeight="1" x14ac:dyDescent="0.25"/>
    <row r="18" spans="6:6" ht="9.75" customHeight="1" x14ac:dyDescent="0.25"/>
    <row r="19" spans="6:6" ht="9.75" customHeight="1" x14ac:dyDescent="0.25">
      <c r="F19" s="6"/>
    </row>
    <row r="20" spans="6:6" ht="9.75" customHeight="1" x14ac:dyDescent="0.25"/>
    <row r="21" spans="6:6" ht="9.75" customHeight="1" x14ac:dyDescent="0.25"/>
    <row r="22" spans="6:6" ht="9.75" customHeight="1" x14ac:dyDescent="0.25"/>
    <row r="23" spans="6:6" ht="9.75" customHeight="1" x14ac:dyDescent="0.25"/>
    <row r="24" spans="6:6" ht="9.75" customHeight="1" x14ac:dyDescent="0.25"/>
    <row r="25" spans="6:6" ht="9.75" customHeight="1" x14ac:dyDescent="0.25"/>
    <row r="26" spans="6:6" ht="9.75" customHeight="1" x14ac:dyDescent="0.25"/>
    <row r="27" spans="6:6" ht="9.75" customHeight="1" x14ac:dyDescent="0.25"/>
    <row r="28" spans="6:6" ht="9.75" customHeight="1" x14ac:dyDescent="0.25"/>
    <row r="29" spans="6:6" ht="9.75" customHeight="1" x14ac:dyDescent="0.25"/>
    <row r="30" spans="6:6" ht="9.75" customHeight="1" x14ac:dyDescent="0.25"/>
    <row r="31" spans="6:6" ht="9.75" customHeight="1" x14ac:dyDescent="0.25"/>
    <row r="32" spans="6:6" ht="9.75" customHeight="1" x14ac:dyDescent="0.25"/>
    <row r="33" ht="9.75" customHeight="1" x14ac:dyDescent="0.25"/>
    <row r="34" ht="9.75" customHeight="1" x14ac:dyDescent="0.25"/>
    <row r="35" ht="9.75" customHeight="1" x14ac:dyDescent="0.25"/>
    <row r="36" ht="9.75" customHeight="1" x14ac:dyDescent="0.25"/>
    <row r="37" ht="9.75" customHeight="1" x14ac:dyDescent="0.25"/>
    <row r="38" ht="9.75" customHeight="1" x14ac:dyDescent="0.25"/>
    <row r="39" ht="9.75" customHeight="1" x14ac:dyDescent="0.25"/>
    <row r="40" ht="9.75" customHeight="1" x14ac:dyDescent="0.25"/>
    <row r="41" ht="9.75" customHeight="1" x14ac:dyDescent="0.25"/>
    <row r="42" ht="9.75" customHeight="1" x14ac:dyDescent="0.25"/>
    <row r="43" ht="9.75" customHeight="1" x14ac:dyDescent="0.25"/>
    <row r="44" ht="9.75" customHeight="1" x14ac:dyDescent="0.25"/>
    <row r="45" ht="9.75" customHeight="1" x14ac:dyDescent="0.25"/>
    <row r="46" ht="9.75" customHeight="1" x14ac:dyDescent="0.25"/>
    <row r="47" ht="9.75" customHeight="1" x14ac:dyDescent="0.25"/>
    <row r="48" ht="9.75" customHeight="1" x14ac:dyDescent="0.25"/>
    <row r="49" ht="9.75" customHeight="1" x14ac:dyDescent="0.25"/>
    <row r="50" ht="9.75" customHeight="1" x14ac:dyDescent="0.25"/>
    <row r="51" ht="9.75" customHeight="1" x14ac:dyDescent="0.25"/>
    <row r="52" ht="9.75" customHeight="1" x14ac:dyDescent="0.25"/>
    <row r="53" ht="9.75" customHeight="1" x14ac:dyDescent="0.25"/>
    <row r="54" ht="9.75" customHeight="1" x14ac:dyDescent="0.25"/>
    <row r="55" ht="9.75" customHeight="1" x14ac:dyDescent="0.25"/>
    <row r="56" ht="9.75" customHeight="1" x14ac:dyDescent="0.25"/>
  </sheetData>
  <sheetProtection sheet="1" objects="1" scenarios="1"/>
  <mergeCells count="4">
    <mergeCell ref="A2:F2"/>
    <mergeCell ref="G3:J3"/>
    <mergeCell ref="A5:B5"/>
    <mergeCell ref="A6:B6"/>
  </mergeCells>
  <phoneticPr fontId="22" type="noConversion"/>
  <pageMargins left="0.74791666666666667" right="0.74791666666666667" top="0.98402777777777783" bottom="0.98402777777777783" header="0.51180555555555562" footer="0.51180555555555562"/>
  <pageSetup paperSize="9" scale="31" firstPageNumber="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7" r:id="rId4" name="Button 3">
              <controlPr defaultSize="0" autoFill="0" autoLine="0" autoPict="0">
                <anchor moveWithCells="1" sizeWithCells="1">
                  <from>
                    <xdr:col>2</xdr:col>
                    <xdr:colOff>0</xdr:colOff>
                    <xdr:row>13</xdr:row>
                    <xdr:rowOff>0</xdr:rowOff>
                  </from>
                  <to>
                    <xdr:col>4</xdr:col>
                    <xdr:colOff>666750</xdr:colOff>
                    <xdr:row>15</xdr:row>
                    <xdr:rowOff>31750</xdr:rowOff>
                  </to>
                </anchor>
              </controlPr>
            </control>
          </mc:Choice>
        </mc:AlternateContent>
        <mc:AlternateContent xmlns:mc="http://schemas.openxmlformats.org/markup-compatibility/2006">
          <mc:Choice Requires="x14">
            <control shapeId="1028" r:id="rId5" name="Button 4">
              <controlPr defaultSize="0" autoFill="0" autoLine="0" autoPict="0">
                <anchor moveWithCells="1" sizeWithCells="1">
                  <from>
                    <xdr:col>2</xdr:col>
                    <xdr:colOff>0</xdr:colOff>
                    <xdr:row>16</xdr:row>
                    <xdr:rowOff>0</xdr:rowOff>
                  </from>
                  <to>
                    <xdr:col>4</xdr:col>
                    <xdr:colOff>666750</xdr:colOff>
                    <xdr:row>18</xdr:row>
                    <xdr:rowOff>31750</xdr:rowOff>
                  </to>
                </anchor>
              </controlPr>
            </control>
          </mc:Choice>
        </mc:AlternateContent>
        <mc:AlternateContent xmlns:mc="http://schemas.openxmlformats.org/markup-compatibility/2006">
          <mc:Choice Requires="x14">
            <control shapeId="1029" r:id="rId6" name="Button 5">
              <controlPr defaultSize="0" autoFill="0" autoLine="0" autoPict="0">
                <anchor moveWithCells="1" sizeWithCells="1">
                  <from>
                    <xdr:col>2</xdr:col>
                    <xdr:colOff>0</xdr:colOff>
                    <xdr:row>19</xdr:row>
                    <xdr:rowOff>0</xdr:rowOff>
                  </from>
                  <to>
                    <xdr:col>4</xdr:col>
                    <xdr:colOff>666750</xdr:colOff>
                    <xdr:row>21</xdr:row>
                    <xdr:rowOff>31750</xdr:rowOff>
                  </to>
                </anchor>
              </controlPr>
            </control>
          </mc:Choice>
        </mc:AlternateContent>
        <mc:AlternateContent xmlns:mc="http://schemas.openxmlformats.org/markup-compatibility/2006">
          <mc:Choice Requires="x14">
            <control shapeId="1030" r:id="rId7" name="Button 6">
              <controlPr defaultSize="0" autoFill="0" autoLine="0" autoPict="0">
                <anchor moveWithCells="1" sizeWithCells="1">
                  <from>
                    <xdr:col>1</xdr:col>
                    <xdr:colOff>704850</xdr:colOff>
                    <xdr:row>28</xdr:row>
                    <xdr:rowOff>0</xdr:rowOff>
                  </from>
                  <to>
                    <xdr:col>4</xdr:col>
                    <xdr:colOff>660400</xdr:colOff>
                    <xdr:row>30</xdr:row>
                    <xdr:rowOff>31750</xdr:rowOff>
                  </to>
                </anchor>
              </controlPr>
            </control>
          </mc:Choice>
        </mc:AlternateContent>
        <mc:AlternateContent xmlns:mc="http://schemas.openxmlformats.org/markup-compatibility/2006">
          <mc:Choice Requires="x14">
            <control shapeId="1031" r:id="rId8" name="Button 7">
              <controlPr defaultSize="0" autoFill="0" autoLine="0" autoPict="0">
                <anchor moveWithCells="1" sizeWithCells="1">
                  <from>
                    <xdr:col>6</xdr:col>
                    <xdr:colOff>0</xdr:colOff>
                    <xdr:row>10</xdr:row>
                    <xdr:rowOff>0</xdr:rowOff>
                  </from>
                  <to>
                    <xdr:col>10</xdr:col>
                    <xdr:colOff>0</xdr:colOff>
                    <xdr:row>12</xdr:row>
                    <xdr:rowOff>31750</xdr:rowOff>
                  </to>
                </anchor>
              </controlPr>
            </control>
          </mc:Choice>
        </mc:AlternateContent>
        <mc:AlternateContent xmlns:mc="http://schemas.openxmlformats.org/markup-compatibility/2006">
          <mc:Choice Requires="x14">
            <control shapeId="1032" r:id="rId9" name="Button 8">
              <controlPr defaultSize="0" autoFill="0" autoLine="0" autoPict="0">
                <anchor moveWithCells="1" sizeWithCells="1">
                  <from>
                    <xdr:col>6</xdr:col>
                    <xdr:colOff>0</xdr:colOff>
                    <xdr:row>12</xdr:row>
                    <xdr:rowOff>76200</xdr:rowOff>
                  </from>
                  <to>
                    <xdr:col>10</xdr:col>
                    <xdr:colOff>0</xdr:colOff>
                    <xdr:row>14</xdr:row>
                    <xdr:rowOff>107950</xdr:rowOff>
                  </to>
                </anchor>
              </controlPr>
            </control>
          </mc:Choice>
        </mc:AlternateContent>
        <mc:AlternateContent xmlns:mc="http://schemas.openxmlformats.org/markup-compatibility/2006">
          <mc:Choice Requires="x14">
            <control shapeId="1033" r:id="rId10" name="Button 9">
              <controlPr defaultSize="0" autoFill="0" autoLine="0" autoPict="0">
                <anchor moveWithCells="1" sizeWithCells="1">
                  <from>
                    <xdr:col>6</xdr:col>
                    <xdr:colOff>0</xdr:colOff>
                    <xdr:row>17</xdr:row>
                    <xdr:rowOff>107950</xdr:rowOff>
                  </from>
                  <to>
                    <xdr:col>10</xdr:col>
                    <xdr:colOff>0</xdr:colOff>
                    <xdr:row>20</xdr:row>
                    <xdr:rowOff>12700</xdr:rowOff>
                  </to>
                </anchor>
              </controlPr>
            </control>
          </mc:Choice>
        </mc:AlternateContent>
        <mc:AlternateContent xmlns:mc="http://schemas.openxmlformats.org/markup-compatibility/2006">
          <mc:Choice Requires="x14">
            <control shapeId="1034" r:id="rId11" name="Button 10">
              <controlPr defaultSize="0" autoFill="0" autoLine="0" autoPict="0">
                <anchor moveWithCells="1" sizeWithCells="1">
                  <from>
                    <xdr:col>6</xdr:col>
                    <xdr:colOff>0</xdr:colOff>
                    <xdr:row>25</xdr:row>
                    <xdr:rowOff>88900</xdr:rowOff>
                  </from>
                  <to>
                    <xdr:col>10</xdr:col>
                    <xdr:colOff>0</xdr:colOff>
                    <xdr:row>27</xdr:row>
                    <xdr:rowOff>114300</xdr:rowOff>
                  </to>
                </anchor>
              </controlPr>
            </control>
          </mc:Choice>
        </mc:AlternateContent>
        <mc:AlternateContent xmlns:mc="http://schemas.openxmlformats.org/markup-compatibility/2006">
          <mc:Choice Requires="x14">
            <control shapeId="1035" r:id="rId12" name="Button 11">
              <controlPr defaultSize="0" autoFill="0" autoLine="0" autoPict="0">
                <anchor moveWithCells="1" sizeWithCells="1">
                  <from>
                    <xdr:col>6</xdr:col>
                    <xdr:colOff>0</xdr:colOff>
                    <xdr:row>28</xdr:row>
                    <xdr:rowOff>38100</xdr:rowOff>
                  </from>
                  <to>
                    <xdr:col>10</xdr:col>
                    <xdr:colOff>0</xdr:colOff>
                    <xdr:row>30</xdr:row>
                    <xdr:rowOff>69850</xdr:rowOff>
                  </to>
                </anchor>
              </controlPr>
            </control>
          </mc:Choice>
        </mc:AlternateContent>
        <mc:AlternateContent xmlns:mc="http://schemas.openxmlformats.org/markup-compatibility/2006">
          <mc:Choice Requires="x14">
            <control shapeId="1036" r:id="rId13" name="Button 12">
              <controlPr defaultSize="0" autoFill="0" autoLine="0" autoPict="0">
                <anchor moveWithCells="1" sizeWithCells="1">
                  <from>
                    <xdr:col>6</xdr:col>
                    <xdr:colOff>0</xdr:colOff>
                    <xdr:row>31</xdr:row>
                    <xdr:rowOff>0</xdr:rowOff>
                  </from>
                  <to>
                    <xdr:col>10</xdr:col>
                    <xdr:colOff>0</xdr:colOff>
                    <xdr:row>33</xdr:row>
                    <xdr:rowOff>31750</xdr:rowOff>
                  </to>
                </anchor>
              </controlPr>
            </control>
          </mc:Choice>
        </mc:AlternateContent>
        <mc:AlternateContent xmlns:mc="http://schemas.openxmlformats.org/markup-compatibility/2006">
          <mc:Choice Requires="x14">
            <control shapeId="1037" r:id="rId14" name="Button 13">
              <controlPr defaultSize="0" autoFill="0" autoLine="0" autoPict="0">
                <anchor moveWithCells="1" sizeWithCells="1">
                  <from>
                    <xdr:col>2</xdr:col>
                    <xdr:colOff>0</xdr:colOff>
                    <xdr:row>25</xdr:row>
                    <xdr:rowOff>0</xdr:rowOff>
                  </from>
                  <to>
                    <xdr:col>4</xdr:col>
                    <xdr:colOff>666750</xdr:colOff>
                    <xdr:row>27</xdr:row>
                    <xdr:rowOff>50800</xdr:rowOff>
                  </to>
                </anchor>
              </controlPr>
            </control>
          </mc:Choice>
        </mc:AlternateContent>
        <mc:AlternateContent xmlns:mc="http://schemas.openxmlformats.org/markup-compatibility/2006">
          <mc:Choice Requires="x14">
            <control shapeId="1038" r:id="rId15" name="Button 14">
              <controlPr defaultSize="0" autoFill="0" autoLine="0" autoPict="0">
                <anchor moveWithCells="1" sizeWithCells="1">
                  <from>
                    <xdr:col>2</xdr:col>
                    <xdr:colOff>0</xdr:colOff>
                    <xdr:row>22</xdr:row>
                    <xdr:rowOff>0</xdr:rowOff>
                  </from>
                  <to>
                    <xdr:col>4</xdr:col>
                    <xdr:colOff>666750</xdr:colOff>
                    <xdr:row>24</xdr:row>
                    <xdr:rowOff>31750</xdr:rowOff>
                  </to>
                </anchor>
              </controlPr>
            </control>
          </mc:Choice>
        </mc:AlternateContent>
        <mc:AlternateContent xmlns:mc="http://schemas.openxmlformats.org/markup-compatibility/2006">
          <mc:Choice Requires="x14">
            <control shapeId="1039" r:id="rId16" name="Button 15">
              <controlPr defaultSize="0" autoFill="0" autoLine="0" autoPict="0">
                <anchor moveWithCells="1" sizeWithCells="1">
                  <from>
                    <xdr:col>6</xdr:col>
                    <xdr:colOff>0</xdr:colOff>
                    <xdr:row>23</xdr:row>
                    <xdr:rowOff>12700</xdr:rowOff>
                  </from>
                  <to>
                    <xdr:col>10</xdr:col>
                    <xdr:colOff>0</xdr:colOff>
                    <xdr:row>25</xdr:row>
                    <xdr:rowOff>38100</xdr:rowOff>
                  </to>
                </anchor>
              </controlPr>
            </control>
          </mc:Choice>
        </mc:AlternateContent>
        <mc:AlternateContent xmlns:mc="http://schemas.openxmlformats.org/markup-compatibility/2006">
          <mc:Choice Requires="x14">
            <control shapeId="1040" r:id="rId17" name="Button 16">
              <controlPr defaultSize="0" autoFill="0" autoLine="0" autoPict="0">
                <anchor moveWithCells="1" sizeWithCells="1">
                  <from>
                    <xdr:col>2</xdr:col>
                    <xdr:colOff>0</xdr:colOff>
                    <xdr:row>31</xdr:row>
                    <xdr:rowOff>0</xdr:rowOff>
                  </from>
                  <to>
                    <xdr:col>4</xdr:col>
                    <xdr:colOff>666750</xdr:colOff>
                    <xdr:row>33</xdr:row>
                    <xdr:rowOff>31750</xdr:rowOff>
                  </to>
                </anchor>
              </controlPr>
            </control>
          </mc:Choice>
        </mc:AlternateContent>
        <mc:AlternateContent xmlns:mc="http://schemas.openxmlformats.org/markup-compatibility/2006">
          <mc:Choice Requires="x14">
            <control shapeId="1041" r:id="rId18" name="Button 17">
              <controlPr defaultSize="0" autoFill="0" autoLine="0" autoPict="0">
                <anchor moveWithCells="1" sizeWithCells="1">
                  <from>
                    <xdr:col>6</xdr:col>
                    <xdr:colOff>0</xdr:colOff>
                    <xdr:row>15</xdr:row>
                    <xdr:rowOff>31750</xdr:rowOff>
                  </from>
                  <to>
                    <xdr:col>10</xdr:col>
                    <xdr:colOff>0</xdr:colOff>
                    <xdr:row>17</xdr:row>
                    <xdr:rowOff>50800</xdr:rowOff>
                  </to>
                </anchor>
              </controlPr>
            </control>
          </mc:Choice>
        </mc:AlternateContent>
        <mc:AlternateContent xmlns:mc="http://schemas.openxmlformats.org/markup-compatibility/2006">
          <mc:Choice Requires="x14">
            <control shapeId="1042" r:id="rId19" name="Button 18">
              <controlPr defaultSize="0" autoFill="0" autoLine="0" autoPict="0">
                <anchor moveWithCells="1" sizeWithCells="1">
                  <from>
                    <xdr:col>6</xdr:col>
                    <xdr:colOff>0</xdr:colOff>
                    <xdr:row>20</xdr:row>
                    <xdr:rowOff>50800</xdr:rowOff>
                  </from>
                  <to>
                    <xdr:col>10</xdr:col>
                    <xdr:colOff>0</xdr:colOff>
                    <xdr:row>22</xdr:row>
                    <xdr:rowOff>88900</xdr:rowOff>
                  </to>
                </anchor>
              </controlPr>
            </control>
          </mc:Choice>
        </mc:AlternateContent>
        <mc:AlternateContent xmlns:mc="http://schemas.openxmlformats.org/markup-compatibility/2006">
          <mc:Choice Requires="x14">
            <control shapeId="1043" r:id="rId20" name="Button 19">
              <controlPr defaultSize="0" autoFill="0" autoLine="0" autoPict="0">
                <anchor moveWithCells="1" sizeWithCells="1">
                  <from>
                    <xdr:col>2</xdr:col>
                    <xdr:colOff>0</xdr:colOff>
                    <xdr:row>10</xdr:row>
                    <xdr:rowOff>0</xdr:rowOff>
                  </from>
                  <to>
                    <xdr:col>4</xdr:col>
                    <xdr:colOff>666750</xdr:colOff>
                    <xdr:row>12</xdr:row>
                    <xdr:rowOff>31750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9"/>
  <dimension ref="A1:DR219"/>
  <sheetViews>
    <sheetView workbookViewId="0">
      <selection activeCell="J16" sqref="J16"/>
    </sheetView>
  </sheetViews>
  <sheetFormatPr defaultColWidth="11.453125" defaultRowHeight="13" x14ac:dyDescent="0.3"/>
  <cols>
    <col min="1" max="1" width="14" style="875" customWidth="1"/>
    <col min="2" max="2" width="14.7265625" style="9" customWidth="1"/>
    <col min="3" max="6" width="11.7265625" style="21" customWidth="1"/>
    <col min="7" max="8" width="11.7265625" style="876" customWidth="1"/>
    <col min="9" max="9" width="11.7265625" style="21" customWidth="1"/>
    <col min="10" max="10" width="12.26953125" style="21" customWidth="1"/>
    <col min="11" max="17" width="11.7265625" style="21" customWidth="1"/>
    <col min="18" max="18" width="12.26953125" style="21" customWidth="1"/>
    <col min="19" max="25" width="11.7265625" style="21" customWidth="1"/>
    <col min="26" max="26" width="12.26953125" style="21" customWidth="1"/>
    <col min="27" max="33" width="11.7265625" style="21" customWidth="1"/>
    <col min="34" max="34" width="12.26953125" style="21" customWidth="1"/>
    <col min="35" max="41" width="11.7265625" style="21" customWidth="1"/>
    <col min="42" max="42" width="12.26953125" style="21" customWidth="1"/>
    <col min="43" max="49" width="11.7265625" style="21" customWidth="1"/>
    <col min="50" max="50" width="12.26953125" style="21" customWidth="1"/>
    <col min="51" max="57" width="11.7265625" style="21" customWidth="1"/>
    <col min="58" max="58" width="12.26953125" style="21" customWidth="1"/>
    <col min="59" max="65" width="11.7265625" style="21" customWidth="1"/>
    <col min="66" max="66" width="12.26953125" style="21" customWidth="1"/>
    <col min="67" max="73" width="11.7265625" style="21" customWidth="1"/>
    <col min="74" max="74" width="12.26953125" style="21" customWidth="1"/>
    <col min="75" max="81" width="11.7265625" style="21" customWidth="1"/>
    <col min="82" max="82" width="12.26953125" style="21" customWidth="1"/>
    <col min="83" max="89" width="11.7265625" style="21" customWidth="1"/>
    <col min="90" max="90" width="12.26953125" style="21" customWidth="1"/>
    <col min="91" max="97" width="11.7265625" style="21" customWidth="1"/>
    <col min="98" max="98" width="12.26953125" style="21" customWidth="1"/>
    <col min="99" max="101" width="11.7265625" style="21" customWidth="1"/>
    <col min="102" max="102" width="12.26953125" style="21" customWidth="1"/>
    <col min="103" max="105" width="11.7265625" style="21" customWidth="1"/>
    <col min="106" max="106" width="11.453125" style="21" customWidth="1"/>
    <col min="107" max="118" width="11.453125" style="12" customWidth="1"/>
    <col min="119" max="119" width="11.453125" style="21" customWidth="1"/>
    <col min="120" max="16384" width="11.453125" style="21"/>
  </cols>
  <sheetData>
    <row r="1" spans="1:10" x14ac:dyDescent="0.3">
      <c r="A1" s="1824" t="s">
        <v>292</v>
      </c>
      <c r="B1" s="1824"/>
      <c r="C1" s="1824"/>
      <c r="D1" s="1824"/>
      <c r="E1" s="1824"/>
      <c r="F1" s="1824"/>
      <c r="G1" s="1824"/>
      <c r="H1" s="1825" t="s">
        <v>293</v>
      </c>
      <c r="I1" s="1825"/>
      <c r="J1" s="1825"/>
    </row>
    <row r="2" spans="1:10" x14ac:dyDescent="0.3">
      <c r="A2" s="1826" t="s">
        <v>294</v>
      </c>
      <c r="B2" s="1826"/>
      <c r="C2" s="22" t="s">
        <v>231</v>
      </c>
      <c r="D2" s="22" t="s">
        <v>232</v>
      </c>
      <c r="E2" s="22" t="s">
        <v>233</v>
      </c>
      <c r="F2" s="22" t="s">
        <v>234</v>
      </c>
      <c r="G2" s="22" t="s">
        <v>295</v>
      </c>
      <c r="H2" s="878" t="s">
        <v>232</v>
      </c>
      <c r="I2" s="22" t="s">
        <v>234</v>
      </c>
      <c r="J2" s="22" t="s">
        <v>295</v>
      </c>
    </row>
    <row r="3" spans="1:10" x14ac:dyDescent="0.3">
      <c r="A3" s="1827" t="s">
        <v>135</v>
      </c>
      <c r="B3" s="1827"/>
      <c r="C3" s="109">
        <v>0</v>
      </c>
      <c r="D3" s="627">
        <v>0</v>
      </c>
      <c r="E3" s="879">
        <v>0</v>
      </c>
      <c r="F3" s="476">
        <f>'Introducció dades'!F154</f>
        <v>0.21</v>
      </c>
      <c r="G3" s="15">
        <f t="shared" ref="G3:G14" si="0">D3*C3</f>
        <v>0</v>
      </c>
      <c r="H3" s="880">
        <f>D3*(1-E3)</f>
        <v>0</v>
      </c>
      <c r="I3" s="476">
        <f>'Introducció dades'!G154</f>
        <v>0.21</v>
      </c>
      <c r="J3" s="15">
        <f t="shared" ref="J3:J14" si="1">C3*H3</f>
        <v>0</v>
      </c>
    </row>
    <row r="4" spans="1:10" x14ac:dyDescent="0.3">
      <c r="A4" s="1827" t="s">
        <v>137</v>
      </c>
      <c r="B4" s="1827"/>
      <c r="C4" s="109">
        <v>0</v>
      </c>
      <c r="D4" s="627">
        <v>0</v>
      </c>
      <c r="E4" s="879">
        <v>0</v>
      </c>
      <c r="F4" s="476">
        <f>'Introducció dades'!F155</f>
        <v>0.21</v>
      </c>
      <c r="G4" s="15">
        <f t="shared" si="0"/>
        <v>0</v>
      </c>
      <c r="H4" s="880">
        <f t="shared" ref="H4:H14" si="2">D4*(1-E4)</f>
        <v>0</v>
      </c>
      <c r="I4" s="476">
        <f>'Introducció dades'!G155</f>
        <v>0.21</v>
      </c>
      <c r="J4" s="15">
        <f t="shared" si="1"/>
        <v>0</v>
      </c>
    </row>
    <row r="5" spans="1:10" x14ac:dyDescent="0.3">
      <c r="A5" s="1827" t="s">
        <v>139</v>
      </c>
      <c r="B5" s="1827"/>
      <c r="C5" s="109">
        <v>0</v>
      </c>
      <c r="D5" s="627">
        <v>0</v>
      </c>
      <c r="E5" s="879">
        <v>0</v>
      </c>
      <c r="F5" s="476">
        <f>'Introducció dades'!F156</f>
        <v>0.21</v>
      </c>
      <c r="G5" s="15">
        <f t="shared" si="0"/>
        <v>0</v>
      </c>
      <c r="H5" s="880">
        <f t="shared" si="2"/>
        <v>0</v>
      </c>
      <c r="I5" s="476">
        <f>'Introducció dades'!G156</f>
        <v>0.21</v>
      </c>
      <c r="J5" s="15">
        <f t="shared" si="1"/>
        <v>0</v>
      </c>
    </row>
    <row r="6" spans="1:10" x14ac:dyDescent="0.3">
      <c r="A6" s="1827" t="s">
        <v>136</v>
      </c>
      <c r="B6" s="1827"/>
      <c r="C6" s="109">
        <v>0</v>
      </c>
      <c r="D6" s="627">
        <v>0</v>
      </c>
      <c r="E6" s="879">
        <v>0</v>
      </c>
      <c r="F6" s="476">
        <f>'Introducció dades'!F157</f>
        <v>0.21</v>
      </c>
      <c r="G6" s="15">
        <f t="shared" si="0"/>
        <v>0</v>
      </c>
      <c r="H6" s="880">
        <f t="shared" si="2"/>
        <v>0</v>
      </c>
      <c r="I6" s="476">
        <f>'Introducció dades'!G157</f>
        <v>0.21</v>
      </c>
      <c r="J6" s="15">
        <f t="shared" si="1"/>
        <v>0</v>
      </c>
    </row>
    <row r="7" spans="1:10" x14ac:dyDescent="0.3">
      <c r="A7" s="1827" t="s">
        <v>138</v>
      </c>
      <c r="B7" s="1827"/>
      <c r="C7" s="109">
        <v>0</v>
      </c>
      <c r="D7" s="627">
        <v>0</v>
      </c>
      <c r="E7" s="879">
        <v>0</v>
      </c>
      <c r="F7" s="476">
        <f>'Introducció dades'!F158</f>
        <v>0.21</v>
      </c>
      <c r="G7" s="15">
        <f t="shared" si="0"/>
        <v>0</v>
      </c>
      <c r="H7" s="880">
        <f t="shared" si="2"/>
        <v>0</v>
      </c>
      <c r="I7" s="476">
        <f>'Introducció dades'!G158</f>
        <v>0.21</v>
      </c>
      <c r="J7" s="15">
        <f t="shared" si="1"/>
        <v>0</v>
      </c>
    </row>
    <row r="8" spans="1:10" x14ac:dyDescent="0.3">
      <c r="A8" s="1827" t="s">
        <v>140</v>
      </c>
      <c r="B8" s="1827"/>
      <c r="C8" s="109">
        <v>0</v>
      </c>
      <c r="D8" s="627">
        <v>0</v>
      </c>
      <c r="E8" s="879">
        <v>0</v>
      </c>
      <c r="F8" s="476">
        <f>'Introducció dades'!F159</f>
        <v>0.21</v>
      </c>
      <c r="G8" s="15">
        <f t="shared" si="0"/>
        <v>0</v>
      </c>
      <c r="H8" s="880">
        <f t="shared" si="2"/>
        <v>0</v>
      </c>
      <c r="I8" s="476">
        <f>'Introducció dades'!G159</f>
        <v>0.21</v>
      </c>
      <c r="J8" s="15">
        <f t="shared" si="1"/>
        <v>0</v>
      </c>
    </row>
    <row r="9" spans="1:10" x14ac:dyDescent="0.3">
      <c r="A9" s="1827" t="s">
        <v>141</v>
      </c>
      <c r="B9" s="1827"/>
      <c r="C9" s="109">
        <v>0</v>
      </c>
      <c r="D9" s="627">
        <v>0</v>
      </c>
      <c r="E9" s="879">
        <v>0</v>
      </c>
      <c r="F9" s="476">
        <f>'Introducció dades'!F160</f>
        <v>0.21</v>
      </c>
      <c r="G9" s="15">
        <f t="shared" si="0"/>
        <v>0</v>
      </c>
      <c r="H9" s="880">
        <f t="shared" si="2"/>
        <v>0</v>
      </c>
      <c r="I9" s="476">
        <f>'Introducció dades'!G160</f>
        <v>0.21</v>
      </c>
      <c r="J9" s="15">
        <f t="shared" si="1"/>
        <v>0</v>
      </c>
    </row>
    <row r="10" spans="1:10" x14ac:dyDescent="0.3">
      <c r="A10" s="1827" t="s">
        <v>142</v>
      </c>
      <c r="B10" s="1827"/>
      <c r="C10" s="109">
        <v>0</v>
      </c>
      <c r="D10" s="627">
        <v>0</v>
      </c>
      <c r="E10" s="879">
        <v>0</v>
      </c>
      <c r="F10" s="476">
        <f>'Introducció dades'!F161</f>
        <v>0.21</v>
      </c>
      <c r="G10" s="15">
        <f t="shared" si="0"/>
        <v>0</v>
      </c>
      <c r="H10" s="880">
        <f t="shared" si="2"/>
        <v>0</v>
      </c>
      <c r="I10" s="476">
        <f>'Introducció dades'!G161</f>
        <v>0.21</v>
      </c>
      <c r="J10" s="15">
        <f t="shared" si="1"/>
        <v>0</v>
      </c>
    </row>
    <row r="11" spans="1:10" x14ac:dyDescent="0.3">
      <c r="A11" s="1827" t="s">
        <v>143</v>
      </c>
      <c r="B11" s="1827"/>
      <c r="C11" s="109">
        <v>0</v>
      </c>
      <c r="D11" s="627">
        <v>0</v>
      </c>
      <c r="E11" s="879">
        <v>0</v>
      </c>
      <c r="F11" s="476">
        <f>'Introducció dades'!F162</f>
        <v>0.21</v>
      </c>
      <c r="G11" s="15">
        <f t="shared" si="0"/>
        <v>0</v>
      </c>
      <c r="H11" s="880">
        <f t="shared" si="2"/>
        <v>0</v>
      </c>
      <c r="I11" s="476">
        <f>'Introducció dades'!G162</f>
        <v>0.21</v>
      </c>
      <c r="J11" s="15">
        <f t="shared" si="1"/>
        <v>0</v>
      </c>
    </row>
    <row r="12" spans="1:10" x14ac:dyDescent="0.3">
      <c r="A12" s="1827" t="s">
        <v>144</v>
      </c>
      <c r="B12" s="1827"/>
      <c r="C12" s="109">
        <v>0</v>
      </c>
      <c r="D12" s="627">
        <v>0</v>
      </c>
      <c r="E12" s="879">
        <v>0</v>
      </c>
      <c r="F12" s="476">
        <f>'Introducció dades'!F163</f>
        <v>0.21</v>
      </c>
      <c r="G12" s="15">
        <f t="shared" si="0"/>
        <v>0</v>
      </c>
      <c r="H12" s="880">
        <f t="shared" si="2"/>
        <v>0</v>
      </c>
      <c r="I12" s="476">
        <f>'Introducció dades'!G163</f>
        <v>0.21</v>
      </c>
      <c r="J12" s="15">
        <f t="shared" si="1"/>
        <v>0</v>
      </c>
    </row>
    <row r="13" spans="1:10" x14ac:dyDescent="0.3">
      <c r="A13" s="1827" t="s">
        <v>145</v>
      </c>
      <c r="B13" s="1827"/>
      <c r="C13" s="109">
        <v>0</v>
      </c>
      <c r="D13" s="627">
        <v>0</v>
      </c>
      <c r="E13" s="879">
        <v>0</v>
      </c>
      <c r="F13" s="476">
        <f>'Introducció dades'!F164</f>
        <v>0.21</v>
      </c>
      <c r="G13" s="15">
        <f t="shared" si="0"/>
        <v>0</v>
      </c>
      <c r="H13" s="880">
        <f t="shared" si="2"/>
        <v>0</v>
      </c>
      <c r="I13" s="476">
        <f>'Introducció dades'!G164</f>
        <v>0.21</v>
      </c>
      <c r="J13" s="15">
        <f t="shared" si="1"/>
        <v>0</v>
      </c>
    </row>
    <row r="14" spans="1:10" x14ac:dyDescent="0.3">
      <c r="A14" s="1827" t="s">
        <v>146</v>
      </c>
      <c r="B14" s="1827"/>
      <c r="C14" s="109">
        <v>0</v>
      </c>
      <c r="D14" s="627">
        <v>0</v>
      </c>
      <c r="E14" s="879">
        <v>0</v>
      </c>
      <c r="F14" s="476">
        <f>'Introducció dades'!F165</f>
        <v>0.21</v>
      </c>
      <c r="G14" s="15">
        <f t="shared" si="0"/>
        <v>0</v>
      </c>
      <c r="H14" s="880">
        <f t="shared" si="2"/>
        <v>0</v>
      </c>
      <c r="I14" s="476">
        <f>'Introducció dades'!G165</f>
        <v>0.21</v>
      </c>
      <c r="J14" s="15">
        <f t="shared" si="1"/>
        <v>0</v>
      </c>
    </row>
    <row r="15" spans="1:10" x14ac:dyDescent="0.3">
      <c r="A15"/>
      <c r="B15" s="1779" t="s">
        <v>296</v>
      </c>
      <c r="C15" s="1779"/>
      <c r="D15" s="1779"/>
      <c r="E15" s="1779"/>
      <c r="F15" s="1779"/>
      <c r="G15" s="881">
        <f>SUM(G3:G14)</f>
        <v>0</v>
      </c>
      <c r="H15" s="1828"/>
      <c r="I15" s="1828"/>
      <c r="J15" s="882">
        <f>SUM(J3:J14)</f>
        <v>0</v>
      </c>
    </row>
    <row r="17" spans="1:122" ht="12.5" x14ac:dyDescent="0.25">
      <c r="A17" s="1829" t="s">
        <v>297</v>
      </c>
      <c r="B17" s="1830" t="s">
        <v>298</v>
      </c>
    </row>
    <row r="18" spans="1:122" x14ac:dyDescent="0.3">
      <c r="A18" s="1829"/>
      <c r="B18" s="1830"/>
      <c r="C18" s="1831" t="str">
        <f>$A3</f>
        <v>A</v>
      </c>
      <c r="D18" s="1831"/>
      <c r="E18" s="1831"/>
      <c r="F18" s="1831"/>
      <c r="G18" s="1831"/>
      <c r="H18" s="1831"/>
      <c r="I18" s="1831"/>
      <c r="J18" s="1831"/>
      <c r="K18" s="1832" t="str">
        <f>$A4</f>
        <v>B</v>
      </c>
      <c r="L18" s="1832"/>
      <c r="M18" s="1832"/>
      <c r="N18" s="1832"/>
      <c r="O18" s="1832"/>
      <c r="P18" s="1832"/>
      <c r="Q18" s="1832"/>
      <c r="R18" s="1832"/>
      <c r="S18" s="1831" t="str">
        <f>$A5</f>
        <v>C</v>
      </c>
      <c r="T18" s="1831"/>
      <c r="U18" s="1831"/>
      <c r="V18" s="1831"/>
      <c r="W18" s="1831"/>
      <c r="X18" s="1831"/>
      <c r="Y18" s="1831"/>
      <c r="Z18" s="1831"/>
      <c r="AA18" s="1832" t="str">
        <f>$A6</f>
        <v>D</v>
      </c>
      <c r="AB18" s="1832"/>
      <c r="AC18" s="1832"/>
      <c r="AD18" s="1832"/>
      <c r="AE18" s="1832"/>
      <c r="AF18" s="1832"/>
      <c r="AG18" s="1832"/>
      <c r="AH18" s="1832"/>
      <c r="AI18" s="1831" t="str">
        <f>$A7</f>
        <v>E</v>
      </c>
      <c r="AJ18" s="1831"/>
      <c r="AK18" s="1831"/>
      <c r="AL18" s="1831"/>
      <c r="AM18" s="1831"/>
      <c r="AN18" s="1831"/>
      <c r="AO18" s="1831"/>
      <c r="AP18" s="1831"/>
      <c r="AQ18" s="1832" t="str">
        <f>$A8</f>
        <v>F</v>
      </c>
      <c r="AR18" s="1832"/>
      <c r="AS18" s="1832"/>
      <c r="AT18" s="1832"/>
      <c r="AU18" s="1832"/>
      <c r="AV18" s="1832"/>
      <c r="AW18" s="1832"/>
      <c r="AX18" s="1832"/>
      <c r="AY18" s="1831" t="str">
        <f>$A9</f>
        <v>G</v>
      </c>
      <c r="AZ18" s="1831"/>
      <c r="BA18" s="1831"/>
      <c r="BB18" s="1831"/>
      <c r="BC18" s="1831"/>
      <c r="BD18" s="1831"/>
      <c r="BE18" s="1831"/>
      <c r="BF18" s="1831"/>
      <c r="BG18" s="1832" t="str">
        <f>$A10</f>
        <v>H</v>
      </c>
      <c r="BH18" s="1832"/>
      <c r="BI18" s="1832"/>
      <c r="BJ18" s="1832"/>
      <c r="BK18" s="1832"/>
      <c r="BL18" s="1832"/>
      <c r="BM18" s="1832"/>
      <c r="BN18" s="1832"/>
      <c r="BO18" s="1831" t="str">
        <f>$A11</f>
        <v>I</v>
      </c>
      <c r="BP18" s="1831"/>
      <c r="BQ18" s="1831"/>
      <c r="BR18" s="1831"/>
      <c r="BS18" s="1831"/>
      <c r="BT18" s="1831"/>
      <c r="BU18" s="1831"/>
      <c r="BV18" s="1831"/>
      <c r="BW18" s="1832" t="str">
        <f>$A12</f>
        <v>J</v>
      </c>
      <c r="BX18" s="1832"/>
      <c r="BY18" s="1832"/>
      <c r="BZ18" s="1832"/>
      <c r="CA18" s="1832"/>
      <c r="CB18" s="1832"/>
      <c r="CC18" s="1832"/>
      <c r="CD18" s="1832"/>
      <c r="CE18" s="1831" t="str">
        <f>$A13</f>
        <v>K</v>
      </c>
      <c r="CF18" s="1831"/>
      <c r="CG18" s="1831"/>
      <c r="CH18" s="1831"/>
      <c r="CI18" s="1831"/>
      <c r="CJ18" s="1831"/>
      <c r="CK18" s="1831"/>
      <c r="CL18" s="1831"/>
      <c r="CM18" s="1832" t="str">
        <f>$A14</f>
        <v>L</v>
      </c>
      <c r="CN18" s="1832"/>
      <c r="CO18" s="1832"/>
      <c r="CP18" s="1832"/>
      <c r="CQ18" s="1832"/>
      <c r="CR18" s="1832"/>
      <c r="CS18" s="1832"/>
      <c r="CT18" s="1832"/>
      <c r="CU18" s="1833" t="s">
        <v>245</v>
      </c>
      <c r="CV18" s="1833"/>
      <c r="CW18" s="1833"/>
      <c r="CX18" s="1833"/>
      <c r="CY18" s="1833"/>
      <c r="CZ18" s="1833"/>
      <c r="DA18" s="1833"/>
      <c r="DB18" s="26"/>
    </row>
    <row r="19" spans="1:122" ht="26" x14ac:dyDescent="0.3">
      <c r="A19" s="884"/>
      <c r="B19" s="122"/>
      <c r="C19" s="885" t="s">
        <v>299</v>
      </c>
      <c r="D19" s="885" t="s">
        <v>300</v>
      </c>
      <c r="E19" s="885" t="s">
        <v>301</v>
      </c>
      <c r="F19" s="885" t="s">
        <v>302</v>
      </c>
      <c r="G19" s="886" t="s">
        <v>303</v>
      </c>
      <c r="H19" s="886" t="s">
        <v>304</v>
      </c>
      <c r="I19" s="885" t="s">
        <v>305</v>
      </c>
      <c r="J19" s="885" t="s">
        <v>306</v>
      </c>
      <c r="K19" s="887" t="s">
        <v>299</v>
      </c>
      <c r="L19" s="887" t="s">
        <v>300</v>
      </c>
      <c r="M19" s="887" t="s">
        <v>301</v>
      </c>
      <c r="N19" s="887" t="s">
        <v>302</v>
      </c>
      <c r="O19" s="888" t="s">
        <v>303</v>
      </c>
      <c r="P19" s="888" t="s">
        <v>304</v>
      </c>
      <c r="Q19" s="887" t="s">
        <v>305</v>
      </c>
      <c r="R19" s="887" t="s">
        <v>306</v>
      </c>
      <c r="S19" s="885" t="s">
        <v>299</v>
      </c>
      <c r="T19" s="885" t="s">
        <v>300</v>
      </c>
      <c r="U19" s="885" t="s">
        <v>301</v>
      </c>
      <c r="V19" s="885" t="s">
        <v>302</v>
      </c>
      <c r="W19" s="886" t="s">
        <v>303</v>
      </c>
      <c r="X19" s="886" t="s">
        <v>304</v>
      </c>
      <c r="Y19" s="885" t="s">
        <v>305</v>
      </c>
      <c r="Z19" s="885" t="s">
        <v>306</v>
      </c>
      <c r="AA19" s="887" t="s">
        <v>299</v>
      </c>
      <c r="AB19" s="887" t="s">
        <v>300</v>
      </c>
      <c r="AC19" s="887" t="s">
        <v>301</v>
      </c>
      <c r="AD19" s="887" t="s">
        <v>302</v>
      </c>
      <c r="AE19" s="888" t="s">
        <v>303</v>
      </c>
      <c r="AF19" s="888" t="s">
        <v>304</v>
      </c>
      <c r="AG19" s="887" t="s">
        <v>305</v>
      </c>
      <c r="AH19" s="887" t="s">
        <v>306</v>
      </c>
      <c r="AI19" s="885" t="s">
        <v>299</v>
      </c>
      <c r="AJ19" s="885" t="s">
        <v>300</v>
      </c>
      <c r="AK19" s="885" t="s">
        <v>301</v>
      </c>
      <c r="AL19" s="885" t="s">
        <v>302</v>
      </c>
      <c r="AM19" s="886" t="s">
        <v>303</v>
      </c>
      <c r="AN19" s="886" t="s">
        <v>304</v>
      </c>
      <c r="AO19" s="885" t="s">
        <v>305</v>
      </c>
      <c r="AP19" s="885" t="s">
        <v>306</v>
      </c>
      <c r="AQ19" s="887" t="s">
        <v>299</v>
      </c>
      <c r="AR19" s="887" t="s">
        <v>300</v>
      </c>
      <c r="AS19" s="887" t="s">
        <v>301</v>
      </c>
      <c r="AT19" s="887" t="s">
        <v>302</v>
      </c>
      <c r="AU19" s="888" t="s">
        <v>303</v>
      </c>
      <c r="AV19" s="888" t="s">
        <v>304</v>
      </c>
      <c r="AW19" s="887" t="s">
        <v>305</v>
      </c>
      <c r="AX19" s="887" t="s">
        <v>306</v>
      </c>
      <c r="AY19" s="885" t="s">
        <v>299</v>
      </c>
      <c r="AZ19" s="885" t="s">
        <v>300</v>
      </c>
      <c r="BA19" s="885" t="s">
        <v>301</v>
      </c>
      <c r="BB19" s="885" t="s">
        <v>302</v>
      </c>
      <c r="BC19" s="886" t="s">
        <v>303</v>
      </c>
      <c r="BD19" s="886" t="s">
        <v>304</v>
      </c>
      <c r="BE19" s="885" t="s">
        <v>305</v>
      </c>
      <c r="BF19" s="885" t="s">
        <v>306</v>
      </c>
      <c r="BG19" s="887" t="s">
        <v>299</v>
      </c>
      <c r="BH19" s="887" t="s">
        <v>300</v>
      </c>
      <c r="BI19" s="887" t="s">
        <v>301</v>
      </c>
      <c r="BJ19" s="887" t="s">
        <v>302</v>
      </c>
      <c r="BK19" s="888" t="s">
        <v>303</v>
      </c>
      <c r="BL19" s="888" t="s">
        <v>304</v>
      </c>
      <c r="BM19" s="887" t="s">
        <v>305</v>
      </c>
      <c r="BN19" s="887" t="s">
        <v>306</v>
      </c>
      <c r="BO19" s="885" t="s">
        <v>299</v>
      </c>
      <c r="BP19" s="885" t="s">
        <v>300</v>
      </c>
      <c r="BQ19" s="885" t="s">
        <v>301</v>
      </c>
      <c r="BR19" s="885" t="s">
        <v>302</v>
      </c>
      <c r="BS19" s="886" t="s">
        <v>303</v>
      </c>
      <c r="BT19" s="886" t="s">
        <v>304</v>
      </c>
      <c r="BU19" s="885" t="s">
        <v>305</v>
      </c>
      <c r="BV19" s="885" t="s">
        <v>306</v>
      </c>
      <c r="BW19" s="887" t="s">
        <v>299</v>
      </c>
      <c r="BX19" s="887" t="s">
        <v>300</v>
      </c>
      <c r="BY19" s="887" t="s">
        <v>301</v>
      </c>
      <c r="BZ19" s="887" t="s">
        <v>302</v>
      </c>
      <c r="CA19" s="888" t="s">
        <v>303</v>
      </c>
      <c r="CB19" s="888" t="s">
        <v>304</v>
      </c>
      <c r="CC19" s="887" t="s">
        <v>305</v>
      </c>
      <c r="CD19" s="887" t="s">
        <v>306</v>
      </c>
      <c r="CE19" s="885" t="s">
        <v>299</v>
      </c>
      <c r="CF19" s="885" t="s">
        <v>300</v>
      </c>
      <c r="CG19" s="885" t="s">
        <v>301</v>
      </c>
      <c r="CH19" s="885" t="s">
        <v>302</v>
      </c>
      <c r="CI19" s="886" t="s">
        <v>303</v>
      </c>
      <c r="CJ19" s="886" t="s">
        <v>304</v>
      </c>
      <c r="CK19" s="885" t="s">
        <v>305</v>
      </c>
      <c r="CL19" s="885" t="s">
        <v>306</v>
      </c>
      <c r="CM19" s="887" t="s">
        <v>299</v>
      </c>
      <c r="CN19" s="887" t="s">
        <v>300</v>
      </c>
      <c r="CO19" s="887" t="s">
        <v>301</v>
      </c>
      <c r="CP19" s="887" t="s">
        <v>302</v>
      </c>
      <c r="CQ19" s="888" t="s">
        <v>303</v>
      </c>
      <c r="CR19" s="888" t="s">
        <v>304</v>
      </c>
      <c r="CS19" s="887" t="s">
        <v>305</v>
      </c>
      <c r="CT19" s="887" t="s">
        <v>306</v>
      </c>
      <c r="CU19" s="889" t="s">
        <v>301</v>
      </c>
      <c r="CV19" s="889" t="s">
        <v>302</v>
      </c>
      <c r="CW19" s="889" t="s">
        <v>305</v>
      </c>
      <c r="CX19" s="889" t="s">
        <v>306</v>
      </c>
      <c r="CY19" s="889" t="s">
        <v>307</v>
      </c>
      <c r="CZ19" s="889" t="s">
        <v>308</v>
      </c>
      <c r="DA19" s="889" t="s">
        <v>309</v>
      </c>
      <c r="DB19" s="890"/>
    </row>
    <row r="20" spans="1:122" x14ac:dyDescent="0.3">
      <c r="A20" s="1834" t="s">
        <v>17</v>
      </c>
      <c r="B20" s="1834"/>
      <c r="C20" s="891"/>
      <c r="D20" s="891"/>
      <c r="E20" s="891"/>
      <c r="F20" s="892"/>
      <c r="G20" s="893"/>
      <c r="H20" s="893"/>
      <c r="I20" s="891"/>
      <c r="J20" s="891"/>
      <c r="K20" s="894"/>
      <c r="L20" s="894"/>
      <c r="M20" s="894"/>
      <c r="N20" s="895"/>
      <c r="O20" s="896"/>
      <c r="P20" s="896"/>
      <c r="Q20" s="894"/>
      <c r="R20" s="894"/>
      <c r="S20" s="891"/>
      <c r="T20" s="891"/>
      <c r="U20" s="891"/>
      <c r="V20" s="892"/>
      <c r="W20" s="893"/>
      <c r="X20" s="893"/>
      <c r="Y20" s="891"/>
      <c r="Z20" s="891"/>
      <c r="AA20" s="894"/>
      <c r="AB20" s="894"/>
      <c r="AC20" s="894"/>
      <c r="AD20" s="895"/>
      <c r="AE20" s="896"/>
      <c r="AF20" s="896"/>
      <c r="AG20" s="894"/>
      <c r="AH20" s="894"/>
      <c r="AI20" s="891"/>
      <c r="AJ20" s="891"/>
      <c r="AK20" s="891"/>
      <c r="AL20" s="892"/>
      <c r="AM20" s="893"/>
      <c r="AN20" s="893"/>
      <c r="AO20" s="891"/>
      <c r="AP20" s="891"/>
      <c r="AQ20" s="894"/>
      <c r="AR20" s="894"/>
      <c r="AS20" s="894"/>
      <c r="AT20" s="895"/>
      <c r="AU20" s="896"/>
      <c r="AV20" s="896"/>
      <c r="AW20" s="894"/>
      <c r="AX20" s="894"/>
      <c r="AY20" s="891"/>
      <c r="AZ20" s="891"/>
      <c r="BA20" s="891"/>
      <c r="BB20" s="892"/>
      <c r="BC20" s="893"/>
      <c r="BD20" s="893"/>
      <c r="BE20" s="891"/>
      <c r="BF20" s="891"/>
      <c r="BG20" s="894"/>
      <c r="BH20" s="894"/>
      <c r="BI20" s="894"/>
      <c r="BJ20" s="895"/>
      <c r="BK20" s="896"/>
      <c r="BL20" s="896"/>
      <c r="BM20" s="894"/>
      <c r="BN20" s="894"/>
      <c r="BO20" s="891"/>
      <c r="BP20" s="891"/>
      <c r="BQ20" s="891"/>
      <c r="BR20" s="892"/>
      <c r="BS20" s="893"/>
      <c r="BT20" s="893"/>
      <c r="BU20" s="891"/>
      <c r="BV20" s="891"/>
      <c r="BW20" s="894"/>
      <c r="BX20" s="894"/>
      <c r="BY20" s="894"/>
      <c r="BZ20" s="895"/>
      <c r="CA20" s="896"/>
      <c r="CB20" s="896"/>
      <c r="CC20" s="894"/>
      <c r="CD20" s="894"/>
      <c r="CE20" s="891"/>
      <c r="CF20" s="891"/>
      <c r="CG20" s="891"/>
      <c r="CH20" s="892"/>
      <c r="CI20" s="893"/>
      <c r="CJ20" s="893"/>
      <c r="CK20" s="891"/>
      <c r="CL20" s="891"/>
      <c r="CM20" s="894"/>
      <c r="CN20" s="894"/>
      <c r="CO20" s="894"/>
      <c r="CP20" s="895"/>
      <c r="CQ20" s="896"/>
      <c r="CR20" s="896"/>
      <c r="CS20" s="894"/>
      <c r="CT20" s="894"/>
      <c r="CU20" s="891"/>
      <c r="CV20" s="891"/>
      <c r="CW20" s="891"/>
      <c r="CX20" s="891"/>
      <c r="CY20" s="891"/>
      <c r="CZ20" s="891"/>
      <c r="DA20" s="891"/>
      <c r="DB20" s="897"/>
      <c r="DC20" s="801" t="str">
        <f>TRIBUTS!K1</f>
        <v>GENER</v>
      </c>
      <c r="DD20" s="801" t="str">
        <f>TRIBUTS!L1</f>
        <v>FEBRER</v>
      </c>
      <c r="DE20" s="801" t="str">
        <f>TRIBUTS!M1</f>
        <v>MARÇ</v>
      </c>
      <c r="DF20" s="801" t="str">
        <f>TRIBUTS!N1</f>
        <v>ABRIL</v>
      </c>
      <c r="DG20" s="801" t="str">
        <f>TRIBUTS!O1</f>
        <v>MAIG</v>
      </c>
      <c r="DH20" s="801" t="str">
        <f>TRIBUTS!P1</f>
        <v>JUNY</v>
      </c>
      <c r="DI20" s="801" t="str">
        <f>TRIBUTS!Q1</f>
        <v>JULIOL</v>
      </c>
      <c r="DJ20" s="801" t="str">
        <f>TRIBUTS!R1</f>
        <v>AGOST</v>
      </c>
      <c r="DK20" s="801" t="str">
        <f>TRIBUTS!S1</f>
        <v>SETEMBRE</v>
      </c>
      <c r="DL20" s="801" t="str">
        <f>TRIBUTS!T1</f>
        <v>OCTUBRE</v>
      </c>
      <c r="DM20" s="801" t="str">
        <f>TRIBUTS!U1</f>
        <v>NOVEMBRE</v>
      </c>
      <c r="DN20" s="801" t="str">
        <f>TRIBUTS!V1</f>
        <v>DESEMBRE</v>
      </c>
      <c r="DO20" s="883" t="s">
        <v>245</v>
      </c>
      <c r="DP20" s="710"/>
      <c r="DQ20" s="710"/>
      <c r="DR20" s="710"/>
    </row>
    <row r="21" spans="1:122" x14ac:dyDescent="0.3">
      <c r="A21" s="1835" t="str">
        <f>TRIBUTS!K1</f>
        <v>GENER</v>
      </c>
      <c r="B21" s="108" t="s">
        <v>310</v>
      </c>
      <c r="C21" s="898">
        <v>0</v>
      </c>
      <c r="D21" s="899">
        <v>0</v>
      </c>
      <c r="E21" s="29">
        <f>C21*D21</f>
        <v>0</v>
      </c>
      <c r="F21" s="1836">
        <f>E21*$I$3</f>
        <v>0</v>
      </c>
      <c r="G21" s="1837">
        <f>E3</f>
        <v>0</v>
      </c>
      <c r="H21" s="1838">
        <v>0</v>
      </c>
      <c r="I21" s="1839">
        <f>E21*H21/(1-G21)</f>
        <v>0</v>
      </c>
      <c r="J21" s="1839">
        <f>I21*$F$3</f>
        <v>0</v>
      </c>
      <c r="K21" s="900">
        <v>0</v>
      </c>
      <c r="L21" s="901">
        <f>H4</f>
        <v>0</v>
      </c>
      <c r="M21" s="902">
        <f>K21*L21</f>
        <v>0</v>
      </c>
      <c r="N21" s="1840">
        <f>M21*$I$4</f>
        <v>0</v>
      </c>
      <c r="O21" s="1841">
        <f>E4</f>
        <v>0</v>
      </c>
      <c r="P21" s="1842">
        <v>0</v>
      </c>
      <c r="Q21" s="1843">
        <f>M21*P21/(1-O21)</f>
        <v>0</v>
      </c>
      <c r="R21" s="1843">
        <f>Q21*$F$4</f>
        <v>0</v>
      </c>
      <c r="S21" s="898">
        <v>0</v>
      </c>
      <c r="T21" s="899">
        <f>H5</f>
        <v>0</v>
      </c>
      <c r="U21" s="29">
        <f>S21*T21</f>
        <v>0</v>
      </c>
      <c r="V21" s="1836">
        <f>U21*$I$5</f>
        <v>0</v>
      </c>
      <c r="W21" s="1837">
        <f>E5</f>
        <v>0</v>
      </c>
      <c r="X21" s="1838">
        <v>0</v>
      </c>
      <c r="Y21" s="1839">
        <f>U21*X21/(1-W21)</f>
        <v>0</v>
      </c>
      <c r="Z21" s="1839">
        <f>Y21*$F$5</f>
        <v>0</v>
      </c>
      <c r="AA21" s="900">
        <v>0</v>
      </c>
      <c r="AB21" s="901">
        <f>H6</f>
        <v>0</v>
      </c>
      <c r="AC21" s="902">
        <f>AA21*AB21</f>
        <v>0</v>
      </c>
      <c r="AD21" s="1840">
        <f>AC21*$I$6</f>
        <v>0</v>
      </c>
      <c r="AE21" s="1841">
        <f>E6</f>
        <v>0</v>
      </c>
      <c r="AF21" s="1842">
        <v>0</v>
      </c>
      <c r="AG21" s="1843">
        <f>AC21*AF21/(1-AE21)</f>
        <v>0</v>
      </c>
      <c r="AH21" s="1843">
        <f>AG21*$F$6</f>
        <v>0</v>
      </c>
      <c r="AI21" s="898">
        <v>0</v>
      </c>
      <c r="AJ21" s="899">
        <f>H7</f>
        <v>0</v>
      </c>
      <c r="AK21" s="29">
        <f>AI21*AJ21</f>
        <v>0</v>
      </c>
      <c r="AL21" s="1836">
        <f>AK21*$I$7</f>
        <v>0</v>
      </c>
      <c r="AM21" s="1837">
        <f>E7</f>
        <v>0</v>
      </c>
      <c r="AN21" s="1838">
        <v>0</v>
      </c>
      <c r="AO21" s="1839">
        <f>AK21*AN21/(1-AM21)</f>
        <v>0</v>
      </c>
      <c r="AP21" s="1839">
        <f>AO21*$F$7</f>
        <v>0</v>
      </c>
      <c r="AQ21" s="900">
        <v>0</v>
      </c>
      <c r="AR21" s="901">
        <f>H8</f>
        <v>0</v>
      </c>
      <c r="AS21" s="902">
        <f>AQ21*AR21</f>
        <v>0</v>
      </c>
      <c r="AT21" s="1840">
        <f>AS21*$I$8</f>
        <v>0</v>
      </c>
      <c r="AU21" s="1841">
        <f>E8</f>
        <v>0</v>
      </c>
      <c r="AV21" s="1842">
        <v>0</v>
      </c>
      <c r="AW21" s="1843">
        <f>AS21*AV21/(1-AU21)</f>
        <v>0</v>
      </c>
      <c r="AX21" s="1843">
        <f>AW21*$F$8</f>
        <v>0</v>
      </c>
      <c r="AY21" s="898">
        <v>0</v>
      </c>
      <c r="AZ21" s="899">
        <f>H9</f>
        <v>0</v>
      </c>
      <c r="BA21" s="29">
        <f>AY21*AZ21</f>
        <v>0</v>
      </c>
      <c r="BB21" s="1836">
        <f>BA21*$I$9</f>
        <v>0</v>
      </c>
      <c r="BC21" s="1837">
        <f>E9</f>
        <v>0</v>
      </c>
      <c r="BD21" s="1838">
        <v>0</v>
      </c>
      <c r="BE21" s="1839">
        <f>BA21*BD21/(1-BC21)</f>
        <v>0</v>
      </c>
      <c r="BF21" s="1839">
        <f>BE21*$F$9</f>
        <v>0</v>
      </c>
      <c r="BG21" s="900">
        <v>0</v>
      </c>
      <c r="BH21" s="901">
        <f>H10</f>
        <v>0</v>
      </c>
      <c r="BI21" s="902">
        <f>BG21*BH21</f>
        <v>0</v>
      </c>
      <c r="BJ21" s="1840">
        <f>BI21*$I$10</f>
        <v>0</v>
      </c>
      <c r="BK21" s="1841">
        <f>E10</f>
        <v>0</v>
      </c>
      <c r="BL21" s="1842">
        <v>0</v>
      </c>
      <c r="BM21" s="1843">
        <f>BI21*BL21/(1-BK21)</f>
        <v>0</v>
      </c>
      <c r="BN21" s="1843">
        <f>BM21*$F$10</f>
        <v>0</v>
      </c>
      <c r="BO21" s="898">
        <v>0</v>
      </c>
      <c r="BP21" s="899">
        <f>H11</f>
        <v>0</v>
      </c>
      <c r="BQ21" s="29">
        <f>BO21*BP21</f>
        <v>0</v>
      </c>
      <c r="BR21" s="1836">
        <f>BQ21*$I$11</f>
        <v>0</v>
      </c>
      <c r="BS21" s="1837">
        <f>E11</f>
        <v>0</v>
      </c>
      <c r="BT21" s="1838">
        <v>0</v>
      </c>
      <c r="BU21" s="1839">
        <f>BQ21*BT21/(1-BS21)</f>
        <v>0</v>
      </c>
      <c r="BV21" s="1839">
        <f>BU21*$F$11</f>
        <v>0</v>
      </c>
      <c r="BW21" s="900">
        <v>0</v>
      </c>
      <c r="BX21" s="901">
        <f>H12</f>
        <v>0</v>
      </c>
      <c r="BY21" s="902">
        <f>BW21*BX21</f>
        <v>0</v>
      </c>
      <c r="BZ21" s="1840">
        <f>BY21*$I$12</f>
        <v>0</v>
      </c>
      <c r="CA21" s="1841">
        <f>E12</f>
        <v>0</v>
      </c>
      <c r="CB21" s="1842">
        <v>0</v>
      </c>
      <c r="CC21" s="1843">
        <f>BY21*CB21/(1-CA21)</f>
        <v>0</v>
      </c>
      <c r="CD21" s="1843">
        <f>CC21*$F$12</f>
        <v>0</v>
      </c>
      <c r="CE21" s="898">
        <v>0</v>
      </c>
      <c r="CF21" s="899">
        <f>H13</f>
        <v>0</v>
      </c>
      <c r="CG21" s="29">
        <f>CE21*CF21</f>
        <v>0</v>
      </c>
      <c r="CH21" s="1836">
        <f>CG21*$I$13</f>
        <v>0</v>
      </c>
      <c r="CI21" s="1837">
        <f>E13</f>
        <v>0</v>
      </c>
      <c r="CJ21" s="1838">
        <v>0</v>
      </c>
      <c r="CK21" s="1839">
        <f>CG21*CJ21/(1-CI21)</f>
        <v>0</v>
      </c>
      <c r="CL21" s="1839">
        <f>CK21*$F$13</f>
        <v>0</v>
      </c>
      <c r="CM21" s="900">
        <v>0</v>
      </c>
      <c r="CN21" s="901">
        <f>H14</f>
        <v>0</v>
      </c>
      <c r="CO21" s="902">
        <f>CM21*CN21</f>
        <v>0</v>
      </c>
      <c r="CP21" s="1840">
        <f>CO21*$I$14</f>
        <v>0</v>
      </c>
      <c r="CQ21" s="1841">
        <f>E14</f>
        <v>0</v>
      </c>
      <c r="CR21" s="1842">
        <v>0</v>
      </c>
      <c r="CS21" s="1843">
        <f>CO21*CR21/(1-CQ21)</f>
        <v>0</v>
      </c>
      <c r="CT21" s="1843">
        <f>CS21*$F$14</f>
        <v>0</v>
      </c>
      <c r="CU21" s="1844">
        <f>E21+M21+U21+AC21+AK21+AS21+BA21+BI21+BQ21+BY21+CG21+CO21</f>
        <v>0</v>
      </c>
      <c r="CV21" s="1844">
        <f>F21+N21+V21+AD21+AL21+AT21+BB21+BJ21+BR21+BZ21+CH21+CP21</f>
        <v>0</v>
      </c>
      <c r="CW21" s="1845">
        <f>I21+Q21+Y21+AG21+AO21+AW21+BE21+BM21+BU21+CC21+CK21+CS21</f>
        <v>0</v>
      </c>
      <c r="CX21" s="1844">
        <f>CT21+CL21+CD21+BV21+BN21+BF21+AX21+AP21+AH21+Z21+R21+J21</f>
        <v>0</v>
      </c>
      <c r="CY21" s="1845">
        <v>0</v>
      </c>
      <c r="CZ21" s="1845">
        <f>E23+M23+U23+AC23+AK23+AS23+BA23+BI23+BQ23+BY23+CG23+CO23</f>
        <v>0</v>
      </c>
      <c r="DA21" s="1845">
        <f>CZ21-CY21</f>
        <v>0</v>
      </c>
      <c r="DB21" s="903" t="s">
        <v>311</v>
      </c>
      <c r="DC21" s="904">
        <f>CW21</f>
        <v>0</v>
      </c>
      <c r="DD21" s="794">
        <f>CW24</f>
        <v>0</v>
      </c>
      <c r="DE21" s="794">
        <f>CW29</f>
        <v>0</v>
      </c>
      <c r="DF21" s="794">
        <f>CW34</f>
        <v>0</v>
      </c>
      <c r="DG21" s="794">
        <f>CW39</f>
        <v>0</v>
      </c>
      <c r="DH21" s="794">
        <f>CW44</f>
        <v>0</v>
      </c>
      <c r="DI21" s="794">
        <f>CW49</f>
        <v>0</v>
      </c>
      <c r="DJ21" s="794">
        <f>CW54</f>
        <v>0</v>
      </c>
      <c r="DK21" s="794">
        <f>CW59</f>
        <v>0</v>
      </c>
      <c r="DL21" s="794">
        <f>CW64</f>
        <v>0</v>
      </c>
      <c r="DM21" s="794">
        <f>CW69</f>
        <v>0</v>
      </c>
      <c r="DN21" s="794">
        <f>CW74</f>
        <v>0</v>
      </c>
      <c r="DO21" s="905">
        <f>SUM(DC21:DN21)</f>
        <v>0</v>
      </c>
    </row>
    <row r="22" spans="1:122" x14ac:dyDescent="0.3">
      <c r="A22" s="1835"/>
      <c r="B22" s="108" t="s">
        <v>312</v>
      </c>
      <c r="C22" s="906">
        <f>C21*H21</f>
        <v>0</v>
      </c>
      <c r="D22" s="29">
        <f>IF(C22=0,0,E22/C22)</f>
        <v>0</v>
      </c>
      <c r="E22" s="29">
        <f>I21*(1-G21)</f>
        <v>0</v>
      </c>
      <c r="F22" s="1836"/>
      <c r="G22" s="1837"/>
      <c r="H22" s="1838"/>
      <c r="I22" s="1839"/>
      <c r="J22" s="1839"/>
      <c r="K22" s="907">
        <f>K21*P21</f>
        <v>0</v>
      </c>
      <c r="L22" s="902">
        <f>IF(K22=0,0,M22/K22)</f>
        <v>0</v>
      </c>
      <c r="M22" s="902">
        <f>Q21*(1-O21)</f>
        <v>0</v>
      </c>
      <c r="N22" s="1840"/>
      <c r="O22" s="1841"/>
      <c r="P22" s="1842"/>
      <c r="Q22" s="1843"/>
      <c r="R22" s="1843"/>
      <c r="S22" s="906">
        <f>S21*X21</f>
        <v>0</v>
      </c>
      <c r="T22" s="29">
        <f>IF(S22=0,0,U22/S22)</f>
        <v>0</v>
      </c>
      <c r="U22" s="29">
        <f>Y21*(1-W21)</f>
        <v>0</v>
      </c>
      <c r="V22" s="1836"/>
      <c r="W22" s="1837"/>
      <c r="X22" s="1838"/>
      <c r="Y22" s="1839"/>
      <c r="Z22" s="1839"/>
      <c r="AA22" s="907">
        <f>AA21*AF21</f>
        <v>0</v>
      </c>
      <c r="AB22" s="902">
        <f>IF(AA22=0,0,AC22/AA22)</f>
        <v>0</v>
      </c>
      <c r="AC22" s="902">
        <f>AG21*(1-AE21)</f>
        <v>0</v>
      </c>
      <c r="AD22" s="1840"/>
      <c r="AE22" s="1841"/>
      <c r="AF22" s="1842"/>
      <c r="AG22" s="1843"/>
      <c r="AH22" s="1843"/>
      <c r="AI22" s="906">
        <f>AI21*AN21</f>
        <v>0</v>
      </c>
      <c r="AJ22" s="29">
        <f>IF(AI22=0,0,AK22/AI22)</f>
        <v>0</v>
      </c>
      <c r="AK22" s="29">
        <f>AO21*(1-AM21)</f>
        <v>0</v>
      </c>
      <c r="AL22" s="1836"/>
      <c r="AM22" s="1837"/>
      <c r="AN22" s="1838"/>
      <c r="AO22" s="1839"/>
      <c r="AP22" s="1839"/>
      <c r="AQ22" s="907">
        <f>AQ21*AV21</f>
        <v>0</v>
      </c>
      <c r="AR22" s="902">
        <f>IF(AQ22=0,0,AS22/AQ22)</f>
        <v>0</v>
      </c>
      <c r="AS22" s="902">
        <f>AW21*(1-AU21)</f>
        <v>0</v>
      </c>
      <c r="AT22" s="1840"/>
      <c r="AU22" s="1841"/>
      <c r="AV22" s="1842"/>
      <c r="AW22" s="1843"/>
      <c r="AX22" s="1843"/>
      <c r="AY22" s="906">
        <f>AY21*BD21</f>
        <v>0</v>
      </c>
      <c r="AZ22" s="29">
        <f>IF(AY22=0,0,BA22/AY22)</f>
        <v>0</v>
      </c>
      <c r="BA22" s="29">
        <f>BE21*(1-BC21)</f>
        <v>0</v>
      </c>
      <c r="BB22" s="1836"/>
      <c r="BC22" s="1837"/>
      <c r="BD22" s="1838"/>
      <c r="BE22" s="1839"/>
      <c r="BF22" s="1839"/>
      <c r="BG22" s="907">
        <f>BG21*BL21</f>
        <v>0</v>
      </c>
      <c r="BH22" s="902">
        <f>IF(BG22=0,0,BI22/BG22)</f>
        <v>0</v>
      </c>
      <c r="BI22" s="902">
        <f>BM21*(1-BK21)</f>
        <v>0</v>
      </c>
      <c r="BJ22" s="1840"/>
      <c r="BK22" s="1841"/>
      <c r="BL22" s="1842"/>
      <c r="BM22" s="1843"/>
      <c r="BN22" s="1843"/>
      <c r="BO22" s="906">
        <f>BO21*BT21</f>
        <v>0</v>
      </c>
      <c r="BP22" s="29">
        <f>IF(BO22=0,0,BQ22/BO22)</f>
        <v>0</v>
      </c>
      <c r="BQ22" s="29">
        <f>BU21*(1-BS21)</f>
        <v>0</v>
      </c>
      <c r="BR22" s="1836"/>
      <c r="BS22" s="1837"/>
      <c r="BT22" s="1838"/>
      <c r="BU22" s="1839"/>
      <c r="BV22" s="1839"/>
      <c r="BW22" s="907">
        <f>BW21*CB21</f>
        <v>0</v>
      </c>
      <c r="BX22" s="902">
        <f>IF(BW22=0,0,BY22/BW22)</f>
        <v>0</v>
      </c>
      <c r="BY22" s="902">
        <f>CC21*(1-CA21)</f>
        <v>0</v>
      </c>
      <c r="BZ22" s="1840"/>
      <c r="CA22" s="1841"/>
      <c r="CB22" s="1842"/>
      <c r="CC22" s="1843"/>
      <c r="CD22" s="1843"/>
      <c r="CE22" s="906">
        <f>CE21*CJ21</f>
        <v>0</v>
      </c>
      <c r="CF22" s="29">
        <f>IF(CE22=0,0,CG22/CE22)</f>
        <v>0</v>
      </c>
      <c r="CG22" s="29">
        <f>CK21*(1-CI21)</f>
        <v>0</v>
      </c>
      <c r="CH22" s="1836"/>
      <c r="CI22" s="1837"/>
      <c r="CJ22" s="1838"/>
      <c r="CK22" s="1839"/>
      <c r="CL22" s="1839"/>
      <c r="CM22" s="907">
        <f>CM21*CR21</f>
        <v>0</v>
      </c>
      <c r="CN22" s="902">
        <f>IF(CM22=0,0,CO22/CM22)</f>
        <v>0</v>
      </c>
      <c r="CO22" s="902">
        <f>CS21*(1-CQ21)</f>
        <v>0</v>
      </c>
      <c r="CP22" s="1840"/>
      <c r="CQ22" s="1841"/>
      <c r="CR22" s="1842"/>
      <c r="CS22" s="1843"/>
      <c r="CT22" s="1843"/>
      <c r="CU22" s="1844"/>
      <c r="CV22" s="1844"/>
      <c r="CW22" s="1845"/>
      <c r="CX22" s="1844"/>
      <c r="CY22" s="1845"/>
      <c r="CZ22" s="1845"/>
      <c r="DA22" s="1845"/>
      <c r="DB22" s="908" t="s">
        <v>293</v>
      </c>
      <c r="DC22" s="904">
        <f>CU21</f>
        <v>0</v>
      </c>
      <c r="DD22" s="794">
        <f>CU24</f>
        <v>0</v>
      </c>
      <c r="DE22" s="794">
        <f>CU29</f>
        <v>0</v>
      </c>
      <c r="DF22" s="794">
        <f>CU34</f>
        <v>0</v>
      </c>
      <c r="DG22" s="794">
        <f>CU39</f>
        <v>0</v>
      </c>
      <c r="DH22" s="794">
        <f>CU44</f>
        <v>0</v>
      </c>
      <c r="DI22" s="794">
        <f>CU49</f>
        <v>0</v>
      </c>
      <c r="DJ22" s="794">
        <f>CU54</f>
        <v>0</v>
      </c>
      <c r="DK22" s="794">
        <f>CU59</f>
        <v>0</v>
      </c>
      <c r="DL22" s="794">
        <f>CU64</f>
        <v>0</v>
      </c>
      <c r="DM22" s="794">
        <f>CU69</f>
        <v>0</v>
      </c>
      <c r="DN22" s="794">
        <f>CU74</f>
        <v>0</v>
      </c>
      <c r="DO22" s="905">
        <f>SUM(DC22:DN22)</f>
        <v>0</v>
      </c>
    </row>
    <row r="23" spans="1:122" x14ac:dyDescent="0.3">
      <c r="A23" s="1835"/>
      <c r="B23" s="108" t="s">
        <v>254</v>
      </c>
      <c r="C23" s="906">
        <f>C21-C22</f>
        <v>0</v>
      </c>
      <c r="D23" s="29">
        <f>IF(C23=0,0,E23/C23)</f>
        <v>0</v>
      </c>
      <c r="E23" s="29">
        <f>E21-E22</f>
        <v>0</v>
      </c>
      <c r="F23" s="1836"/>
      <c r="G23" s="1837"/>
      <c r="H23" s="1838"/>
      <c r="I23" s="1839"/>
      <c r="J23" s="1839"/>
      <c r="K23" s="907">
        <f>K21-K22</f>
        <v>0</v>
      </c>
      <c r="L23" s="902">
        <f>IF(K23=0,0,M23/K23)</f>
        <v>0</v>
      </c>
      <c r="M23" s="902">
        <f>M21-M22</f>
        <v>0</v>
      </c>
      <c r="N23" s="1840"/>
      <c r="O23" s="1841"/>
      <c r="P23" s="1842"/>
      <c r="Q23" s="1843"/>
      <c r="R23" s="1843"/>
      <c r="S23" s="906">
        <f>S21-S22</f>
        <v>0</v>
      </c>
      <c r="T23" s="29">
        <f>IF(S23=0,0,U23/S23)</f>
        <v>0</v>
      </c>
      <c r="U23" s="29">
        <f>U21-U22</f>
        <v>0</v>
      </c>
      <c r="V23" s="1836"/>
      <c r="W23" s="1837"/>
      <c r="X23" s="1838"/>
      <c r="Y23" s="1839"/>
      <c r="Z23" s="1839"/>
      <c r="AA23" s="907">
        <f>AA21-AA22</f>
        <v>0</v>
      </c>
      <c r="AB23" s="902">
        <f>IF(AA23=0,0,AC23/AA23)</f>
        <v>0</v>
      </c>
      <c r="AC23" s="902">
        <f>AC21-AC22</f>
        <v>0</v>
      </c>
      <c r="AD23" s="1840"/>
      <c r="AE23" s="1841"/>
      <c r="AF23" s="1842"/>
      <c r="AG23" s="1843"/>
      <c r="AH23" s="1843"/>
      <c r="AI23" s="906">
        <f>AI21-AI22</f>
        <v>0</v>
      </c>
      <c r="AJ23" s="29">
        <f>IF(AI23=0,0,AK23/AI23)</f>
        <v>0</v>
      </c>
      <c r="AK23" s="29">
        <f>AK21-AK22</f>
        <v>0</v>
      </c>
      <c r="AL23" s="1836"/>
      <c r="AM23" s="1837"/>
      <c r="AN23" s="1838"/>
      <c r="AO23" s="1839"/>
      <c r="AP23" s="1839"/>
      <c r="AQ23" s="907">
        <f>AQ21-AQ22</f>
        <v>0</v>
      </c>
      <c r="AR23" s="902">
        <f>IF(AQ23=0,0,AS23/AQ23)</f>
        <v>0</v>
      </c>
      <c r="AS23" s="902">
        <f>AS21-AS22</f>
        <v>0</v>
      </c>
      <c r="AT23" s="1840"/>
      <c r="AU23" s="1841"/>
      <c r="AV23" s="1842"/>
      <c r="AW23" s="1843"/>
      <c r="AX23" s="1843"/>
      <c r="AY23" s="906">
        <f>AY21-AY22</f>
        <v>0</v>
      </c>
      <c r="AZ23" s="29">
        <f>IF(AY23=0,0,BA23/AY23)</f>
        <v>0</v>
      </c>
      <c r="BA23" s="29">
        <f>BA21-BA22</f>
        <v>0</v>
      </c>
      <c r="BB23" s="1836"/>
      <c r="BC23" s="1837"/>
      <c r="BD23" s="1838"/>
      <c r="BE23" s="1839"/>
      <c r="BF23" s="1839"/>
      <c r="BG23" s="907">
        <f>BG21-BG22</f>
        <v>0</v>
      </c>
      <c r="BH23" s="902">
        <f>IF(BG23=0,0,BI23/BG23)</f>
        <v>0</v>
      </c>
      <c r="BI23" s="902">
        <f>BI21-BI22</f>
        <v>0</v>
      </c>
      <c r="BJ23" s="1840"/>
      <c r="BK23" s="1841"/>
      <c r="BL23" s="1842"/>
      <c r="BM23" s="1843"/>
      <c r="BN23" s="1843"/>
      <c r="BO23" s="906">
        <f>BO21-BO22</f>
        <v>0</v>
      </c>
      <c r="BP23" s="29">
        <f>IF(BO23=0,0,BQ23/BO23)</f>
        <v>0</v>
      </c>
      <c r="BQ23" s="29">
        <f>BQ21-BQ22</f>
        <v>0</v>
      </c>
      <c r="BR23" s="1836"/>
      <c r="BS23" s="1837"/>
      <c r="BT23" s="1838"/>
      <c r="BU23" s="1839"/>
      <c r="BV23" s="1839"/>
      <c r="BW23" s="907">
        <f>BW21-BW22</f>
        <v>0</v>
      </c>
      <c r="BX23" s="902">
        <f>IF(BW23=0,0,BY23/BW23)</f>
        <v>0</v>
      </c>
      <c r="BY23" s="902">
        <f>BY21-BY22</f>
        <v>0</v>
      </c>
      <c r="BZ23" s="1840"/>
      <c r="CA23" s="1841"/>
      <c r="CB23" s="1842"/>
      <c r="CC23" s="1843"/>
      <c r="CD23" s="1843"/>
      <c r="CE23" s="906">
        <f>CE21-CE22</f>
        <v>0</v>
      </c>
      <c r="CF23" s="29">
        <f>IF(CE23=0,0,CG23/CE23)</f>
        <v>0</v>
      </c>
      <c r="CG23" s="29">
        <f>CG21-CG22</f>
        <v>0</v>
      </c>
      <c r="CH23" s="1836"/>
      <c r="CI23" s="1837"/>
      <c r="CJ23" s="1838"/>
      <c r="CK23" s="1839"/>
      <c r="CL23" s="1839"/>
      <c r="CM23" s="907">
        <f>CM21-CM22</f>
        <v>0</v>
      </c>
      <c r="CN23" s="902">
        <f>IF(CM23=0,0,CO23/CM23)</f>
        <v>0</v>
      </c>
      <c r="CO23" s="902">
        <f>CO21-CO22</f>
        <v>0</v>
      </c>
      <c r="CP23" s="1840"/>
      <c r="CQ23" s="1841"/>
      <c r="CR23" s="1842"/>
      <c r="CS23" s="1843"/>
      <c r="CT23" s="1843"/>
      <c r="CU23" s="1844"/>
      <c r="CV23" s="1844"/>
      <c r="CW23" s="1845"/>
      <c r="CX23" s="1844"/>
      <c r="CY23" s="1845"/>
      <c r="CZ23" s="1845"/>
      <c r="DA23" s="1845"/>
      <c r="DB23" s="908" t="s">
        <v>313</v>
      </c>
      <c r="DC23" s="904">
        <f>CZ21</f>
        <v>0</v>
      </c>
      <c r="DD23" s="794">
        <f>$DA24</f>
        <v>0</v>
      </c>
      <c r="DE23" s="794">
        <f>$DA29</f>
        <v>0</v>
      </c>
      <c r="DF23" s="794">
        <f>$DA34</f>
        <v>0</v>
      </c>
      <c r="DG23" s="794">
        <f>$DA39</f>
        <v>0</v>
      </c>
      <c r="DH23" s="794">
        <f>$DA44</f>
        <v>0</v>
      </c>
      <c r="DI23" s="794">
        <f>$DA49</f>
        <v>0</v>
      </c>
      <c r="DJ23" s="794">
        <f>$DA54</f>
        <v>0</v>
      </c>
      <c r="DK23" s="794">
        <f>$DA59</f>
        <v>0</v>
      </c>
      <c r="DL23" s="794">
        <f>$DA64</f>
        <v>0</v>
      </c>
      <c r="DM23" s="794">
        <f>$DA69</f>
        <v>0</v>
      </c>
      <c r="DN23" s="794">
        <f>$DA74</f>
        <v>0</v>
      </c>
      <c r="DO23" s="905">
        <f>SUM(DC23:DN23)</f>
        <v>0</v>
      </c>
    </row>
    <row r="24" spans="1:122" x14ac:dyDescent="0.3">
      <c r="A24" s="1835" t="str">
        <f>TRIBUTS!K2</f>
        <v>FEBRER</v>
      </c>
      <c r="B24" s="108" t="s">
        <v>255</v>
      </c>
      <c r="C24" s="906">
        <f>C23</f>
        <v>0</v>
      </c>
      <c r="D24" s="29">
        <f>D23</f>
        <v>0</v>
      </c>
      <c r="E24" s="29">
        <f>C24*D24</f>
        <v>0</v>
      </c>
      <c r="F24" s="1836">
        <f>E25*$I$3</f>
        <v>0</v>
      </c>
      <c r="G24" s="1837">
        <f>G21</f>
        <v>0</v>
      </c>
      <c r="H24" s="1838">
        <f>H21</f>
        <v>0</v>
      </c>
      <c r="I24" s="1839">
        <f>E27/(1-G24)</f>
        <v>0</v>
      </c>
      <c r="J24" s="1839">
        <f>I24*$F$3</f>
        <v>0</v>
      </c>
      <c r="K24" s="907">
        <f>K23</f>
        <v>0</v>
      </c>
      <c r="L24" s="902">
        <f>L23</f>
        <v>0</v>
      </c>
      <c r="M24" s="902">
        <f>K24*L24</f>
        <v>0</v>
      </c>
      <c r="N24" s="1840">
        <f>M25*$I$4</f>
        <v>0</v>
      </c>
      <c r="O24" s="1841">
        <f>O21</f>
        <v>0</v>
      </c>
      <c r="P24" s="1842">
        <f>P21</f>
        <v>0</v>
      </c>
      <c r="Q24" s="1843">
        <f>M27/(1-O24)</f>
        <v>0</v>
      </c>
      <c r="R24" s="1843">
        <f>Q24*$F$4</f>
        <v>0</v>
      </c>
      <c r="S24" s="906">
        <f>S23</f>
        <v>0</v>
      </c>
      <c r="T24" s="29">
        <f>T23</f>
        <v>0</v>
      </c>
      <c r="U24" s="29">
        <f>S24*T24</f>
        <v>0</v>
      </c>
      <c r="V24" s="1836">
        <f>U25*$I$5</f>
        <v>0</v>
      </c>
      <c r="W24" s="1837">
        <f>W21</f>
        <v>0</v>
      </c>
      <c r="X24" s="1838">
        <f>X21</f>
        <v>0</v>
      </c>
      <c r="Y24" s="1839">
        <f>U27/(1-W24)</f>
        <v>0</v>
      </c>
      <c r="Z24" s="1839">
        <f>Y24*$F$5</f>
        <v>0</v>
      </c>
      <c r="AA24" s="907">
        <f>AA23</f>
        <v>0</v>
      </c>
      <c r="AB24" s="902">
        <f>AB23</f>
        <v>0</v>
      </c>
      <c r="AC24" s="902">
        <f>AA24*AB24</f>
        <v>0</v>
      </c>
      <c r="AD24" s="1840">
        <f>AC25*$I$6</f>
        <v>0</v>
      </c>
      <c r="AE24" s="1841">
        <f>AE21</f>
        <v>0</v>
      </c>
      <c r="AF24" s="1842">
        <f>AF21</f>
        <v>0</v>
      </c>
      <c r="AG24" s="1843">
        <f>AC27/(1-AE24)</f>
        <v>0</v>
      </c>
      <c r="AH24" s="1843">
        <f>AG24*$F$6</f>
        <v>0</v>
      </c>
      <c r="AI24" s="906">
        <f>AI23</f>
        <v>0</v>
      </c>
      <c r="AJ24" s="29">
        <f>AJ23</f>
        <v>0</v>
      </c>
      <c r="AK24" s="29">
        <f>AI24*AJ24</f>
        <v>0</v>
      </c>
      <c r="AL24" s="1836">
        <f>AK25*$I$7</f>
        <v>0</v>
      </c>
      <c r="AM24" s="1837">
        <f>AM21</f>
        <v>0</v>
      </c>
      <c r="AN24" s="1838">
        <f>AN21</f>
        <v>0</v>
      </c>
      <c r="AO24" s="1839">
        <f>AK27/(1-AM24)</f>
        <v>0</v>
      </c>
      <c r="AP24" s="1839">
        <f>AO24*$F$7</f>
        <v>0</v>
      </c>
      <c r="AQ24" s="907">
        <f>AQ23</f>
        <v>0</v>
      </c>
      <c r="AR24" s="902">
        <f>AR23</f>
        <v>0</v>
      </c>
      <c r="AS24" s="902">
        <f>AQ24*AR24</f>
        <v>0</v>
      </c>
      <c r="AT24" s="1840">
        <f>AS25*$I$8</f>
        <v>0</v>
      </c>
      <c r="AU24" s="1841">
        <f>AU21</f>
        <v>0</v>
      </c>
      <c r="AV24" s="1842">
        <f>AV21</f>
        <v>0</v>
      </c>
      <c r="AW24" s="1843">
        <f>AS27/(1-AU24)</f>
        <v>0</v>
      </c>
      <c r="AX24" s="1843">
        <f>AW24*$F$8</f>
        <v>0</v>
      </c>
      <c r="AY24" s="906">
        <f>AY23</f>
        <v>0</v>
      </c>
      <c r="AZ24" s="29">
        <f>AZ23</f>
        <v>0</v>
      </c>
      <c r="BA24" s="29">
        <f>AY24*AZ24</f>
        <v>0</v>
      </c>
      <c r="BB24" s="1836">
        <f>BA25*$I$9</f>
        <v>0</v>
      </c>
      <c r="BC24" s="1837">
        <f>BC21</f>
        <v>0</v>
      </c>
      <c r="BD24" s="1838">
        <f>BD21</f>
        <v>0</v>
      </c>
      <c r="BE24" s="1839">
        <f>BA27/(1-BC24)</f>
        <v>0</v>
      </c>
      <c r="BF24" s="1839">
        <f>BE24*$F$9</f>
        <v>0</v>
      </c>
      <c r="BG24" s="907">
        <f>BG23</f>
        <v>0</v>
      </c>
      <c r="BH24" s="902">
        <f>BH23</f>
        <v>0</v>
      </c>
      <c r="BI24" s="902">
        <f>BG24*BH24</f>
        <v>0</v>
      </c>
      <c r="BJ24" s="1840">
        <f>BI25*$I$10</f>
        <v>0</v>
      </c>
      <c r="BK24" s="1841">
        <f>BK21</f>
        <v>0</v>
      </c>
      <c r="BL24" s="1842">
        <f>BL21</f>
        <v>0</v>
      </c>
      <c r="BM24" s="1843">
        <f>BI27/(1-BK24)</f>
        <v>0</v>
      </c>
      <c r="BN24" s="1843">
        <f>BM24*$F$10</f>
        <v>0</v>
      </c>
      <c r="BO24" s="906">
        <f>BO23</f>
        <v>0</v>
      </c>
      <c r="BP24" s="29">
        <f>BP23</f>
        <v>0</v>
      </c>
      <c r="BQ24" s="29">
        <f>BO24*BP24</f>
        <v>0</v>
      </c>
      <c r="BR24" s="1836">
        <f>BQ25*$I$11</f>
        <v>0</v>
      </c>
      <c r="BS24" s="1837">
        <f>BS21</f>
        <v>0</v>
      </c>
      <c r="BT24" s="1838">
        <f>BT21</f>
        <v>0</v>
      </c>
      <c r="BU24" s="1839">
        <f>BQ27/(1-BS24)</f>
        <v>0</v>
      </c>
      <c r="BV24" s="1839">
        <f>BU24*$F$11</f>
        <v>0</v>
      </c>
      <c r="BW24" s="907">
        <f>BW23</f>
        <v>0</v>
      </c>
      <c r="BX24" s="902">
        <f>BX23</f>
        <v>0</v>
      </c>
      <c r="BY24" s="902">
        <f>BW24*BX24</f>
        <v>0</v>
      </c>
      <c r="BZ24" s="1840">
        <f>BY25*$I$12</f>
        <v>0</v>
      </c>
      <c r="CA24" s="1841">
        <f>CA21</f>
        <v>0</v>
      </c>
      <c r="CB24" s="1842">
        <f>CB21</f>
        <v>0</v>
      </c>
      <c r="CC24" s="1843">
        <f>BY27/(1-CA24)</f>
        <v>0</v>
      </c>
      <c r="CD24" s="1843">
        <f>CC24*$F$12</f>
        <v>0</v>
      </c>
      <c r="CE24" s="906">
        <f>CE23</f>
        <v>0</v>
      </c>
      <c r="CF24" s="29">
        <f>CF23</f>
        <v>0</v>
      </c>
      <c r="CG24" s="29">
        <f>CE24*CF24</f>
        <v>0</v>
      </c>
      <c r="CH24" s="1836">
        <f>CG25*$I$13</f>
        <v>0</v>
      </c>
      <c r="CI24" s="1837">
        <f>CI21</f>
        <v>0</v>
      </c>
      <c r="CJ24" s="1838">
        <f>CJ21</f>
        <v>0</v>
      </c>
      <c r="CK24" s="1839">
        <f>CG27/(1-CI24)</f>
        <v>0</v>
      </c>
      <c r="CL24" s="1839">
        <f>CK24*$F$13</f>
        <v>0</v>
      </c>
      <c r="CM24" s="907">
        <f>CM23</f>
        <v>0</v>
      </c>
      <c r="CN24" s="902">
        <f>CN23</f>
        <v>0</v>
      </c>
      <c r="CO24" s="902">
        <f>CM24*CN24</f>
        <v>0</v>
      </c>
      <c r="CP24" s="1840">
        <f>CO25*$I$14</f>
        <v>0</v>
      </c>
      <c r="CQ24" s="1841">
        <f>CQ21</f>
        <v>0</v>
      </c>
      <c r="CR24" s="1842">
        <f>CR21</f>
        <v>0</v>
      </c>
      <c r="CS24" s="1843">
        <f>CO27/(1-CQ24)</f>
        <v>0</v>
      </c>
      <c r="CT24" s="1843">
        <f>CS24*$F$14</f>
        <v>0</v>
      </c>
      <c r="CU24" s="1844">
        <f>E25+M25+U25+AC25+AK25+AS25+BA25+BI25+BQ25+BY25+CG25+CO25</f>
        <v>0</v>
      </c>
      <c r="CV24" s="1844">
        <f>CP24+CH24+BZ24+BR24+BJ24+BB24+AT24+AL24+AD24+V24+N24+F24</f>
        <v>0</v>
      </c>
      <c r="CW24" s="1845">
        <f>I24+Q24+Y24+AG24+AO24+AW24+BE24+BM24+BU24+CC24+CK24+CS24</f>
        <v>0</v>
      </c>
      <c r="CX24" s="1844">
        <f>CT24+CL24+CD24+BV24+BN24+BF24+AX24+AP24+AH24+Z24+R24+J24</f>
        <v>0</v>
      </c>
      <c r="CY24" s="1845">
        <f>CZ21</f>
        <v>0</v>
      </c>
      <c r="CZ24" s="1845">
        <f>E28+M28+U28+AC28+AK28+AS28+BA28+BI28+BQ28+BY28+CG28+CO28</f>
        <v>0</v>
      </c>
      <c r="DA24" s="1845">
        <f>CZ24-CY24</f>
        <v>0</v>
      </c>
      <c r="DB24" s="903" t="s">
        <v>306</v>
      </c>
      <c r="DC24" s="794">
        <f>$CX21</f>
        <v>0</v>
      </c>
      <c r="DD24" s="794">
        <f>$CX24</f>
        <v>0</v>
      </c>
      <c r="DE24" s="794">
        <f>$CX29</f>
        <v>0</v>
      </c>
      <c r="DF24" s="794">
        <f>$CX34</f>
        <v>0</v>
      </c>
      <c r="DG24" s="794">
        <f>$CX39</f>
        <v>0</v>
      </c>
      <c r="DH24" s="794">
        <f>$CX44</f>
        <v>0</v>
      </c>
      <c r="DI24" s="794">
        <f>$CX49</f>
        <v>0</v>
      </c>
      <c r="DJ24" s="794">
        <f>$CX54</f>
        <v>0</v>
      </c>
      <c r="DK24" s="794">
        <f>$CX59</f>
        <v>0</v>
      </c>
      <c r="DL24" s="794">
        <f>$CX64</f>
        <v>0</v>
      </c>
      <c r="DM24" s="794">
        <f>$CX69</f>
        <v>0</v>
      </c>
      <c r="DN24" s="794">
        <f>$CX74</f>
        <v>0</v>
      </c>
      <c r="DO24" s="905">
        <f>SUM(DC24:DN24)</f>
        <v>0</v>
      </c>
    </row>
    <row r="25" spans="1:122" x14ac:dyDescent="0.3">
      <c r="A25" s="1835"/>
      <c r="B25" s="108" t="s">
        <v>310</v>
      </c>
      <c r="C25" s="898">
        <f>C21</f>
        <v>0</v>
      </c>
      <c r="D25" s="899">
        <f>D21</f>
        <v>0</v>
      </c>
      <c r="E25" s="29">
        <f>C25*D25</f>
        <v>0</v>
      </c>
      <c r="F25" s="1836"/>
      <c r="G25" s="1837"/>
      <c r="H25" s="1838"/>
      <c r="I25" s="1839"/>
      <c r="J25" s="1839"/>
      <c r="K25" s="900">
        <f>K21</f>
        <v>0</v>
      </c>
      <c r="L25" s="901">
        <f>L21</f>
        <v>0</v>
      </c>
      <c r="M25" s="902">
        <f>K25*L25</f>
        <v>0</v>
      </c>
      <c r="N25" s="1840"/>
      <c r="O25" s="1841"/>
      <c r="P25" s="1842"/>
      <c r="Q25" s="1843"/>
      <c r="R25" s="1843"/>
      <c r="S25" s="898">
        <f>S21</f>
        <v>0</v>
      </c>
      <c r="T25" s="899">
        <f>T21</f>
        <v>0</v>
      </c>
      <c r="U25" s="29">
        <f>S25*T25</f>
        <v>0</v>
      </c>
      <c r="V25" s="1836"/>
      <c r="W25" s="1837"/>
      <c r="X25" s="1838"/>
      <c r="Y25" s="1839"/>
      <c r="Z25" s="1839"/>
      <c r="AA25" s="900">
        <f>AA21</f>
        <v>0</v>
      </c>
      <c r="AB25" s="901">
        <f>AB21</f>
        <v>0</v>
      </c>
      <c r="AC25" s="902">
        <f>AA25*AB25</f>
        <v>0</v>
      </c>
      <c r="AD25" s="1840"/>
      <c r="AE25" s="1841"/>
      <c r="AF25" s="1842"/>
      <c r="AG25" s="1843"/>
      <c r="AH25" s="1843"/>
      <c r="AI25" s="898">
        <f>AI21</f>
        <v>0</v>
      </c>
      <c r="AJ25" s="899">
        <f>AJ21</f>
        <v>0</v>
      </c>
      <c r="AK25" s="29">
        <f>AI25*AJ25</f>
        <v>0</v>
      </c>
      <c r="AL25" s="1836"/>
      <c r="AM25" s="1837"/>
      <c r="AN25" s="1838"/>
      <c r="AO25" s="1839"/>
      <c r="AP25" s="1839"/>
      <c r="AQ25" s="900">
        <f>AQ21</f>
        <v>0</v>
      </c>
      <c r="AR25" s="901">
        <f>AR21</f>
        <v>0</v>
      </c>
      <c r="AS25" s="902">
        <f>AQ25*AR25</f>
        <v>0</v>
      </c>
      <c r="AT25" s="1840"/>
      <c r="AU25" s="1841"/>
      <c r="AV25" s="1842"/>
      <c r="AW25" s="1843"/>
      <c r="AX25" s="1843"/>
      <c r="AY25" s="898">
        <f>AY21</f>
        <v>0</v>
      </c>
      <c r="AZ25" s="899">
        <f>AZ21</f>
        <v>0</v>
      </c>
      <c r="BA25" s="29">
        <f>AY25*AZ25</f>
        <v>0</v>
      </c>
      <c r="BB25" s="1836"/>
      <c r="BC25" s="1837"/>
      <c r="BD25" s="1838"/>
      <c r="BE25" s="1839"/>
      <c r="BF25" s="1839"/>
      <c r="BG25" s="900">
        <f>BG21</f>
        <v>0</v>
      </c>
      <c r="BH25" s="901">
        <f>BH21</f>
        <v>0</v>
      </c>
      <c r="BI25" s="902">
        <f>BG25*BH25</f>
        <v>0</v>
      </c>
      <c r="BJ25" s="1840"/>
      <c r="BK25" s="1841"/>
      <c r="BL25" s="1842"/>
      <c r="BM25" s="1843"/>
      <c r="BN25" s="1843"/>
      <c r="BO25" s="898">
        <f>BO21</f>
        <v>0</v>
      </c>
      <c r="BP25" s="899">
        <f>BP21</f>
        <v>0</v>
      </c>
      <c r="BQ25" s="29">
        <f>BO25*BP25</f>
        <v>0</v>
      </c>
      <c r="BR25" s="1836"/>
      <c r="BS25" s="1837"/>
      <c r="BT25" s="1838"/>
      <c r="BU25" s="1839"/>
      <c r="BV25" s="1839"/>
      <c r="BW25" s="900">
        <f>BW21</f>
        <v>0</v>
      </c>
      <c r="BX25" s="901">
        <f>BX21</f>
        <v>0</v>
      </c>
      <c r="BY25" s="902">
        <f>BW25*BX25</f>
        <v>0</v>
      </c>
      <c r="BZ25" s="1840"/>
      <c r="CA25" s="1841"/>
      <c r="CB25" s="1842"/>
      <c r="CC25" s="1843"/>
      <c r="CD25" s="1843"/>
      <c r="CE25" s="898">
        <f>CE21</f>
        <v>0</v>
      </c>
      <c r="CF25" s="899">
        <f>CF21</f>
        <v>0</v>
      </c>
      <c r="CG25" s="29">
        <f>CE25*CF25</f>
        <v>0</v>
      </c>
      <c r="CH25" s="1836"/>
      <c r="CI25" s="1837"/>
      <c r="CJ25" s="1838"/>
      <c r="CK25" s="1839"/>
      <c r="CL25" s="1839"/>
      <c r="CM25" s="900">
        <f>CM21</f>
        <v>0</v>
      </c>
      <c r="CN25" s="901">
        <f>CN21</f>
        <v>0</v>
      </c>
      <c r="CO25" s="902">
        <f>CM25*CN25</f>
        <v>0</v>
      </c>
      <c r="CP25" s="1840"/>
      <c r="CQ25" s="1841"/>
      <c r="CR25" s="1842"/>
      <c r="CS25" s="1843"/>
      <c r="CT25" s="1843"/>
      <c r="CU25" s="1844"/>
      <c r="CV25" s="1844"/>
      <c r="CW25" s="1845"/>
      <c r="CX25" s="1844"/>
      <c r="CY25" s="1845"/>
      <c r="CZ25" s="1845"/>
      <c r="DA25" s="1845"/>
      <c r="DB25" s="909" t="s">
        <v>314</v>
      </c>
      <c r="DC25" s="910"/>
      <c r="DD25" s="910"/>
      <c r="DE25" s="910"/>
      <c r="DF25" s="910"/>
      <c r="DG25" s="910"/>
      <c r="DH25" s="910"/>
      <c r="DI25" s="910"/>
      <c r="DJ25" s="910"/>
      <c r="DK25" s="910"/>
      <c r="DL25" s="910"/>
      <c r="DM25" s="910"/>
      <c r="DN25" s="910"/>
      <c r="DO25" s="911">
        <f>IF(DO21=0,0,DO24/DO21)</f>
        <v>0</v>
      </c>
    </row>
    <row r="26" spans="1:122" ht="12.75" hidden="1" customHeight="1" x14ac:dyDescent="0.3">
      <c r="A26" s="1835"/>
      <c r="B26" s="108" t="s">
        <v>315</v>
      </c>
      <c r="C26" s="906">
        <f>C25+C24</f>
        <v>0</v>
      </c>
      <c r="D26" s="29">
        <f>IF(C26=0,0,E26/C26)</f>
        <v>0</v>
      </c>
      <c r="E26" s="29">
        <f>E25+E24</f>
        <v>0</v>
      </c>
      <c r="F26" s="1836"/>
      <c r="G26" s="1837"/>
      <c r="H26" s="1838"/>
      <c r="I26" s="1839"/>
      <c r="J26" s="1839"/>
      <c r="K26" s="907">
        <f>K25+K24</f>
        <v>0</v>
      </c>
      <c r="L26" s="902">
        <f>IF(K26=0,0,M26/K26)</f>
        <v>0</v>
      </c>
      <c r="M26" s="902">
        <f>M25+M24</f>
        <v>0</v>
      </c>
      <c r="N26" s="1840"/>
      <c r="O26" s="1841"/>
      <c r="P26" s="1842"/>
      <c r="Q26" s="1843"/>
      <c r="R26" s="1843"/>
      <c r="S26" s="906">
        <f>S25+S24</f>
        <v>0</v>
      </c>
      <c r="T26" s="29">
        <f>IF(S26=0,0,U26/S26)</f>
        <v>0</v>
      </c>
      <c r="U26" s="29">
        <f>U25+U24</f>
        <v>0</v>
      </c>
      <c r="V26" s="1836"/>
      <c r="W26" s="1837"/>
      <c r="X26" s="1838"/>
      <c r="Y26" s="1839"/>
      <c r="Z26" s="1839"/>
      <c r="AA26" s="907">
        <f>AA25+AA24</f>
        <v>0</v>
      </c>
      <c r="AB26" s="902">
        <f>IF(AA26=0,0,AC26/AA26)</f>
        <v>0</v>
      </c>
      <c r="AC26" s="902">
        <f>AC25+AC24</f>
        <v>0</v>
      </c>
      <c r="AD26" s="1840"/>
      <c r="AE26" s="1841"/>
      <c r="AF26" s="1842"/>
      <c r="AG26" s="1843"/>
      <c r="AH26" s="1843"/>
      <c r="AI26" s="906">
        <f>AI25+AI24</f>
        <v>0</v>
      </c>
      <c r="AJ26" s="29">
        <f>IF(AI26=0,0,AK26/AI26)</f>
        <v>0</v>
      </c>
      <c r="AK26" s="29">
        <f>AK25+AK24</f>
        <v>0</v>
      </c>
      <c r="AL26" s="1836"/>
      <c r="AM26" s="1837"/>
      <c r="AN26" s="1838"/>
      <c r="AO26" s="1839"/>
      <c r="AP26" s="1839"/>
      <c r="AQ26" s="907">
        <f>AQ25+AQ24</f>
        <v>0</v>
      </c>
      <c r="AR26" s="902">
        <f>IF(AQ26=0,0,AS26/AQ26)</f>
        <v>0</v>
      </c>
      <c r="AS26" s="902">
        <f>AS25+AS24</f>
        <v>0</v>
      </c>
      <c r="AT26" s="1840"/>
      <c r="AU26" s="1841"/>
      <c r="AV26" s="1842"/>
      <c r="AW26" s="1843"/>
      <c r="AX26" s="1843"/>
      <c r="AY26" s="906">
        <f>AY25+AY24</f>
        <v>0</v>
      </c>
      <c r="AZ26" s="29">
        <f>IF(AY26=0,0,BA26/AY26)</f>
        <v>0</v>
      </c>
      <c r="BA26" s="29">
        <f>BA25+BA24</f>
        <v>0</v>
      </c>
      <c r="BB26" s="1836"/>
      <c r="BC26" s="1837"/>
      <c r="BD26" s="1838"/>
      <c r="BE26" s="1839"/>
      <c r="BF26" s="1839"/>
      <c r="BG26" s="907">
        <f>BG25+BG24</f>
        <v>0</v>
      </c>
      <c r="BH26" s="902">
        <f>IF(BG26=0,0,BI26/BG26)</f>
        <v>0</v>
      </c>
      <c r="BI26" s="902">
        <f>BI25+BI24</f>
        <v>0</v>
      </c>
      <c r="BJ26" s="1840"/>
      <c r="BK26" s="1841"/>
      <c r="BL26" s="1842"/>
      <c r="BM26" s="1843"/>
      <c r="BN26" s="1843"/>
      <c r="BO26" s="906">
        <f>BO25+BO24</f>
        <v>0</v>
      </c>
      <c r="BP26" s="29">
        <f>IF(BO26=0,0,BQ26/BO26)</f>
        <v>0</v>
      </c>
      <c r="BQ26" s="29">
        <f>BQ25+BQ24</f>
        <v>0</v>
      </c>
      <c r="BR26" s="1836"/>
      <c r="BS26" s="1837"/>
      <c r="BT26" s="1838"/>
      <c r="BU26" s="1839"/>
      <c r="BV26" s="1839"/>
      <c r="BW26" s="907">
        <f>BW25+BW24</f>
        <v>0</v>
      </c>
      <c r="BX26" s="902">
        <f>IF(BW26=0,0,BY26/BW26)</f>
        <v>0</v>
      </c>
      <c r="BY26" s="902">
        <f>BY25+BY24</f>
        <v>0</v>
      </c>
      <c r="BZ26" s="1840"/>
      <c r="CA26" s="1841"/>
      <c r="CB26" s="1842"/>
      <c r="CC26" s="1843"/>
      <c r="CD26" s="1843"/>
      <c r="CE26" s="906">
        <f>CE25+CE24</f>
        <v>0</v>
      </c>
      <c r="CF26" s="29">
        <f>IF(CE26=0,0,CG26/CE26)</f>
        <v>0</v>
      </c>
      <c r="CG26" s="29">
        <f>CG25+CG24</f>
        <v>0</v>
      </c>
      <c r="CH26" s="1836"/>
      <c r="CI26" s="1837"/>
      <c r="CJ26" s="1838"/>
      <c r="CK26" s="1839"/>
      <c r="CL26" s="1839"/>
      <c r="CM26" s="907">
        <f>CM25+CM24</f>
        <v>0</v>
      </c>
      <c r="CN26" s="902">
        <f>IF(CM26=0,0,CO26/CM26)</f>
        <v>0</v>
      </c>
      <c r="CO26" s="902">
        <f>CO25+CO24</f>
        <v>0</v>
      </c>
      <c r="CP26" s="1840"/>
      <c r="CQ26" s="1841"/>
      <c r="CR26" s="1842"/>
      <c r="CS26" s="1843"/>
      <c r="CT26" s="1843"/>
      <c r="CU26" s="1844"/>
      <c r="CV26" s="1844"/>
      <c r="CW26" s="1845"/>
      <c r="CX26" s="1844"/>
      <c r="CY26" s="1845"/>
      <c r="CZ26" s="1845"/>
      <c r="DA26" s="1845"/>
      <c r="DB26" s="912"/>
      <c r="DO26" s="913">
        <f>SUM(DC26:DN26)</f>
        <v>0</v>
      </c>
    </row>
    <row r="27" spans="1:122" x14ac:dyDescent="0.3">
      <c r="A27" s="1835"/>
      <c r="B27" s="108" t="s">
        <v>312</v>
      </c>
      <c r="C27" s="906">
        <f>H24*C26</f>
        <v>0</v>
      </c>
      <c r="D27" s="29">
        <f>D26</f>
        <v>0</v>
      </c>
      <c r="E27" s="29">
        <f>C27*D27</f>
        <v>0</v>
      </c>
      <c r="F27" s="1836"/>
      <c r="G27" s="1837"/>
      <c r="H27" s="1838"/>
      <c r="I27" s="1839"/>
      <c r="J27" s="1839"/>
      <c r="K27" s="907">
        <f>P24*K26</f>
        <v>0</v>
      </c>
      <c r="L27" s="902">
        <f>L26</f>
        <v>0</v>
      </c>
      <c r="M27" s="902">
        <f>K27*L27</f>
        <v>0</v>
      </c>
      <c r="N27" s="1840"/>
      <c r="O27" s="1841"/>
      <c r="P27" s="1842"/>
      <c r="Q27" s="1843"/>
      <c r="R27" s="1843"/>
      <c r="S27" s="906">
        <f>X24*S26</f>
        <v>0</v>
      </c>
      <c r="T27" s="29">
        <f>T26</f>
        <v>0</v>
      </c>
      <c r="U27" s="29">
        <f>S27*T27</f>
        <v>0</v>
      </c>
      <c r="V27" s="1836"/>
      <c r="W27" s="1837"/>
      <c r="X27" s="1838"/>
      <c r="Y27" s="1839"/>
      <c r="Z27" s="1839"/>
      <c r="AA27" s="907">
        <f>AF24*AA26</f>
        <v>0</v>
      </c>
      <c r="AB27" s="902">
        <f>AB26</f>
        <v>0</v>
      </c>
      <c r="AC27" s="902">
        <f>AA27*AB27</f>
        <v>0</v>
      </c>
      <c r="AD27" s="1840"/>
      <c r="AE27" s="1841"/>
      <c r="AF27" s="1842"/>
      <c r="AG27" s="1843"/>
      <c r="AH27" s="1843"/>
      <c r="AI27" s="906">
        <f>AN24*AI26</f>
        <v>0</v>
      </c>
      <c r="AJ27" s="29">
        <f>AJ26</f>
        <v>0</v>
      </c>
      <c r="AK27" s="29">
        <f>AI27*AJ27</f>
        <v>0</v>
      </c>
      <c r="AL27" s="1836"/>
      <c r="AM27" s="1837"/>
      <c r="AN27" s="1838"/>
      <c r="AO27" s="1839"/>
      <c r="AP27" s="1839"/>
      <c r="AQ27" s="907">
        <f>AV24*AQ26</f>
        <v>0</v>
      </c>
      <c r="AR27" s="902">
        <f>AR26</f>
        <v>0</v>
      </c>
      <c r="AS27" s="902">
        <f>AQ27*AR27</f>
        <v>0</v>
      </c>
      <c r="AT27" s="1840"/>
      <c r="AU27" s="1841"/>
      <c r="AV27" s="1842"/>
      <c r="AW27" s="1843"/>
      <c r="AX27" s="1843"/>
      <c r="AY27" s="906">
        <f>BD24*AY26</f>
        <v>0</v>
      </c>
      <c r="AZ27" s="29">
        <f>AZ26</f>
        <v>0</v>
      </c>
      <c r="BA27" s="29">
        <f>AY27*AZ27</f>
        <v>0</v>
      </c>
      <c r="BB27" s="1836"/>
      <c r="BC27" s="1837"/>
      <c r="BD27" s="1838"/>
      <c r="BE27" s="1839"/>
      <c r="BF27" s="1839"/>
      <c r="BG27" s="907">
        <f>BL24*BG26</f>
        <v>0</v>
      </c>
      <c r="BH27" s="902">
        <f>BH26</f>
        <v>0</v>
      </c>
      <c r="BI27" s="902">
        <f>BG27*BH27</f>
        <v>0</v>
      </c>
      <c r="BJ27" s="1840"/>
      <c r="BK27" s="1841"/>
      <c r="BL27" s="1842"/>
      <c r="BM27" s="1843"/>
      <c r="BN27" s="1843"/>
      <c r="BO27" s="906">
        <f>BT24*BO26</f>
        <v>0</v>
      </c>
      <c r="BP27" s="29">
        <f>BP26</f>
        <v>0</v>
      </c>
      <c r="BQ27" s="29">
        <f>BO27*BP27</f>
        <v>0</v>
      </c>
      <c r="BR27" s="1836"/>
      <c r="BS27" s="1837"/>
      <c r="BT27" s="1838"/>
      <c r="BU27" s="1839"/>
      <c r="BV27" s="1839"/>
      <c r="BW27" s="907">
        <f>CB24*BW26</f>
        <v>0</v>
      </c>
      <c r="BX27" s="902">
        <f>BX26</f>
        <v>0</v>
      </c>
      <c r="BY27" s="902">
        <f>BW27*BX27</f>
        <v>0</v>
      </c>
      <c r="BZ27" s="1840"/>
      <c r="CA27" s="1841"/>
      <c r="CB27" s="1842"/>
      <c r="CC27" s="1843"/>
      <c r="CD27" s="1843"/>
      <c r="CE27" s="906">
        <f>CJ24*CE26</f>
        <v>0</v>
      </c>
      <c r="CF27" s="29">
        <f>CF26</f>
        <v>0</v>
      </c>
      <c r="CG27" s="29">
        <f>CE27*CF27</f>
        <v>0</v>
      </c>
      <c r="CH27" s="1836"/>
      <c r="CI27" s="1837"/>
      <c r="CJ27" s="1838"/>
      <c r="CK27" s="1839"/>
      <c r="CL27" s="1839"/>
      <c r="CM27" s="907">
        <f>CR24*CM26</f>
        <v>0</v>
      </c>
      <c r="CN27" s="902">
        <f>CN26</f>
        <v>0</v>
      </c>
      <c r="CO27" s="902">
        <f>CM27*CN27</f>
        <v>0</v>
      </c>
      <c r="CP27" s="1840"/>
      <c r="CQ27" s="1841"/>
      <c r="CR27" s="1842"/>
      <c r="CS27" s="1843"/>
      <c r="CT27" s="1843"/>
      <c r="CU27" s="1844"/>
      <c r="CV27" s="1844"/>
      <c r="CW27" s="1845"/>
      <c r="CX27" s="1844"/>
      <c r="CY27" s="1845"/>
      <c r="CZ27" s="1845"/>
      <c r="DA27" s="1845"/>
      <c r="DB27" s="908" t="s">
        <v>302</v>
      </c>
      <c r="DC27" s="794">
        <f>$CV21</f>
        <v>0</v>
      </c>
      <c r="DD27" s="794">
        <f>$CV24</f>
        <v>0</v>
      </c>
      <c r="DE27" s="794">
        <f>$CV29</f>
        <v>0</v>
      </c>
      <c r="DF27" s="794">
        <f>$CV34</f>
        <v>0</v>
      </c>
      <c r="DG27" s="794">
        <f>$CV39</f>
        <v>0</v>
      </c>
      <c r="DH27" s="794">
        <f>$CV44</f>
        <v>0</v>
      </c>
      <c r="DI27" s="794">
        <f>$CV49</f>
        <v>0</v>
      </c>
      <c r="DJ27" s="794">
        <f>$CV54</f>
        <v>0</v>
      </c>
      <c r="DK27" s="794">
        <f>$CV59</f>
        <v>0</v>
      </c>
      <c r="DL27" s="794">
        <f>$CV64</f>
        <v>0</v>
      </c>
      <c r="DM27" s="794">
        <f>$CV69</f>
        <v>0</v>
      </c>
      <c r="DN27" s="794">
        <f>$CV74</f>
        <v>0</v>
      </c>
      <c r="DO27" s="905">
        <f>SUM(DC27:DN27)</f>
        <v>0</v>
      </c>
    </row>
    <row r="28" spans="1:122" x14ac:dyDescent="0.3">
      <c r="A28" s="1835"/>
      <c r="B28" s="108" t="s">
        <v>254</v>
      </c>
      <c r="C28" s="906">
        <f>C24+C25-C27</f>
        <v>0</v>
      </c>
      <c r="D28" s="29">
        <f>D27</f>
        <v>0</v>
      </c>
      <c r="E28" s="29">
        <f>D28*C28</f>
        <v>0</v>
      </c>
      <c r="F28" s="1836"/>
      <c r="G28" s="1837"/>
      <c r="H28" s="1838"/>
      <c r="I28" s="1839"/>
      <c r="J28" s="1839"/>
      <c r="K28" s="907">
        <f>K24+K25-K27</f>
        <v>0</v>
      </c>
      <c r="L28" s="902">
        <f>L27</f>
        <v>0</v>
      </c>
      <c r="M28" s="902">
        <f>L28*K28</f>
        <v>0</v>
      </c>
      <c r="N28" s="1840"/>
      <c r="O28" s="1841"/>
      <c r="P28" s="1842"/>
      <c r="Q28" s="1843"/>
      <c r="R28" s="1843"/>
      <c r="S28" s="906">
        <f>S24+S25-S27</f>
        <v>0</v>
      </c>
      <c r="T28" s="29">
        <f>T27</f>
        <v>0</v>
      </c>
      <c r="U28" s="29">
        <f>T28*S28</f>
        <v>0</v>
      </c>
      <c r="V28" s="1836"/>
      <c r="W28" s="1837"/>
      <c r="X28" s="1838"/>
      <c r="Y28" s="1839"/>
      <c r="Z28" s="1839"/>
      <c r="AA28" s="907">
        <f>AA24+AA25-AA27</f>
        <v>0</v>
      </c>
      <c r="AB28" s="902">
        <f>AB27</f>
        <v>0</v>
      </c>
      <c r="AC28" s="902">
        <f>AB28*AA28</f>
        <v>0</v>
      </c>
      <c r="AD28" s="1840"/>
      <c r="AE28" s="1841"/>
      <c r="AF28" s="1842"/>
      <c r="AG28" s="1843"/>
      <c r="AH28" s="1843"/>
      <c r="AI28" s="906">
        <f>AI24+AI25-AI27</f>
        <v>0</v>
      </c>
      <c r="AJ28" s="29">
        <f>AJ27</f>
        <v>0</v>
      </c>
      <c r="AK28" s="29">
        <f>AJ28*AI28</f>
        <v>0</v>
      </c>
      <c r="AL28" s="1836"/>
      <c r="AM28" s="1837"/>
      <c r="AN28" s="1838"/>
      <c r="AO28" s="1839"/>
      <c r="AP28" s="1839"/>
      <c r="AQ28" s="907">
        <f>AQ24+AQ25-AQ27</f>
        <v>0</v>
      </c>
      <c r="AR28" s="902">
        <f>AR27</f>
        <v>0</v>
      </c>
      <c r="AS28" s="902">
        <f>AR28*AQ28</f>
        <v>0</v>
      </c>
      <c r="AT28" s="1840"/>
      <c r="AU28" s="1841"/>
      <c r="AV28" s="1842"/>
      <c r="AW28" s="1843"/>
      <c r="AX28" s="1843"/>
      <c r="AY28" s="906">
        <f>AY24+AY25-AY27</f>
        <v>0</v>
      </c>
      <c r="AZ28" s="29">
        <f>AZ27</f>
        <v>0</v>
      </c>
      <c r="BA28" s="29">
        <f>AZ28*AY28</f>
        <v>0</v>
      </c>
      <c r="BB28" s="1836"/>
      <c r="BC28" s="1837"/>
      <c r="BD28" s="1838"/>
      <c r="BE28" s="1839"/>
      <c r="BF28" s="1839"/>
      <c r="BG28" s="907">
        <f>BG24+BG25-BG27</f>
        <v>0</v>
      </c>
      <c r="BH28" s="902">
        <f>BH27</f>
        <v>0</v>
      </c>
      <c r="BI28" s="902">
        <f>BH28*BG28</f>
        <v>0</v>
      </c>
      <c r="BJ28" s="1840"/>
      <c r="BK28" s="1841"/>
      <c r="BL28" s="1842"/>
      <c r="BM28" s="1843"/>
      <c r="BN28" s="1843"/>
      <c r="BO28" s="906">
        <f>BO24+BO25-BO27</f>
        <v>0</v>
      </c>
      <c r="BP28" s="29">
        <f>BP27</f>
        <v>0</v>
      </c>
      <c r="BQ28" s="29">
        <f>BP28*BO28</f>
        <v>0</v>
      </c>
      <c r="BR28" s="1836"/>
      <c r="BS28" s="1837"/>
      <c r="BT28" s="1838"/>
      <c r="BU28" s="1839"/>
      <c r="BV28" s="1839"/>
      <c r="BW28" s="907">
        <f>BW24+BW25-BW27</f>
        <v>0</v>
      </c>
      <c r="BX28" s="902">
        <f>BX27</f>
        <v>0</v>
      </c>
      <c r="BY28" s="902">
        <f>BX28*BW28</f>
        <v>0</v>
      </c>
      <c r="BZ28" s="1840"/>
      <c r="CA28" s="1841"/>
      <c r="CB28" s="1842"/>
      <c r="CC28" s="1843"/>
      <c r="CD28" s="1843"/>
      <c r="CE28" s="906">
        <f>CE24+CE25-CE27</f>
        <v>0</v>
      </c>
      <c r="CF28" s="29">
        <f>CF27</f>
        <v>0</v>
      </c>
      <c r="CG28" s="29">
        <f>CF28*CE28</f>
        <v>0</v>
      </c>
      <c r="CH28" s="1836"/>
      <c r="CI28" s="1837"/>
      <c r="CJ28" s="1838"/>
      <c r="CK28" s="1839"/>
      <c r="CL28" s="1839"/>
      <c r="CM28" s="907">
        <f>CM24+CM25-CM27</f>
        <v>0</v>
      </c>
      <c r="CN28" s="902">
        <f>CN27</f>
        <v>0</v>
      </c>
      <c r="CO28" s="902">
        <f>CN28*CM28</f>
        <v>0</v>
      </c>
      <c r="CP28" s="1840"/>
      <c r="CQ28" s="1841"/>
      <c r="CR28" s="1842"/>
      <c r="CS28" s="1843"/>
      <c r="CT28" s="1843"/>
      <c r="CU28" s="1844"/>
      <c r="CV28" s="1844"/>
      <c r="CW28" s="1845"/>
      <c r="CX28" s="1844"/>
      <c r="CY28" s="1845"/>
      <c r="CZ28" s="1845"/>
      <c r="DA28" s="1845"/>
      <c r="DB28" s="908" t="s">
        <v>316</v>
      </c>
      <c r="DC28" s="910"/>
      <c r="DD28" s="910"/>
      <c r="DE28" s="910"/>
      <c r="DF28" s="910"/>
      <c r="DG28" s="910"/>
      <c r="DH28" s="910"/>
      <c r="DI28" s="910"/>
      <c r="DJ28" s="910"/>
      <c r="DK28" s="910"/>
      <c r="DL28" s="910"/>
      <c r="DM28" s="910"/>
      <c r="DN28" s="910"/>
      <c r="DO28" s="911">
        <f>IF(DO22=0,0,DO27/DO22)</f>
        <v>0</v>
      </c>
    </row>
    <row r="29" spans="1:122" x14ac:dyDescent="0.3">
      <c r="A29" s="1835" t="str">
        <f>TRIBUTS!K3</f>
        <v>MARÇ</v>
      </c>
      <c r="B29" s="108" t="s">
        <v>255</v>
      </c>
      <c r="C29" s="906">
        <f>C28</f>
        <v>0</v>
      </c>
      <c r="D29" s="29">
        <f>D28</f>
        <v>0</v>
      </c>
      <c r="E29" s="29">
        <f>C29*D29</f>
        <v>0</v>
      </c>
      <c r="F29" s="1836">
        <f>E30*$I$3</f>
        <v>0</v>
      </c>
      <c r="G29" s="1837">
        <f>G24</f>
        <v>0</v>
      </c>
      <c r="H29" s="1838">
        <f>H24</f>
        <v>0</v>
      </c>
      <c r="I29" s="1839">
        <f>E32/(1-G29)</f>
        <v>0</v>
      </c>
      <c r="J29" s="1839">
        <f>I29*$F$3</f>
        <v>0</v>
      </c>
      <c r="K29" s="907">
        <f>K28</f>
        <v>0</v>
      </c>
      <c r="L29" s="902">
        <f>L28</f>
        <v>0</v>
      </c>
      <c r="M29" s="902">
        <f>K29*L29</f>
        <v>0</v>
      </c>
      <c r="N29" s="1840">
        <f>M30*$I$4</f>
        <v>0</v>
      </c>
      <c r="O29" s="1841">
        <f>O24</f>
        <v>0</v>
      </c>
      <c r="P29" s="1842">
        <f>P24</f>
        <v>0</v>
      </c>
      <c r="Q29" s="1843">
        <f>M32/(1-O29)</f>
        <v>0</v>
      </c>
      <c r="R29" s="1843">
        <f>Q29*$F$4</f>
        <v>0</v>
      </c>
      <c r="S29" s="906">
        <f>S28</f>
        <v>0</v>
      </c>
      <c r="T29" s="29">
        <f>T28</f>
        <v>0</v>
      </c>
      <c r="U29" s="29">
        <f>S29*T29</f>
        <v>0</v>
      </c>
      <c r="V29" s="1836">
        <f>U30*$I$5</f>
        <v>0</v>
      </c>
      <c r="W29" s="1837">
        <f>W24</f>
        <v>0</v>
      </c>
      <c r="X29" s="1838">
        <f>X24</f>
        <v>0</v>
      </c>
      <c r="Y29" s="1839">
        <f>U32/(1-W29)</f>
        <v>0</v>
      </c>
      <c r="Z29" s="1839">
        <f>Y29*$F$5</f>
        <v>0</v>
      </c>
      <c r="AA29" s="907">
        <f>AA28</f>
        <v>0</v>
      </c>
      <c r="AB29" s="902">
        <f>AB28</f>
        <v>0</v>
      </c>
      <c r="AC29" s="902">
        <f>AA29*AB29</f>
        <v>0</v>
      </c>
      <c r="AD29" s="1840">
        <f>AC30*$I$6</f>
        <v>0</v>
      </c>
      <c r="AE29" s="1841">
        <f>AE24</f>
        <v>0</v>
      </c>
      <c r="AF29" s="1842">
        <f>AF24</f>
        <v>0</v>
      </c>
      <c r="AG29" s="1843">
        <f>AC32/(1-AE29)</f>
        <v>0</v>
      </c>
      <c r="AH29" s="1843">
        <f>AG29*$F$6</f>
        <v>0</v>
      </c>
      <c r="AI29" s="906">
        <f>AI28</f>
        <v>0</v>
      </c>
      <c r="AJ29" s="29">
        <f>AJ28</f>
        <v>0</v>
      </c>
      <c r="AK29" s="29">
        <f>AI29*AJ29</f>
        <v>0</v>
      </c>
      <c r="AL29" s="1836">
        <f>AK30*$I$7</f>
        <v>0</v>
      </c>
      <c r="AM29" s="1837">
        <f>AM24</f>
        <v>0</v>
      </c>
      <c r="AN29" s="1838">
        <f>AN24</f>
        <v>0</v>
      </c>
      <c r="AO29" s="1839">
        <f>AK32/(1-AM29)</f>
        <v>0</v>
      </c>
      <c r="AP29" s="1839">
        <f>AO29*$F$7</f>
        <v>0</v>
      </c>
      <c r="AQ29" s="907">
        <f>AQ28</f>
        <v>0</v>
      </c>
      <c r="AR29" s="902">
        <f>AR28</f>
        <v>0</v>
      </c>
      <c r="AS29" s="902">
        <f>AQ29*AR29</f>
        <v>0</v>
      </c>
      <c r="AT29" s="1840">
        <f>AS30*$I$8</f>
        <v>0</v>
      </c>
      <c r="AU29" s="1841">
        <f>AU24</f>
        <v>0</v>
      </c>
      <c r="AV29" s="1842">
        <f>AV24</f>
        <v>0</v>
      </c>
      <c r="AW29" s="1843">
        <f>AS32/(1-AU29)</f>
        <v>0</v>
      </c>
      <c r="AX29" s="1843">
        <f>AW29*$F$8</f>
        <v>0</v>
      </c>
      <c r="AY29" s="906">
        <f>AY28</f>
        <v>0</v>
      </c>
      <c r="AZ29" s="29">
        <f>AZ28</f>
        <v>0</v>
      </c>
      <c r="BA29" s="29">
        <f>AY29*AZ29</f>
        <v>0</v>
      </c>
      <c r="BB29" s="1836">
        <f>BA30*$I$9</f>
        <v>0</v>
      </c>
      <c r="BC29" s="1837">
        <f>BC24</f>
        <v>0</v>
      </c>
      <c r="BD29" s="1838">
        <f>BD24</f>
        <v>0</v>
      </c>
      <c r="BE29" s="1839">
        <f>BA32/(1-BC29)</f>
        <v>0</v>
      </c>
      <c r="BF29" s="1839">
        <f>BE29*$F$9</f>
        <v>0</v>
      </c>
      <c r="BG29" s="907">
        <f>BG28</f>
        <v>0</v>
      </c>
      <c r="BH29" s="902">
        <f>BH28</f>
        <v>0</v>
      </c>
      <c r="BI29" s="902">
        <f>BG29*BH29</f>
        <v>0</v>
      </c>
      <c r="BJ29" s="1840">
        <f>BI30*$I$10</f>
        <v>0</v>
      </c>
      <c r="BK29" s="1841">
        <f>BK24</f>
        <v>0</v>
      </c>
      <c r="BL29" s="1842">
        <f>BL24</f>
        <v>0</v>
      </c>
      <c r="BM29" s="1843">
        <f>BI32/(1-BK29)</f>
        <v>0</v>
      </c>
      <c r="BN29" s="1843">
        <f>BM29*$F$10</f>
        <v>0</v>
      </c>
      <c r="BO29" s="906">
        <f>BO28</f>
        <v>0</v>
      </c>
      <c r="BP29" s="29">
        <f>BP28</f>
        <v>0</v>
      </c>
      <c r="BQ29" s="29">
        <f>BO29*BP29</f>
        <v>0</v>
      </c>
      <c r="BR29" s="1836">
        <f>BQ30*$I$11</f>
        <v>0</v>
      </c>
      <c r="BS29" s="1837">
        <f>BS24</f>
        <v>0</v>
      </c>
      <c r="BT29" s="1838">
        <f>BT24</f>
        <v>0</v>
      </c>
      <c r="BU29" s="1839">
        <f>BQ32/(1-BS29)</f>
        <v>0</v>
      </c>
      <c r="BV29" s="1839">
        <f>BU29*$F$11</f>
        <v>0</v>
      </c>
      <c r="BW29" s="907">
        <f>BW28</f>
        <v>0</v>
      </c>
      <c r="BX29" s="902">
        <f>BX28</f>
        <v>0</v>
      </c>
      <c r="BY29" s="902">
        <f>BW29*BX29</f>
        <v>0</v>
      </c>
      <c r="BZ29" s="1840">
        <f>BY30*$I$12</f>
        <v>0</v>
      </c>
      <c r="CA29" s="1841">
        <f>CA24</f>
        <v>0</v>
      </c>
      <c r="CB29" s="1842">
        <f>CB24</f>
        <v>0</v>
      </c>
      <c r="CC29" s="1843">
        <f>BY32/(1-CA29)</f>
        <v>0</v>
      </c>
      <c r="CD29" s="1843">
        <f>CC29*$F$12</f>
        <v>0</v>
      </c>
      <c r="CE29" s="906">
        <f>CE28</f>
        <v>0</v>
      </c>
      <c r="CF29" s="29">
        <f>CF28</f>
        <v>0</v>
      </c>
      <c r="CG29" s="29">
        <f>CE29*CF29</f>
        <v>0</v>
      </c>
      <c r="CH29" s="1836">
        <f>CG30*$I$13</f>
        <v>0</v>
      </c>
      <c r="CI29" s="1837">
        <f>CI24</f>
        <v>0</v>
      </c>
      <c r="CJ29" s="1838">
        <f>CJ24</f>
        <v>0</v>
      </c>
      <c r="CK29" s="1839">
        <f>CG32/(1-CI29)</f>
        <v>0</v>
      </c>
      <c r="CL29" s="1839">
        <f>CK29*$F$13</f>
        <v>0</v>
      </c>
      <c r="CM29" s="907">
        <f>CM28</f>
        <v>0</v>
      </c>
      <c r="CN29" s="902">
        <f>CN28</f>
        <v>0</v>
      </c>
      <c r="CO29" s="902">
        <f>CM29*CN29</f>
        <v>0</v>
      </c>
      <c r="CP29" s="1840">
        <f>CO30*$I$14</f>
        <v>0</v>
      </c>
      <c r="CQ29" s="1841">
        <f>CQ24</f>
        <v>0</v>
      </c>
      <c r="CR29" s="1842">
        <f>CR24</f>
        <v>0</v>
      </c>
      <c r="CS29" s="1843">
        <f>CO32/(1-CQ29)</f>
        <v>0</v>
      </c>
      <c r="CT29" s="1843">
        <f>CS29*$F$14</f>
        <v>0</v>
      </c>
      <c r="CU29" s="1844">
        <f>E30+M30+U30+AC30+AK30+AS30+BA30+BI30+BQ30+BY30+CG30+CO30</f>
        <v>0</v>
      </c>
      <c r="CV29" s="1844">
        <f>CP29+CH29+BZ29+BR29+BJ29+BB29+AT29+AL29+AD29+V29+N29+F29</f>
        <v>0</v>
      </c>
      <c r="CW29" s="1845">
        <f>I29+Q29+Y29+AG29+AO29+AW29+BE29+BM29+BU29+CC29+CK29+CS29</f>
        <v>0</v>
      </c>
      <c r="CX29" s="1844">
        <f>CT29+CL29+CD29+BV29+BN29+BF29+AX29+AP29+AH29+Z29+R29+J29</f>
        <v>0</v>
      </c>
      <c r="CY29" s="1845">
        <f>CZ24</f>
        <v>0</v>
      </c>
      <c r="CZ29" s="1845">
        <f>E33+M33+U33+AC33+AK33+AS33+BA33+BI33+BQ33+BY33+CG33+CO33</f>
        <v>0</v>
      </c>
      <c r="DA29" s="1845">
        <f>CZ29-CY29</f>
        <v>0</v>
      </c>
      <c r="DB29" s="914"/>
    </row>
    <row r="30" spans="1:122" x14ac:dyDescent="0.3">
      <c r="A30" s="1835"/>
      <c r="B30" s="108" t="s">
        <v>310</v>
      </c>
      <c r="C30" s="898">
        <f>C25</f>
        <v>0</v>
      </c>
      <c r="D30" s="899">
        <f>D25</f>
        <v>0</v>
      </c>
      <c r="E30" s="29">
        <f>C30*D30</f>
        <v>0</v>
      </c>
      <c r="F30" s="1836"/>
      <c r="G30" s="1837"/>
      <c r="H30" s="1838"/>
      <c r="I30" s="1839"/>
      <c r="J30" s="1839"/>
      <c r="K30" s="900">
        <f>K25</f>
        <v>0</v>
      </c>
      <c r="L30" s="901">
        <f>L25</f>
        <v>0</v>
      </c>
      <c r="M30" s="902">
        <f>K30*L30</f>
        <v>0</v>
      </c>
      <c r="N30" s="1840"/>
      <c r="O30" s="1841"/>
      <c r="P30" s="1842"/>
      <c r="Q30" s="1843"/>
      <c r="R30" s="1843"/>
      <c r="S30" s="898">
        <f>S25</f>
        <v>0</v>
      </c>
      <c r="T30" s="899">
        <f>T25</f>
        <v>0</v>
      </c>
      <c r="U30" s="29">
        <f>S30*T30</f>
        <v>0</v>
      </c>
      <c r="V30" s="1836"/>
      <c r="W30" s="1837"/>
      <c r="X30" s="1838"/>
      <c r="Y30" s="1839"/>
      <c r="Z30" s="1839"/>
      <c r="AA30" s="900">
        <f>AA25</f>
        <v>0</v>
      </c>
      <c r="AB30" s="901">
        <f>AB25</f>
        <v>0</v>
      </c>
      <c r="AC30" s="902">
        <f>AA30*AB30</f>
        <v>0</v>
      </c>
      <c r="AD30" s="1840"/>
      <c r="AE30" s="1841"/>
      <c r="AF30" s="1842"/>
      <c r="AG30" s="1843"/>
      <c r="AH30" s="1843"/>
      <c r="AI30" s="898">
        <f>AI25</f>
        <v>0</v>
      </c>
      <c r="AJ30" s="899">
        <f>AJ25</f>
        <v>0</v>
      </c>
      <c r="AK30" s="29">
        <f>AI30*AJ30</f>
        <v>0</v>
      </c>
      <c r="AL30" s="1836"/>
      <c r="AM30" s="1837"/>
      <c r="AN30" s="1838"/>
      <c r="AO30" s="1839"/>
      <c r="AP30" s="1839"/>
      <c r="AQ30" s="900">
        <f>AQ25</f>
        <v>0</v>
      </c>
      <c r="AR30" s="901">
        <f>AR25</f>
        <v>0</v>
      </c>
      <c r="AS30" s="902">
        <f>AQ30*AR30</f>
        <v>0</v>
      </c>
      <c r="AT30" s="1840"/>
      <c r="AU30" s="1841"/>
      <c r="AV30" s="1842"/>
      <c r="AW30" s="1843"/>
      <c r="AX30" s="1843"/>
      <c r="AY30" s="898">
        <f>AY25</f>
        <v>0</v>
      </c>
      <c r="AZ30" s="899">
        <f>AZ25</f>
        <v>0</v>
      </c>
      <c r="BA30" s="29">
        <f>AY30*AZ30</f>
        <v>0</v>
      </c>
      <c r="BB30" s="1836"/>
      <c r="BC30" s="1837"/>
      <c r="BD30" s="1838"/>
      <c r="BE30" s="1839"/>
      <c r="BF30" s="1839"/>
      <c r="BG30" s="900">
        <f>BG25</f>
        <v>0</v>
      </c>
      <c r="BH30" s="901">
        <f>BH25</f>
        <v>0</v>
      </c>
      <c r="BI30" s="902">
        <f>BG30*BH30</f>
        <v>0</v>
      </c>
      <c r="BJ30" s="1840"/>
      <c r="BK30" s="1841"/>
      <c r="BL30" s="1842"/>
      <c r="BM30" s="1843"/>
      <c r="BN30" s="1843"/>
      <c r="BO30" s="898">
        <f>BO25</f>
        <v>0</v>
      </c>
      <c r="BP30" s="899">
        <f>BP25</f>
        <v>0</v>
      </c>
      <c r="BQ30" s="29">
        <f>BO30*BP30</f>
        <v>0</v>
      </c>
      <c r="BR30" s="1836"/>
      <c r="BS30" s="1837"/>
      <c r="BT30" s="1838"/>
      <c r="BU30" s="1839"/>
      <c r="BV30" s="1839"/>
      <c r="BW30" s="900">
        <f>BW25</f>
        <v>0</v>
      </c>
      <c r="BX30" s="901">
        <f>BX25</f>
        <v>0</v>
      </c>
      <c r="BY30" s="902">
        <f>BW30*BX30</f>
        <v>0</v>
      </c>
      <c r="BZ30" s="1840"/>
      <c r="CA30" s="1841"/>
      <c r="CB30" s="1842"/>
      <c r="CC30" s="1843"/>
      <c r="CD30" s="1843"/>
      <c r="CE30" s="898">
        <f>CE25</f>
        <v>0</v>
      </c>
      <c r="CF30" s="899">
        <f>CF25</f>
        <v>0</v>
      </c>
      <c r="CG30" s="29">
        <f>CE30*CF30</f>
        <v>0</v>
      </c>
      <c r="CH30" s="1836"/>
      <c r="CI30" s="1837"/>
      <c r="CJ30" s="1838"/>
      <c r="CK30" s="1839"/>
      <c r="CL30" s="1839"/>
      <c r="CM30" s="900">
        <f>CM25</f>
        <v>0</v>
      </c>
      <c r="CN30" s="901">
        <f>CN25</f>
        <v>0</v>
      </c>
      <c r="CO30" s="902">
        <f>CM30*CN30</f>
        <v>0</v>
      </c>
      <c r="CP30" s="1840"/>
      <c r="CQ30" s="1841"/>
      <c r="CR30" s="1842"/>
      <c r="CS30" s="1843"/>
      <c r="CT30" s="1843"/>
      <c r="CU30" s="1844"/>
      <c r="CV30" s="1844"/>
      <c r="CW30" s="1845"/>
      <c r="CX30" s="1844"/>
      <c r="CY30" s="1845"/>
      <c r="CZ30" s="1845"/>
      <c r="DA30" s="1845"/>
      <c r="DB30" s="912"/>
    </row>
    <row r="31" spans="1:122" ht="12.75" hidden="1" customHeight="1" x14ac:dyDescent="0.3">
      <c r="A31" s="1835"/>
      <c r="B31" s="108" t="s">
        <v>315</v>
      </c>
      <c r="C31" s="906">
        <f>C30+C29</f>
        <v>0</v>
      </c>
      <c r="D31" s="29">
        <f>IF(C31=0,0,E31/C31)</f>
        <v>0</v>
      </c>
      <c r="E31" s="29">
        <f>E30+E29</f>
        <v>0</v>
      </c>
      <c r="F31" s="1836"/>
      <c r="G31" s="1837"/>
      <c r="H31" s="1838"/>
      <c r="I31" s="1839"/>
      <c r="J31" s="1839"/>
      <c r="K31" s="907">
        <f>K30+K29</f>
        <v>0</v>
      </c>
      <c r="L31" s="902">
        <f>IF(K31=0,0,M31/K31)</f>
        <v>0</v>
      </c>
      <c r="M31" s="902">
        <f>M30+M29</f>
        <v>0</v>
      </c>
      <c r="N31" s="1840"/>
      <c r="O31" s="1841"/>
      <c r="P31" s="1842"/>
      <c r="Q31" s="1843"/>
      <c r="R31" s="1843"/>
      <c r="S31" s="906">
        <f>S30+S29</f>
        <v>0</v>
      </c>
      <c r="T31" s="29">
        <f>IF(S31=0,0,U31/S31)</f>
        <v>0</v>
      </c>
      <c r="U31" s="29">
        <f>U30+U29</f>
        <v>0</v>
      </c>
      <c r="V31" s="1836"/>
      <c r="W31" s="1837"/>
      <c r="X31" s="1838"/>
      <c r="Y31" s="1839"/>
      <c r="Z31" s="1839"/>
      <c r="AA31" s="907">
        <f>AA30+AA29</f>
        <v>0</v>
      </c>
      <c r="AB31" s="902">
        <f>IF(AA31=0,0,AC31/AA31)</f>
        <v>0</v>
      </c>
      <c r="AC31" s="902">
        <f>AC30+AC29</f>
        <v>0</v>
      </c>
      <c r="AD31" s="1840"/>
      <c r="AE31" s="1841"/>
      <c r="AF31" s="1842"/>
      <c r="AG31" s="1843"/>
      <c r="AH31" s="1843"/>
      <c r="AI31" s="906">
        <f>AI30+AI29</f>
        <v>0</v>
      </c>
      <c r="AJ31" s="29">
        <f>IF(AI31=0,0,AK31/AI31)</f>
        <v>0</v>
      </c>
      <c r="AK31" s="29">
        <f>AK30+AK29</f>
        <v>0</v>
      </c>
      <c r="AL31" s="1836"/>
      <c r="AM31" s="1837"/>
      <c r="AN31" s="1838"/>
      <c r="AO31" s="1839"/>
      <c r="AP31" s="1839"/>
      <c r="AQ31" s="907">
        <f>AQ30+AQ29</f>
        <v>0</v>
      </c>
      <c r="AR31" s="902">
        <f>IF(AQ31=0,0,AS31/AQ31)</f>
        <v>0</v>
      </c>
      <c r="AS31" s="902">
        <f>AS30+AS29</f>
        <v>0</v>
      </c>
      <c r="AT31" s="1840"/>
      <c r="AU31" s="1841"/>
      <c r="AV31" s="1842"/>
      <c r="AW31" s="1843"/>
      <c r="AX31" s="1843"/>
      <c r="AY31" s="906">
        <f>AY30+AY29</f>
        <v>0</v>
      </c>
      <c r="AZ31" s="29">
        <f>IF(AY31=0,0,BA31/AY31)</f>
        <v>0</v>
      </c>
      <c r="BA31" s="29">
        <f>BA30+BA29</f>
        <v>0</v>
      </c>
      <c r="BB31" s="1836"/>
      <c r="BC31" s="1837"/>
      <c r="BD31" s="1838"/>
      <c r="BE31" s="1839"/>
      <c r="BF31" s="1839"/>
      <c r="BG31" s="907">
        <f>BG30+BG29</f>
        <v>0</v>
      </c>
      <c r="BH31" s="902">
        <f>IF(BG31=0,0,BI31/BG31)</f>
        <v>0</v>
      </c>
      <c r="BI31" s="902">
        <f>BI30+BI29</f>
        <v>0</v>
      </c>
      <c r="BJ31" s="1840"/>
      <c r="BK31" s="1841"/>
      <c r="BL31" s="1842"/>
      <c r="BM31" s="1843"/>
      <c r="BN31" s="1843"/>
      <c r="BO31" s="906">
        <f>BO30+BO29</f>
        <v>0</v>
      </c>
      <c r="BP31" s="29">
        <f>IF(BO31=0,0,BQ31/BO31)</f>
        <v>0</v>
      </c>
      <c r="BQ31" s="29">
        <f>BQ30+BQ29</f>
        <v>0</v>
      </c>
      <c r="BR31" s="1836"/>
      <c r="BS31" s="1837"/>
      <c r="BT31" s="1838"/>
      <c r="BU31" s="1839"/>
      <c r="BV31" s="1839"/>
      <c r="BW31" s="907">
        <f>BW30+BW29</f>
        <v>0</v>
      </c>
      <c r="BX31" s="902">
        <f>IF(BW31=0,0,BY31/BW31)</f>
        <v>0</v>
      </c>
      <c r="BY31" s="902">
        <f>BY30+BY29</f>
        <v>0</v>
      </c>
      <c r="BZ31" s="1840"/>
      <c r="CA31" s="1841"/>
      <c r="CB31" s="1842"/>
      <c r="CC31" s="1843"/>
      <c r="CD31" s="1843"/>
      <c r="CE31" s="906">
        <f>CE30+CE29</f>
        <v>0</v>
      </c>
      <c r="CF31" s="29">
        <f>IF(CE31=0,0,CG31/CE31)</f>
        <v>0</v>
      </c>
      <c r="CG31" s="29">
        <f>CG30+CG29</f>
        <v>0</v>
      </c>
      <c r="CH31" s="1836"/>
      <c r="CI31" s="1837"/>
      <c r="CJ31" s="1838"/>
      <c r="CK31" s="1839"/>
      <c r="CL31" s="1839"/>
      <c r="CM31" s="907">
        <f>CM30+CM29</f>
        <v>0</v>
      </c>
      <c r="CN31" s="902">
        <f>IF(CM31=0,0,CO31/CM31)</f>
        <v>0</v>
      </c>
      <c r="CO31" s="902">
        <f>CO30+CO29</f>
        <v>0</v>
      </c>
      <c r="CP31" s="1840"/>
      <c r="CQ31" s="1841"/>
      <c r="CR31" s="1842"/>
      <c r="CS31" s="1843"/>
      <c r="CT31" s="1843"/>
      <c r="CU31" s="1844"/>
      <c r="CV31" s="1844"/>
      <c r="CW31" s="1845"/>
      <c r="CX31" s="1844"/>
      <c r="CY31" s="1845"/>
      <c r="CZ31" s="1845"/>
      <c r="DA31" s="1845"/>
      <c r="DB31" s="912"/>
    </row>
    <row r="32" spans="1:122" x14ac:dyDescent="0.3">
      <c r="A32" s="1835"/>
      <c r="B32" s="108" t="s">
        <v>312</v>
      </c>
      <c r="C32" s="906">
        <f>H29*C31</f>
        <v>0</v>
      </c>
      <c r="D32" s="29">
        <f>D31</f>
        <v>0</v>
      </c>
      <c r="E32" s="29">
        <f>C32*D32</f>
        <v>0</v>
      </c>
      <c r="F32" s="1836"/>
      <c r="G32" s="1837"/>
      <c r="H32" s="1838"/>
      <c r="I32" s="1839"/>
      <c r="J32" s="1839"/>
      <c r="K32" s="907">
        <f>P29*K31</f>
        <v>0</v>
      </c>
      <c r="L32" s="902">
        <f>L31</f>
        <v>0</v>
      </c>
      <c r="M32" s="902">
        <f>K32*L32</f>
        <v>0</v>
      </c>
      <c r="N32" s="1840"/>
      <c r="O32" s="1841"/>
      <c r="P32" s="1842"/>
      <c r="Q32" s="1843"/>
      <c r="R32" s="1843"/>
      <c r="S32" s="906">
        <f>X29*S31</f>
        <v>0</v>
      </c>
      <c r="T32" s="29">
        <f>T31</f>
        <v>0</v>
      </c>
      <c r="U32" s="29">
        <f>S32*T32</f>
        <v>0</v>
      </c>
      <c r="V32" s="1836"/>
      <c r="W32" s="1837"/>
      <c r="X32" s="1838"/>
      <c r="Y32" s="1839"/>
      <c r="Z32" s="1839"/>
      <c r="AA32" s="907">
        <f>AF29*AA31</f>
        <v>0</v>
      </c>
      <c r="AB32" s="902">
        <f>AB31</f>
        <v>0</v>
      </c>
      <c r="AC32" s="902">
        <f>AA32*AB32</f>
        <v>0</v>
      </c>
      <c r="AD32" s="1840"/>
      <c r="AE32" s="1841"/>
      <c r="AF32" s="1842"/>
      <c r="AG32" s="1843"/>
      <c r="AH32" s="1843"/>
      <c r="AI32" s="906">
        <f>AN29*AI31</f>
        <v>0</v>
      </c>
      <c r="AJ32" s="29">
        <f>AJ31</f>
        <v>0</v>
      </c>
      <c r="AK32" s="29">
        <f>AI32*AJ32</f>
        <v>0</v>
      </c>
      <c r="AL32" s="1836"/>
      <c r="AM32" s="1837"/>
      <c r="AN32" s="1838"/>
      <c r="AO32" s="1839"/>
      <c r="AP32" s="1839"/>
      <c r="AQ32" s="907">
        <f>AV29*AQ31</f>
        <v>0</v>
      </c>
      <c r="AR32" s="902">
        <f>AR31</f>
        <v>0</v>
      </c>
      <c r="AS32" s="902">
        <f>AQ32*AR32</f>
        <v>0</v>
      </c>
      <c r="AT32" s="1840"/>
      <c r="AU32" s="1841"/>
      <c r="AV32" s="1842"/>
      <c r="AW32" s="1843"/>
      <c r="AX32" s="1843"/>
      <c r="AY32" s="906">
        <f>BD29*AY31</f>
        <v>0</v>
      </c>
      <c r="AZ32" s="29">
        <f>AZ31</f>
        <v>0</v>
      </c>
      <c r="BA32" s="29">
        <f>AY32*AZ32</f>
        <v>0</v>
      </c>
      <c r="BB32" s="1836"/>
      <c r="BC32" s="1837"/>
      <c r="BD32" s="1838"/>
      <c r="BE32" s="1839"/>
      <c r="BF32" s="1839"/>
      <c r="BG32" s="907">
        <f>BL29*BG31</f>
        <v>0</v>
      </c>
      <c r="BH32" s="902">
        <f>BH31</f>
        <v>0</v>
      </c>
      <c r="BI32" s="902">
        <f>BG32*BH32</f>
        <v>0</v>
      </c>
      <c r="BJ32" s="1840"/>
      <c r="BK32" s="1841"/>
      <c r="BL32" s="1842"/>
      <c r="BM32" s="1843"/>
      <c r="BN32" s="1843"/>
      <c r="BO32" s="906">
        <f>BT29*BO31</f>
        <v>0</v>
      </c>
      <c r="BP32" s="29">
        <f>BP31</f>
        <v>0</v>
      </c>
      <c r="BQ32" s="29">
        <f>BO32*BP32</f>
        <v>0</v>
      </c>
      <c r="BR32" s="1836"/>
      <c r="BS32" s="1837"/>
      <c r="BT32" s="1838"/>
      <c r="BU32" s="1839"/>
      <c r="BV32" s="1839"/>
      <c r="BW32" s="907">
        <f>CB29*BW31</f>
        <v>0</v>
      </c>
      <c r="BX32" s="902">
        <f>BX31</f>
        <v>0</v>
      </c>
      <c r="BY32" s="902">
        <f>BW32*BX32</f>
        <v>0</v>
      </c>
      <c r="BZ32" s="1840"/>
      <c r="CA32" s="1841"/>
      <c r="CB32" s="1842"/>
      <c r="CC32" s="1843"/>
      <c r="CD32" s="1843"/>
      <c r="CE32" s="906">
        <f>CJ29*CE31</f>
        <v>0</v>
      </c>
      <c r="CF32" s="29">
        <f>CF31</f>
        <v>0</v>
      </c>
      <c r="CG32" s="29">
        <f>CE32*CF32</f>
        <v>0</v>
      </c>
      <c r="CH32" s="1836"/>
      <c r="CI32" s="1837"/>
      <c r="CJ32" s="1838"/>
      <c r="CK32" s="1839"/>
      <c r="CL32" s="1839"/>
      <c r="CM32" s="907">
        <f>CR29*CM31</f>
        <v>0</v>
      </c>
      <c r="CN32" s="902">
        <f>CN31</f>
        <v>0</v>
      </c>
      <c r="CO32" s="902">
        <f>CM32*CN32</f>
        <v>0</v>
      </c>
      <c r="CP32" s="1840"/>
      <c r="CQ32" s="1841"/>
      <c r="CR32" s="1842"/>
      <c r="CS32" s="1843"/>
      <c r="CT32" s="1843"/>
      <c r="CU32" s="1844"/>
      <c r="CV32" s="1844"/>
      <c r="CW32" s="1845"/>
      <c r="CX32" s="1844"/>
      <c r="CY32" s="1845"/>
      <c r="CZ32" s="1845"/>
      <c r="DA32" s="1845"/>
      <c r="DB32" s="912"/>
    </row>
    <row r="33" spans="1:106" x14ac:dyDescent="0.3">
      <c r="A33" s="1835"/>
      <c r="B33" s="108" t="s">
        <v>254</v>
      </c>
      <c r="C33" s="906">
        <f>C29+C30-C32</f>
        <v>0</v>
      </c>
      <c r="D33" s="29">
        <f>D32</f>
        <v>0</v>
      </c>
      <c r="E33" s="29">
        <f>D33*C33</f>
        <v>0</v>
      </c>
      <c r="F33" s="1836"/>
      <c r="G33" s="1837"/>
      <c r="H33" s="1838"/>
      <c r="I33" s="1839"/>
      <c r="J33" s="1839"/>
      <c r="K33" s="907">
        <f>K29+K30-K32</f>
        <v>0</v>
      </c>
      <c r="L33" s="902">
        <f>L32</f>
        <v>0</v>
      </c>
      <c r="M33" s="902">
        <f>L33*K33</f>
        <v>0</v>
      </c>
      <c r="N33" s="1840"/>
      <c r="O33" s="1841"/>
      <c r="P33" s="1842"/>
      <c r="Q33" s="1843"/>
      <c r="R33" s="1843"/>
      <c r="S33" s="906">
        <f>S29+S30-S32</f>
        <v>0</v>
      </c>
      <c r="T33" s="29">
        <f>T32</f>
        <v>0</v>
      </c>
      <c r="U33" s="29">
        <f>T33*S33</f>
        <v>0</v>
      </c>
      <c r="V33" s="1836"/>
      <c r="W33" s="1837"/>
      <c r="X33" s="1838"/>
      <c r="Y33" s="1839"/>
      <c r="Z33" s="1839"/>
      <c r="AA33" s="907">
        <f>AA29+AA30-AA32</f>
        <v>0</v>
      </c>
      <c r="AB33" s="902">
        <f>AB32</f>
        <v>0</v>
      </c>
      <c r="AC33" s="902">
        <f>AB33*AA33</f>
        <v>0</v>
      </c>
      <c r="AD33" s="1840"/>
      <c r="AE33" s="1841"/>
      <c r="AF33" s="1842"/>
      <c r="AG33" s="1843"/>
      <c r="AH33" s="1843"/>
      <c r="AI33" s="906">
        <f>AI29+AI30-AI32</f>
        <v>0</v>
      </c>
      <c r="AJ33" s="29">
        <f>AJ32</f>
        <v>0</v>
      </c>
      <c r="AK33" s="29">
        <f>AJ33*AI33</f>
        <v>0</v>
      </c>
      <c r="AL33" s="1836"/>
      <c r="AM33" s="1837"/>
      <c r="AN33" s="1838"/>
      <c r="AO33" s="1839"/>
      <c r="AP33" s="1839"/>
      <c r="AQ33" s="907">
        <f>AQ29+AQ30-AQ32</f>
        <v>0</v>
      </c>
      <c r="AR33" s="902">
        <f>AR32</f>
        <v>0</v>
      </c>
      <c r="AS33" s="902">
        <f>AR33*AQ33</f>
        <v>0</v>
      </c>
      <c r="AT33" s="1840"/>
      <c r="AU33" s="1841"/>
      <c r="AV33" s="1842"/>
      <c r="AW33" s="1843"/>
      <c r="AX33" s="1843"/>
      <c r="AY33" s="906">
        <f>AY29+AY30-AY32</f>
        <v>0</v>
      </c>
      <c r="AZ33" s="29">
        <f>AZ32</f>
        <v>0</v>
      </c>
      <c r="BA33" s="29">
        <f>AZ33*AY33</f>
        <v>0</v>
      </c>
      <c r="BB33" s="1836"/>
      <c r="BC33" s="1837"/>
      <c r="BD33" s="1838"/>
      <c r="BE33" s="1839"/>
      <c r="BF33" s="1839"/>
      <c r="BG33" s="907">
        <f>BG29+BG30-BG32</f>
        <v>0</v>
      </c>
      <c r="BH33" s="902">
        <f>BH32</f>
        <v>0</v>
      </c>
      <c r="BI33" s="902">
        <f>BH33*BG33</f>
        <v>0</v>
      </c>
      <c r="BJ33" s="1840"/>
      <c r="BK33" s="1841"/>
      <c r="BL33" s="1842"/>
      <c r="BM33" s="1843"/>
      <c r="BN33" s="1843"/>
      <c r="BO33" s="906">
        <f>BO29+BO30-BO32</f>
        <v>0</v>
      </c>
      <c r="BP33" s="29">
        <f>BP32</f>
        <v>0</v>
      </c>
      <c r="BQ33" s="29">
        <f>BP33*BO33</f>
        <v>0</v>
      </c>
      <c r="BR33" s="1836"/>
      <c r="BS33" s="1837"/>
      <c r="BT33" s="1838"/>
      <c r="BU33" s="1839"/>
      <c r="BV33" s="1839"/>
      <c r="BW33" s="907">
        <f>BW29+BW30-BW32</f>
        <v>0</v>
      </c>
      <c r="BX33" s="902">
        <f>BX32</f>
        <v>0</v>
      </c>
      <c r="BY33" s="902">
        <f>BX33*BW33</f>
        <v>0</v>
      </c>
      <c r="BZ33" s="1840"/>
      <c r="CA33" s="1841"/>
      <c r="CB33" s="1842"/>
      <c r="CC33" s="1843"/>
      <c r="CD33" s="1843"/>
      <c r="CE33" s="906">
        <f>CE29+CE30-CE32</f>
        <v>0</v>
      </c>
      <c r="CF33" s="29">
        <f>CF32</f>
        <v>0</v>
      </c>
      <c r="CG33" s="29">
        <f>CF33*CE33</f>
        <v>0</v>
      </c>
      <c r="CH33" s="1836"/>
      <c r="CI33" s="1837"/>
      <c r="CJ33" s="1838"/>
      <c r="CK33" s="1839"/>
      <c r="CL33" s="1839"/>
      <c r="CM33" s="907">
        <f>CM29+CM30-CM32</f>
        <v>0</v>
      </c>
      <c r="CN33" s="902">
        <f>CN32</f>
        <v>0</v>
      </c>
      <c r="CO33" s="902">
        <f>CN33*CM33</f>
        <v>0</v>
      </c>
      <c r="CP33" s="1840"/>
      <c r="CQ33" s="1841"/>
      <c r="CR33" s="1842"/>
      <c r="CS33" s="1843"/>
      <c r="CT33" s="1843"/>
      <c r="CU33" s="1844"/>
      <c r="CV33" s="1844"/>
      <c r="CW33" s="1845"/>
      <c r="CX33" s="1844"/>
      <c r="CY33" s="1845"/>
      <c r="CZ33" s="1845"/>
      <c r="DA33" s="1845"/>
      <c r="DB33" s="912"/>
    </row>
    <row r="34" spans="1:106" x14ac:dyDescent="0.3">
      <c r="A34" s="1835" t="str">
        <f>TRIBUTS!K4</f>
        <v>ABRIL</v>
      </c>
      <c r="B34" s="108" t="s">
        <v>255</v>
      </c>
      <c r="C34" s="906">
        <f>C33</f>
        <v>0</v>
      </c>
      <c r="D34" s="29">
        <f>D33</f>
        <v>0</v>
      </c>
      <c r="E34" s="29">
        <f>C34*D34</f>
        <v>0</v>
      </c>
      <c r="F34" s="1836">
        <f>E35*$I$3</f>
        <v>0</v>
      </c>
      <c r="G34" s="1837">
        <f>G29</f>
        <v>0</v>
      </c>
      <c r="H34" s="1838">
        <f>H29</f>
        <v>0</v>
      </c>
      <c r="I34" s="1839">
        <f>E37/(1-G34)</f>
        <v>0</v>
      </c>
      <c r="J34" s="1839">
        <f>I34*$F$3</f>
        <v>0</v>
      </c>
      <c r="K34" s="907">
        <f>K33</f>
        <v>0</v>
      </c>
      <c r="L34" s="902">
        <f>L33</f>
        <v>0</v>
      </c>
      <c r="M34" s="902">
        <f>K34*L34</f>
        <v>0</v>
      </c>
      <c r="N34" s="1840">
        <f>M35*$I$4</f>
        <v>0</v>
      </c>
      <c r="O34" s="1841">
        <f>O29</f>
        <v>0</v>
      </c>
      <c r="P34" s="1842">
        <f>P29</f>
        <v>0</v>
      </c>
      <c r="Q34" s="1843">
        <f>M37/(1-O34)</f>
        <v>0</v>
      </c>
      <c r="R34" s="1843">
        <f>Q34*$F$4</f>
        <v>0</v>
      </c>
      <c r="S34" s="906">
        <f>S33</f>
        <v>0</v>
      </c>
      <c r="T34" s="29">
        <f>T33</f>
        <v>0</v>
      </c>
      <c r="U34" s="29">
        <f>S34*T34</f>
        <v>0</v>
      </c>
      <c r="V34" s="1836">
        <f>U35*$I$5</f>
        <v>0</v>
      </c>
      <c r="W34" s="1837">
        <f>W29</f>
        <v>0</v>
      </c>
      <c r="X34" s="1838">
        <f>X29</f>
        <v>0</v>
      </c>
      <c r="Y34" s="1839">
        <f>U37/(1-W34)</f>
        <v>0</v>
      </c>
      <c r="Z34" s="1839">
        <f>Y34*$F$5</f>
        <v>0</v>
      </c>
      <c r="AA34" s="907">
        <f>AA33</f>
        <v>0</v>
      </c>
      <c r="AB34" s="902">
        <f>AB33</f>
        <v>0</v>
      </c>
      <c r="AC34" s="902">
        <f>AA34*AB34</f>
        <v>0</v>
      </c>
      <c r="AD34" s="1840">
        <f>AC35*$I$6</f>
        <v>0</v>
      </c>
      <c r="AE34" s="1841">
        <f>AE29</f>
        <v>0</v>
      </c>
      <c r="AF34" s="1842">
        <f>AF29</f>
        <v>0</v>
      </c>
      <c r="AG34" s="1843">
        <f>AC37/(1-AE34)</f>
        <v>0</v>
      </c>
      <c r="AH34" s="1843">
        <f>AG34*$F$6</f>
        <v>0</v>
      </c>
      <c r="AI34" s="906">
        <f>AI33</f>
        <v>0</v>
      </c>
      <c r="AJ34" s="29">
        <f>AJ33</f>
        <v>0</v>
      </c>
      <c r="AK34" s="29">
        <f>AI34*AJ34</f>
        <v>0</v>
      </c>
      <c r="AL34" s="1836">
        <f>AK35*$I$7</f>
        <v>0</v>
      </c>
      <c r="AM34" s="1837">
        <f>AM29</f>
        <v>0</v>
      </c>
      <c r="AN34" s="1838">
        <f>AN29</f>
        <v>0</v>
      </c>
      <c r="AO34" s="1839">
        <f>AK37/(1-AM34)</f>
        <v>0</v>
      </c>
      <c r="AP34" s="1839">
        <f>AO34*$F$7</f>
        <v>0</v>
      </c>
      <c r="AQ34" s="907">
        <f>AQ33</f>
        <v>0</v>
      </c>
      <c r="AR34" s="902">
        <f>AR33</f>
        <v>0</v>
      </c>
      <c r="AS34" s="902">
        <f>AQ34*AR34</f>
        <v>0</v>
      </c>
      <c r="AT34" s="1840">
        <f>AS35*$I$8</f>
        <v>0</v>
      </c>
      <c r="AU34" s="1841">
        <f>AU29</f>
        <v>0</v>
      </c>
      <c r="AV34" s="1842">
        <f>AV29</f>
        <v>0</v>
      </c>
      <c r="AW34" s="1843">
        <f>AS37/(1-AU34)</f>
        <v>0</v>
      </c>
      <c r="AX34" s="1843">
        <f>AW34*$F$8</f>
        <v>0</v>
      </c>
      <c r="AY34" s="906">
        <f>AY33</f>
        <v>0</v>
      </c>
      <c r="AZ34" s="29">
        <f>AZ33</f>
        <v>0</v>
      </c>
      <c r="BA34" s="29">
        <f>AY34*AZ34</f>
        <v>0</v>
      </c>
      <c r="BB34" s="1836">
        <f>BA35*$I$9</f>
        <v>0</v>
      </c>
      <c r="BC34" s="1837">
        <f>BC29</f>
        <v>0</v>
      </c>
      <c r="BD34" s="1838">
        <f>BD29</f>
        <v>0</v>
      </c>
      <c r="BE34" s="1839">
        <f>BA37/(1-BC34)</f>
        <v>0</v>
      </c>
      <c r="BF34" s="1839">
        <f>BE34*$F$9</f>
        <v>0</v>
      </c>
      <c r="BG34" s="907">
        <f>BG33</f>
        <v>0</v>
      </c>
      <c r="BH34" s="902">
        <f>BH33</f>
        <v>0</v>
      </c>
      <c r="BI34" s="902">
        <f>BG34*BH34</f>
        <v>0</v>
      </c>
      <c r="BJ34" s="1840">
        <f>BI35*$I$10</f>
        <v>0</v>
      </c>
      <c r="BK34" s="1841">
        <f>BK29</f>
        <v>0</v>
      </c>
      <c r="BL34" s="1842">
        <f>BL29</f>
        <v>0</v>
      </c>
      <c r="BM34" s="1843">
        <f>BI37/(1-BK34)</f>
        <v>0</v>
      </c>
      <c r="BN34" s="1843">
        <f>BM34*$F$10</f>
        <v>0</v>
      </c>
      <c r="BO34" s="906">
        <f>BO33</f>
        <v>0</v>
      </c>
      <c r="BP34" s="29">
        <f>BP33</f>
        <v>0</v>
      </c>
      <c r="BQ34" s="29">
        <f>BO34*BP34</f>
        <v>0</v>
      </c>
      <c r="BR34" s="1836">
        <f>BQ35*$I$11</f>
        <v>0</v>
      </c>
      <c r="BS34" s="1837">
        <f>BS29</f>
        <v>0</v>
      </c>
      <c r="BT34" s="1838">
        <f>BT29</f>
        <v>0</v>
      </c>
      <c r="BU34" s="1839">
        <f>BQ37/(1-BS34)</f>
        <v>0</v>
      </c>
      <c r="BV34" s="1839">
        <f>BU34*$F$11</f>
        <v>0</v>
      </c>
      <c r="BW34" s="907">
        <f>BW33</f>
        <v>0</v>
      </c>
      <c r="BX34" s="902">
        <f>BX33</f>
        <v>0</v>
      </c>
      <c r="BY34" s="902">
        <f>BW34*BX34</f>
        <v>0</v>
      </c>
      <c r="BZ34" s="1840">
        <f>BY35*$I$12</f>
        <v>0</v>
      </c>
      <c r="CA34" s="1841">
        <f>CA29</f>
        <v>0</v>
      </c>
      <c r="CB34" s="1842">
        <f>CB29</f>
        <v>0</v>
      </c>
      <c r="CC34" s="1843">
        <f>BY37/(1-CA34)</f>
        <v>0</v>
      </c>
      <c r="CD34" s="1843">
        <f>CC34*$F$12</f>
        <v>0</v>
      </c>
      <c r="CE34" s="906">
        <f>CE33</f>
        <v>0</v>
      </c>
      <c r="CF34" s="29">
        <f>CF33</f>
        <v>0</v>
      </c>
      <c r="CG34" s="29">
        <f>CE34*CF34</f>
        <v>0</v>
      </c>
      <c r="CH34" s="1836">
        <f>CG35*$I$13</f>
        <v>0</v>
      </c>
      <c r="CI34" s="1837">
        <f>CI29</f>
        <v>0</v>
      </c>
      <c r="CJ34" s="1838">
        <f>CJ29</f>
        <v>0</v>
      </c>
      <c r="CK34" s="1839">
        <f>CG37/(1-CI34)</f>
        <v>0</v>
      </c>
      <c r="CL34" s="1839">
        <f>CK34*$F$13</f>
        <v>0</v>
      </c>
      <c r="CM34" s="907">
        <f>CM33</f>
        <v>0</v>
      </c>
      <c r="CN34" s="902">
        <f>CN33</f>
        <v>0</v>
      </c>
      <c r="CO34" s="902">
        <f>CM34*CN34</f>
        <v>0</v>
      </c>
      <c r="CP34" s="1840">
        <f>CO35*$I$14</f>
        <v>0</v>
      </c>
      <c r="CQ34" s="1841">
        <f>CQ29</f>
        <v>0</v>
      </c>
      <c r="CR34" s="1842">
        <f>CR29</f>
        <v>0</v>
      </c>
      <c r="CS34" s="1843">
        <f>CO37/(1-CQ34)</f>
        <v>0</v>
      </c>
      <c r="CT34" s="1843">
        <f>CS34*$F$14</f>
        <v>0</v>
      </c>
      <c r="CU34" s="1844">
        <f>E35+M35+U35+AC35+AK35+AS35+BA35+BI35+BQ35+BY35+CG35+CO35</f>
        <v>0</v>
      </c>
      <c r="CV34" s="1844">
        <f>CP34+CH34+BZ34+BR34+BJ34+BB34+AT34+AL34+AD34+V34+N34+F34</f>
        <v>0</v>
      </c>
      <c r="CW34" s="1845">
        <f>I34+Q34+Y34+AG34+AO34+AW34+BE34+BM34+BU34+CC34+CK34+CS34</f>
        <v>0</v>
      </c>
      <c r="CX34" s="1844">
        <f>CT34+CL34+CD34+BV34+BN34+BF34+AX34+AP34+AH34+Z34+R34+J34</f>
        <v>0</v>
      </c>
      <c r="CY34" s="1845">
        <f>CZ29</f>
        <v>0</v>
      </c>
      <c r="CZ34" s="1845">
        <f>E38+M38+U38+AC38+AK38+AS38+BA38+BI38+BQ38+BY38+CG38+CO38</f>
        <v>0</v>
      </c>
      <c r="DA34" s="1845">
        <f>CZ34-CY34</f>
        <v>0</v>
      </c>
      <c r="DB34" s="914"/>
    </row>
    <row r="35" spans="1:106" x14ac:dyDescent="0.3">
      <c r="A35" s="1835"/>
      <c r="B35" s="108" t="s">
        <v>310</v>
      </c>
      <c r="C35" s="898">
        <f>C30</f>
        <v>0</v>
      </c>
      <c r="D35" s="899">
        <f>D30</f>
        <v>0</v>
      </c>
      <c r="E35" s="29">
        <f>C35*D35</f>
        <v>0</v>
      </c>
      <c r="F35" s="1836"/>
      <c r="G35" s="1837"/>
      <c r="H35" s="1838"/>
      <c r="I35" s="1839"/>
      <c r="J35" s="1839"/>
      <c r="K35" s="900">
        <f>K30</f>
        <v>0</v>
      </c>
      <c r="L35" s="901">
        <f>L30</f>
        <v>0</v>
      </c>
      <c r="M35" s="902">
        <f>K35*L35</f>
        <v>0</v>
      </c>
      <c r="N35" s="1840"/>
      <c r="O35" s="1841"/>
      <c r="P35" s="1842"/>
      <c r="Q35" s="1843"/>
      <c r="R35" s="1843"/>
      <c r="S35" s="898">
        <f>S30</f>
        <v>0</v>
      </c>
      <c r="T35" s="899">
        <f>T30</f>
        <v>0</v>
      </c>
      <c r="U35" s="29">
        <f>S35*T35</f>
        <v>0</v>
      </c>
      <c r="V35" s="1836"/>
      <c r="W35" s="1837"/>
      <c r="X35" s="1838"/>
      <c r="Y35" s="1839"/>
      <c r="Z35" s="1839"/>
      <c r="AA35" s="900">
        <f>AA30</f>
        <v>0</v>
      </c>
      <c r="AB35" s="901">
        <f>AB30</f>
        <v>0</v>
      </c>
      <c r="AC35" s="902">
        <f>AA35*AB35</f>
        <v>0</v>
      </c>
      <c r="AD35" s="1840"/>
      <c r="AE35" s="1841"/>
      <c r="AF35" s="1842"/>
      <c r="AG35" s="1843"/>
      <c r="AH35" s="1843"/>
      <c r="AI35" s="898">
        <f>AI30</f>
        <v>0</v>
      </c>
      <c r="AJ35" s="899">
        <f>AJ30</f>
        <v>0</v>
      </c>
      <c r="AK35" s="29">
        <f>AI35*AJ35</f>
        <v>0</v>
      </c>
      <c r="AL35" s="1836"/>
      <c r="AM35" s="1837"/>
      <c r="AN35" s="1838"/>
      <c r="AO35" s="1839"/>
      <c r="AP35" s="1839"/>
      <c r="AQ35" s="900">
        <f>AQ30</f>
        <v>0</v>
      </c>
      <c r="AR35" s="901">
        <f>AR30</f>
        <v>0</v>
      </c>
      <c r="AS35" s="902">
        <f>AQ35*AR35</f>
        <v>0</v>
      </c>
      <c r="AT35" s="1840"/>
      <c r="AU35" s="1841"/>
      <c r="AV35" s="1842"/>
      <c r="AW35" s="1843"/>
      <c r="AX35" s="1843"/>
      <c r="AY35" s="898">
        <f>AY30</f>
        <v>0</v>
      </c>
      <c r="AZ35" s="899">
        <f>AZ30</f>
        <v>0</v>
      </c>
      <c r="BA35" s="29">
        <f>AY35*AZ35</f>
        <v>0</v>
      </c>
      <c r="BB35" s="1836"/>
      <c r="BC35" s="1837"/>
      <c r="BD35" s="1838"/>
      <c r="BE35" s="1839"/>
      <c r="BF35" s="1839"/>
      <c r="BG35" s="900">
        <f>BG30</f>
        <v>0</v>
      </c>
      <c r="BH35" s="901">
        <f>BH30</f>
        <v>0</v>
      </c>
      <c r="BI35" s="902">
        <f>BG35*BH35</f>
        <v>0</v>
      </c>
      <c r="BJ35" s="1840"/>
      <c r="BK35" s="1841"/>
      <c r="BL35" s="1842"/>
      <c r="BM35" s="1843"/>
      <c r="BN35" s="1843"/>
      <c r="BO35" s="898">
        <f>BO30</f>
        <v>0</v>
      </c>
      <c r="BP35" s="899">
        <f>BP30</f>
        <v>0</v>
      </c>
      <c r="BQ35" s="29">
        <f>BO35*BP35</f>
        <v>0</v>
      </c>
      <c r="BR35" s="1836"/>
      <c r="BS35" s="1837"/>
      <c r="BT35" s="1838"/>
      <c r="BU35" s="1839"/>
      <c r="BV35" s="1839"/>
      <c r="BW35" s="900">
        <f>BW30</f>
        <v>0</v>
      </c>
      <c r="BX35" s="901">
        <f>BX30</f>
        <v>0</v>
      </c>
      <c r="BY35" s="902">
        <f>BW35*BX35</f>
        <v>0</v>
      </c>
      <c r="BZ35" s="1840"/>
      <c r="CA35" s="1841"/>
      <c r="CB35" s="1842"/>
      <c r="CC35" s="1843"/>
      <c r="CD35" s="1843"/>
      <c r="CE35" s="898">
        <f>CE30</f>
        <v>0</v>
      </c>
      <c r="CF35" s="899">
        <f>CF30</f>
        <v>0</v>
      </c>
      <c r="CG35" s="29">
        <f>CE35*CF35</f>
        <v>0</v>
      </c>
      <c r="CH35" s="1836"/>
      <c r="CI35" s="1837"/>
      <c r="CJ35" s="1838"/>
      <c r="CK35" s="1839"/>
      <c r="CL35" s="1839"/>
      <c r="CM35" s="900">
        <f>CM30</f>
        <v>0</v>
      </c>
      <c r="CN35" s="901">
        <f>CN30</f>
        <v>0</v>
      </c>
      <c r="CO35" s="902">
        <f>CM35*CN35</f>
        <v>0</v>
      </c>
      <c r="CP35" s="1840"/>
      <c r="CQ35" s="1841"/>
      <c r="CR35" s="1842"/>
      <c r="CS35" s="1843"/>
      <c r="CT35" s="1843"/>
      <c r="CU35" s="1844"/>
      <c r="CV35" s="1844"/>
      <c r="CW35" s="1845"/>
      <c r="CX35" s="1844"/>
      <c r="CY35" s="1845"/>
      <c r="CZ35" s="1845"/>
      <c r="DA35" s="1845"/>
      <c r="DB35" s="912"/>
    </row>
    <row r="36" spans="1:106" ht="12.75" hidden="1" customHeight="1" x14ac:dyDescent="0.3">
      <c r="A36" s="1835"/>
      <c r="B36" s="108" t="s">
        <v>315</v>
      </c>
      <c r="C36" s="906">
        <f>C35+C34</f>
        <v>0</v>
      </c>
      <c r="D36" s="29">
        <f>IF(C36=0,0,E36/C36)</f>
        <v>0</v>
      </c>
      <c r="E36" s="29">
        <f>E35+E34</f>
        <v>0</v>
      </c>
      <c r="F36" s="1836"/>
      <c r="G36" s="1837"/>
      <c r="H36" s="1838"/>
      <c r="I36" s="1839"/>
      <c r="J36" s="1839"/>
      <c r="K36" s="907">
        <f>K35+K34</f>
        <v>0</v>
      </c>
      <c r="L36" s="902">
        <f>IF(K36=0,0,M36/K36)</f>
        <v>0</v>
      </c>
      <c r="M36" s="902">
        <f>M35+M34</f>
        <v>0</v>
      </c>
      <c r="N36" s="1840"/>
      <c r="O36" s="1841"/>
      <c r="P36" s="1842"/>
      <c r="Q36" s="1843"/>
      <c r="R36" s="1843"/>
      <c r="S36" s="906">
        <f>S35+S34</f>
        <v>0</v>
      </c>
      <c r="T36" s="29">
        <f>IF(S36=0,0,U36/S36)</f>
        <v>0</v>
      </c>
      <c r="U36" s="29">
        <f>U35+U34</f>
        <v>0</v>
      </c>
      <c r="V36" s="1836"/>
      <c r="W36" s="1837"/>
      <c r="X36" s="1838"/>
      <c r="Y36" s="1839"/>
      <c r="Z36" s="1839"/>
      <c r="AA36" s="907">
        <f>AA35+AA34</f>
        <v>0</v>
      </c>
      <c r="AB36" s="902">
        <f>IF(AA36=0,0,AC36/AA36)</f>
        <v>0</v>
      </c>
      <c r="AC36" s="902">
        <f>AC35+AC34</f>
        <v>0</v>
      </c>
      <c r="AD36" s="1840"/>
      <c r="AE36" s="1841"/>
      <c r="AF36" s="1842"/>
      <c r="AG36" s="1843"/>
      <c r="AH36" s="1843"/>
      <c r="AI36" s="906">
        <f>AI35+AI34</f>
        <v>0</v>
      </c>
      <c r="AJ36" s="29">
        <f>IF(AI36=0,0,AK36/AI36)</f>
        <v>0</v>
      </c>
      <c r="AK36" s="29">
        <f>AK35+AK34</f>
        <v>0</v>
      </c>
      <c r="AL36" s="1836"/>
      <c r="AM36" s="1837"/>
      <c r="AN36" s="1838"/>
      <c r="AO36" s="1839"/>
      <c r="AP36" s="1839"/>
      <c r="AQ36" s="907">
        <f>AQ35+AQ34</f>
        <v>0</v>
      </c>
      <c r="AR36" s="902">
        <f>IF(AQ36=0,0,AS36/AQ36)</f>
        <v>0</v>
      </c>
      <c r="AS36" s="902">
        <f>AS35+AS34</f>
        <v>0</v>
      </c>
      <c r="AT36" s="1840"/>
      <c r="AU36" s="1841"/>
      <c r="AV36" s="1842"/>
      <c r="AW36" s="1843"/>
      <c r="AX36" s="1843"/>
      <c r="AY36" s="906">
        <f>AY35+AY34</f>
        <v>0</v>
      </c>
      <c r="AZ36" s="29">
        <f>IF(AY36=0,0,BA36/AY36)</f>
        <v>0</v>
      </c>
      <c r="BA36" s="29">
        <f>BA35+BA34</f>
        <v>0</v>
      </c>
      <c r="BB36" s="1836"/>
      <c r="BC36" s="1837"/>
      <c r="BD36" s="1838"/>
      <c r="BE36" s="1839"/>
      <c r="BF36" s="1839"/>
      <c r="BG36" s="907">
        <f>BG35+BG34</f>
        <v>0</v>
      </c>
      <c r="BH36" s="902">
        <f>IF(BG36=0,0,BI36/BG36)</f>
        <v>0</v>
      </c>
      <c r="BI36" s="902">
        <f>BI35+BI34</f>
        <v>0</v>
      </c>
      <c r="BJ36" s="1840"/>
      <c r="BK36" s="1841"/>
      <c r="BL36" s="1842"/>
      <c r="BM36" s="1843"/>
      <c r="BN36" s="1843"/>
      <c r="BO36" s="906">
        <f>BO35+BO34</f>
        <v>0</v>
      </c>
      <c r="BP36" s="29">
        <f>IF(BO36=0,0,BQ36/BO36)</f>
        <v>0</v>
      </c>
      <c r="BQ36" s="29">
        <f>BQ35+BQ34</f>
        <v>0</v>
      </c>
      <c r="BR36" s="1836"/>
      <c r="BS36" s="1837"/>
      <c r="BT36" s="1838"/>
      <c r="BU36" s="1839"/>
      <c r="BV36" s="1839"/>
      <c r="BW36" s="907">
        <f>BW35+BW34</f>
        <v>0</v>
      </c>
      <c r="BX36" s="902">
        <f>IF(BW36=0,0,BY36/BW36)</f>
        <v>0</v>
      </c>
      <c r="BY36" s="902">
        <f>BY35+BY34</f>
        <v>0</v>
      </c>
      <c r="BZ36" s="1840"/>
      <c r="CA36" s="1841"/>
      <c r="CB36" s="1842"/>
      <c r="CC36" s="1843"/>
      <c r="CD36" s="1843"/>
      <c r="CE36" s="906">
        <f>CE35+CE34</f>
        <v>0</v>
      </c>
      <c r="CF36" s="29">
        <f>IF(CE36=0,0,CG36/CE36)</f>
        <v>0</v>
      </c>
      <c r="CG36" s="29">
        <f>CG35+CG34</f>
        <v>0</v>
      </c>
      <c r="CH36" s="1836"/>
      <c r="CI36" s="1837"/>
      <c r="CJ36" s="1838"/>
      <c r="CK36" s="1839"/>
      <c r="CL36" s="1839"/>
      <c r="CM36" s="907">
        <f>CM35+CM34</f>
        <v>0</v>
      </c>
      <c r="CN36" s="902">
        <f>IF(CM36=0,0,CO36/CM36)</f>
        <v>0</v>
      </c>
      <c r="CO36" s="902">
        <f>CO35+CO34</f>
        <v>0</v>
      </c>
      <c r="CP36" s="1840"/>
      <c r="CQ36" s="1841"/>
      <c r="CR36" s="1842"/>
      <c r="CS36" s="1843"/>
      <c r="CT36" s="1843"/>
      <c r="CU36" s="1844"/>
      <c r="CV36" s="1844"/>
      <c r="CW36" s="1845"/>
      <c r="CX36" s="1844"/>
      <c r="CY36" s="1845"/>
      <c r="CZ36" s="1845"/>
      <c r="DA36" s="1845"/>
      <c r="DB36" s="912"/>
    </row>
    <row r="37" spans="1:106" x14ac:dyDescent="0.3">
      <c r="A37" s="1835"/>
      <c r="B37" s="108" t="s">
        <v>312</v>
      </c>
      <c r="C37" s="906">
        <f>H34*C36</f>
        <v>0</v>
      </c>
      <c r="D37" s="29">
        <f>D36</f>
        <v>0</v>
      </c>
      <c r="E37" s="29">
        <f>C37*D37</f>
        <v>0</v>
      </c>
      <c r="F37" s="1836"/>
      <c r="G37" s="1837"/>
      <c r="H37" s="1838"/>
      <c r="I37" s="1839"/>
      <c r="J37" s="1839"/>
      <c r="K37" s="907">
        <f>P34*K36</f>
        <v>0</v>
      </c>
      <c r="L37" s="902">
        <f>L36</f>
        <v>0</v>
      </c>
      <c r="M37" s="902">
        <f>K37*L37</f>
        <v>0</v>
      </c>
      <c r="N37" s="1840"/>
      <c r="O37" s="1841"/>
      <c r="P37" s="1842"/>
      <c r="Q37" s="1843"/>
      <c r="R37" s="1843"/>
      <c r="S37" s="906">
        <f>X34*S36</f>
        <v>0</v>
      </c>
      <c r="T37" s="29">
        <f>T36</f>
        <v>0</v>
      </c>
      <c r="U37" s="29">
        <f>S37*T37</f>
        <v>0</v>
      </c>
      <c r="V37" s="1836"/>
      <c r="W37" s="1837"/>
      <c r="X37" s="1838"/>
      <c r="Y37" s="1839"/>
      <c r="Z37" s="1839"/>
      <c r="AA37" s="907">
        <f>AF34*AA36</f>
        <v>0</v>
      </c>
      <c r="AB37" s="902">
        <f>AB36</f>
        <v>0</v>
      </c>
      <c r="AC37" s="902">
        <f>AA37*AB37</f>
        <v>0</v>
      </c>
      <c r="AD37" s="1840"/>
      <c r="AE37" s="1841"/>
      <c r="AF37" s="1842"/>
      <c r="AG37" s="1843"/>
      <c r="AH37" s="1843"/>
      <c r="AI37" s="906">
        <f>AN34*AI36</f>
        <v>0</v>
      </c>
      <c r="AJ37" s="29">
        <f>AJ36</f>
        <v>0</v>
      </c>
      <c r="AK37" s="29">
        <f>AI37*AJ37</f>
        <v>0</v>
      </c>
      <c r="AL37" s="1836"/>
      <c r="AM37" s="1837"/>
      <c r="AN37" s="1838"/>
      <c r="AO37" s="1839"/>
      <c r="AP37" s="1839"/>
      <c r="AQ37" s="907">
        <f>AV34*AQ36</f>
        <v>0</v>
      </c>
      <c r="AR37" s="902">
        <f>AR36</f>
        <v>0</v>
      </c>
      <c r="AS37" s="902">
        <f>AQ37*AR37</f>
        <v>0</v>
      </c>
      <c r="AT37" s="1840"/>
      <c r="AU37" s="1841"/>
      <c r="AV37" s="1842"/>
      <c r="AW37" s="1843"/>
      <c r="AX37" s="1843"/>
      <c r="AY37" s="906">
        <f>BD34*AY36</f>
        <v>0</v>
      </c>
      <c r="AZ37" s="29">
        <f>AZ36</f>
        <v>0</v>
      </c>
      <c r="BA37" s="29">
        <f>AY37*AZ37</f>
        <v>0</v>
      </c>
      <c r="BB37" s="1836"/>
      <c r="BC37" s="1837"/>
      <c r="BD37" s="1838"/>
      <c r="BE37" s="1839"/>
      <c r="BF37" s="1839"/>
      <c r="BG37" s="907">
        <f>BL34*BG36</f>
        <v>0</v>
      </c>
      <c r="BH37" s="902">
        <f>BH36</f>
        <v>0</v>
      </c>
      <c r="BI37" s="902">
        <f>BG37*BH37</f>
        <v>0</v>
      </c>
      <c r="BJ37" s="1840"/>
      <c r="BK37" s="1841"/>
      <c r="BL37" s="1842"/>
      <c r="BM37" s="1843"/>
      <c r="BN37" s="1843"/>
      <c r="BO37" s="906">
        <f>BT34*BO36</f>
        <v>0</v>
      </c>
      <c r="BP37" s="29">
        <f>BP36</f>
        <v>0</v>
      </c>
      <c r="BQ37" s="29">
        <f>BO37*BP37</f>
        <v>0</v>
      </c>
      <c r="BR37" s="1836"/>
      <c r="BS37" s="1837"/>
      <c r="BT37" s="1838"/>
      <c r="BU37" s="1839"/>
      <c r="BV37" s="1839"/>
      <c r="BW37" s="907">
        <f>CB34*BW36</f>
        <v>0</v>
      </c>
      <c r="BX37" s="902">
        <f>BX36</f>
        <v>0</v>
      </c>
      <c r="BY37" s="902">
        <f>BW37*BX37</f>
        <v>0</v>
      </c>
      <c r="BZ37" s="1840"/>
      <c r="CA37" s="1841"/>
      <c r="CB37" s="1842"/>
      <c r="CC37" s="1843"/>
      <c r="CD37" s="1843"/>
      <c r="CE37" s="906">
        <f>CJ34*CE36</f>
        <v>0</v>
      </c>
      <c r="CF37" s="29">
        <f>CF36</f>
        <v>0</v>
      </c>
      <c r="CG37" s="29">
        <f>CE37*CF37</f>
        <v>0</v>
      </c>
      <c r="CH37" s="1836"/>
      <c r="CI37" s="1837"/>
      <c r="CJ37" s="1838"/>
      <c r="CK37" s="1839"/>
      <c r="CL37" s="1839"/>
      <c r="CM37" s="907">
        <f>CR34*CM36</f>
        <v>0</v>
      </c>
      <c r="CN37" s="902">
        <f>CN36</f>
        <v>0</v>
      </c>
      <c r="CO37" s="902">
        <f>CM37*CN37</f>
        <v>0</v>
      </c>
      <c r="CP37" s="1840"/>
      <c r="CQ37" s="1841"/>
      <c r="CR37" s="1842"/>
      <c r="CS37" s="1843"/>
      <c r="CT37" s="1843"/>
      <c r="CU37" s="1844"/>
      <c r="CV37" s="1844"/>
      <c r="CW37" s="1845"/>
      <c r="CX37" s="1844"/>
      <c r="CY37" s="1845"/>
      <c r="CZ37" s="1845"/>
      <c r="DA37" s="1845"/>
      <c r="DB37" s="912"/>
    </row>
    <row r="38" spans="1:106" x14ac:dyDescent="0.3">
      <c r="A38" s="1835"/>
      <c r="B38" s="108" t="s">
        <v>254</v>
      </c>
      <c r="C38" s="906">
        <f>C34+C35-C37</f>
        <v>0</v>
      </c>
      <c r="D38" s="29">
        <f>D37</f>
        <v>0</v>
      </c>
      <c r="E38" s="29">
        <f>D38*C38</f>
        <v>0</v>
      </c>
      <c r="F38" s="1836"/>
      <c r="G38" s="1837"/>
      <c r="H38" s="1838"/>
      <c r="I38" s="1839"/>
      <c r="J38" s="1839"/>
      <c r="K38" s="907">
        <f>K34+K35-K37</f>
        <v>0</v>
      </c>
      <c r="L38" s="902">
        <f>L37</f>
        <v>0</v>
      </c>
      <c r="M38" s="902">
        <f>L38*K38</f>
        <v>0</v>
      </c>
      <c r="N38" s="1840"/>
      <c r="O38" s="1841"/>
      <c r="P38" s="1842"/>
      <c r="Q38" s="1843"/>
      <c r="R38" s="1843"/>
      <c r="S38" s="906">
        <f>S34+S35-S37</f>
        <v>0</v>
      </c>
      <c r="T38" s="29">
        <f>T37</f>
        <v>0</v>
      </c>
      <c r="U38" s="29">
        <f>T38*S38</f>
        <v>0</v>
      </c>
      <c r="V38" s="1836"/>
      <c r="W38" s="1837"/>
      <c r="X38" s="1838"/>
      <c r="Y38" s="1839"/>
      <c r="Z38" s="1839"/>
      <c r="AA38" s="907">
        <f>AA34+AA35-AA37</f>
        <v>0</v>
      </c>
      <c r="AB38" s="902">
        <f>AB37</f>
        <v>0</v>
      </c>
      <c r="AC38" s="902">
        <f>AB38*AA38</f>
        <v>0</v>
      </c>
      <c r="AD38" s="1840"/>
      <c r="AE38" s="1841"/>
      <c r="AF38" s="1842"/>
      <c r="AG38" s="1843"/>
      <c r="AH38" s="1843"/>
      <c r="AI38" s="906">
        <f>AI34+AI35-AI37</f>
        <v>0</v>
      </c>
      <c r="AJ38" s="29">
        <f>AJ37</f>
        <v>0</v>
      </c>
      <c r="AK38" s="29">
        <f>AJ38*AI38</f>
        <v>0</v>
      </c>
      <c r="AL38" s="1836"/>
      <c r="AM38" s="1837"/>
      <c r="AN38" s="1838"/>
      <c r="AO38" s="1839"/>
      <c r="AP38" s="1839"/>
      <c r="AQ38" s="907">
        <f>AQ34+AQ35-AQ37</f>
        <v>0</v>
      </c>
      <c r="AR38" s="902">
        <f>AR37</f>
        <v>0</v>
      </c>
      <c r="AS38" s="902">
        <f>AR38*AQ38</f>
        <v>0</v>
      </c>
      <c r="AT38" s="1840"/>
      <c r="AU38" s="1841"/>
      <c r="AV38" s="1842"/>
      <c r="AW38" s="1843"/>
      <c r="AX38" s="1843"/>
      <c r="AY38" s="906">
        <f>AY34+AY35-AY37</f>
        <v>0</v>
      </c>
      <c r="AZ38" s="29">
        <f>AZ37</f>
        <v>0</v>
      </c>
      <c r="BA38" s="29">
        <f>AZ38*AY38</f>
        <v>0</v>
      </c>
      <c r="BB38" s="1836"/>
      <c r="BC38" s="1837"/>
      <c r="BD38" s="1838"/>
      <c r="BE38" s="1839"/>
      <c r="BF38" s="1839"/>
      <c r="BG38" s="907">
        <f>BG34+BG35-BG37</f>
        <v>0</v>
      </c>
      <c r="BH38" s="902">
        <f>BH37</f>
        <v>0</v>
      </c>
      <c r="BI38" s="902">
        <f>BH38*BG38</f>
        <v>0</v>
      </c>
      <c r="BJ38" s="1840"/>
      <c r="BK38" s="1841"/>
      <c r="BL38" s="1842"/>
      <c r="BM38" s="1843"/>
      <c r="BN38" s="1843"/>
      <c r="BO38" s="906">
        <f>BO34+BO35-BO37</f>
        <v>0</v>
      </c>
      <c r="BP38" s="29">
        <f>BP37</f>
        <v>0</v>
      </c>
      <c r="BQ38" s="29">
        <f>BP38*BO38</f>
        <v>0</v>
      </c>
      <c r="BR38" s="1836"/>
      <c r="BS38" s="1837"/>
      <c r="BT38" s="1838"/>
      <c r="BU38" s="1839"/>
      <c r="BV38" s="1839"/>
      <c r="BW38" s="907">
        <f>BW34+BW35-BW37</f>
        <v>0</v>
      </c>
      <c r="BX38" s="902">
        <f>BX37</f>
        <v>0</v>
      </c>
      <c r="BY38" s="902">
        <f>BX38*BW38</f>
        <v>0</v>
      </c>
      <c r="BZ38" s="1840"/>
      <c r="CA38" s="1841"/>
      <c r="CB38" s="1842"/>
      <c r="CC38" s="1843"/>
      <c r="CD38" s="1843"/>
      <c r="CE38" s="906">
        <f>CE34+CE35-CE37</f>
        <v>0</v>
      </c>
      <c r="CF38" s="29">
        <f>CF37</f>
        <v>0</v>
      </c>
      <c r="CG38" s="29">
        <f>CF38*CE38</f>
        <v>0</v>
      </c>
      <c r="CH38" s="1836"/>
      <c r="CI38" s="1837"/>
      <c r="CJ38" s="1838"/>
      <c r="CK38" s="1839"/>
      <c r="CL38" s="1839"/>
      <c r="CM38" s="907">
        <f>CM34+CM35-CM37</f>
        <v>0</v>
      </c>
      <c r="CN38" s="902">
        <f>CN37</f>
        <v>0</v>
      </c>
      <c r="CO38" s="902">
        <f>CN38*CM38</f>
        <v>0</v>
      </c>
      <c r="CP38" s="1840"/>
      <c r="CQ38" s="1841"/>
      <c r="CR38" s="1842"/>
      <c r="CS38" s="1843"/>
      <c r="CT38" s="1843"/>
      <c r="CU38" s="1844"/>
      <c r="CV38" s="1844"/>
      <c r="CW38" s="1845"/>
      <c r="CX38" s="1844"/>
      <c r="CY38" s="1845"/>
      <c r="CZ38" s="1845"/>
      <c r="DA38" s="1845"/>
      <c r="DB38" s="912"/>
    </row>
    <row r="39" spans="1:106" x14ac:dyDescent="0.3">
      <c r="A39" s="1835" t="str">
        <f>TRIBUTS!K5</f>
        <v>MAIG</v>
      </c>
      <c r="B39" s="108" t="s">
        <v>255</v>
      </c>
      <c r="C39" s="906">
        <f>C38</f>
        <v>0</v>
      </c>
      <c r="D39" s="29">
        <f>D38</f>
        <v>0</v>
      </c>
      <c r="E39" s="29">
        <f>C39*D39</f>
        <v>0</v>
      </c>
      <c r="F39" s="1836">
        <f>E40*$I$3</f>
        <v>0</v>
      </c>
      <c r="G39" s="1837">
        <f>G34</f>
        <v>0</v>
      </c>
      <c r="H39" s="1838">
        <f>H34</f>
        <v>0</v>
      </c>
      <c r="I39" s="1839">
        <f>E42/(1-G39)</f>
        <v>0</v>
      </c>
      <c r="J39" s="1839">
        <f>I39*$F$3</f>
        <v>0</v>
      </c>
      <c r="K39" s="907">
        <f>K38</f>
        <v>0</v>
      </c>
      <c r="L39" s="902">
        <f>L38</f>
        <v>0</v>
      </c>
      <c r="M39" s="902">
        <f>K39*L39</f>
        <v>0</v>
      </c>
      <c r="N39" s="1840">
        <f>M40*$I$4</f>
        <v>0</v>
      </c>
      <c r="O39" s="1841">
        <f>O34</f>
        <v>0</v>
      </c>
      <c r="P39" s="1842">
        <f>P34</f>
        <v>0</v>
      </c>
      <c r="Q39" s="1843">
        <f>M42/(1-O39)</f>
        <v>0</v>
      </c>
      <c r="R39" s="1843">
        <f>Q39*$F$4</f>
        <v>0</v>
      </c>
      <c r="S39" s="906">
        <f>S38</f>
        <v>0</v>
      </c>
      <c r="T39" s="29">
        <f>T38</f>
        <v>0</v>
      </c>
      <c r="U39" s="29">
        <f>S39*T39</f>
        <v>0</v>
      </c>
      <c r="V39" s="1836">
        <f>U40*$I$5</f>
        <v>0</v>
      </c>
      <c r="W39" s="1837">
        <f>W34</f>
        <v>0</v>
      </c>
      <c r="X39" s="1838">
        <f>X34</f>
        <v>0</v>
      </c>
      <c r="Y39" s="1839">
        <f>U42/(1-W39)</f>
        <v>0</v>
      </c>
      <c r="Z39" s="1839">
        <f>Y39*$F$5</f>
        <v>0</v>
      </c>
      <c r="AA39" s="907">
        <f>AA38</f>
        <v>0</v>
      </c>
      <c r="AB39" s="902">
        <f>AB38</f>
        <v>0</v>
      </c>
      <c r="AC39" s="902">
        <f>AA39*AB39</f>
        <v>0</v>
      </c>
      <c r="AD39" s="1840">
        <f>AC40*$I$6</f>
        <v>0</v>
      </c>
      <c r="AE39" s="1841">
        <f>AE34</f>
        <v>0</v>
      </c>
      <c r="AF39" s="1842">
        <f>AF34</f>
        <v>0</v>
      </c>
      <c r="AG39" s="1843">
        <f>AC42/(1-AE39)</f>
        <v>0</v>
      </c>
      <c r="AH39" s="1843">
        <f>AG39*$F$6</f>
        <v>0</v>
      </c>
      <c r="AI39" s="906">
        <f>AI38</f>
        <v>0</v>
      </c>
      <c r="AJ39" s="29">
        <f>AJ38</f>
        <v>0</v>
      </c>
      <c r="AK39" s="29">
        <f>AI39*AJ39</f>
        <v>0</v>
      </c>
      <c r="AL39" s="1836">
        <f>AK40*$I$7</f>
        <v>0</v>
      </c>
      <c r="AM39" s="1837">
        <f>AM34</f>
        <v>0</v>
      </c>
      <c r="AN39" s="1838">
        <f>AN34</f>
        <v>0</v>
      </c>
      <c r="AO39" s="1839">
        <f>AK42/(1-AM39)</f>
        <v>0</v>
      </c>
      <c r="AP39" s="1839">
        <f>AO39*$F$7</f>
        <v>0</v>
      </c>
      <c r="AQ39" s="907">
        <f>AQ38</f>
        <v>0</v>
      </c>
      <c r="AR39" s="902">
        <f>AR38</f>
        <v>0</v>
      </c>
      <c r="AS39" s="902">
        <f>AQ39*AR39</f>
        <v>0</v>
      </c>
      <c r="AT39" s="1840">
        <f>AS40*$I$8</f>
        <v>0</v>
      </c>
      <c r="AU39" s="1841">
        <f>AU34</f>
        <v>0</v>
      </c>
      <c r="AV39" s="1842">
        <f>AV34</f>
        <v>0</v>
      </c>
      <c r="AW39" s="1843">
        <f>AS42/(1-AU39)</f>
        <v>0</v>
      </c>
      <c r="AX39" s="1843">
        <f>AW39*$F$8</f>
        <v>0</v>
      </c>
      <c r="AY39" s="906">
        <f>AY38</f>
        <v>0</v>
      </c>
      <c r="AZ39" s="29">
        <f>AZ38</f>
        <v>0</v>
      </c>
      <c r="BA39" s="29">
        <f>AY39*AZ39</f>
        <v>0</v>
      </c>
      <c r="BB39" s="1836">
        <f>BA40*$I$9</f>
        <v>0</v>
      </c>
      <c r="BC39" s="1837">
        <f>BC34</f>
        <v>0</v>
      </c>
      <c r="BD39" s="1838">
        <f>BD34</f>
        <v>0</v>
      </c>
      <c r="BE39" s="1839">
        <f>BA42/(1-BC39)</f>
        <v>0</v>
      </c>
      <c r="BF39" s="1839">
        <f>BE39*$F$9</f>
        <v>0</v>
      </c>
      <c r="BG39" s="907">
        <f>BG38</f>
        <v>0</v>
      </c>
      <c r="BH39" s="902">
        <f>BH38</f>
        <v>0</v>
      </c>
      <c r="BI39" s="902">
        <f>BG39*BH39</f>
        <v>0</v>
      </c>
      <c r="BJ39" s="1840">
        <f>BI40*$I$10</f>
        <v>0</v>
      </c>
      <c r="BK39" s="1841">
        <f>BK34</f>
        <v>0</v>
      </c>
      <c r="BL39" s="1842">
        <f>BL34</f>
        <v>0</v>
      </c>
      <c r="BM39" s="1843">
        <f>BI42/(1-BK39)</f>
        <v>0</v>
      </c>
      <c r="BN39" s="1843">
        <f>BM39*$F$10</f>
        <v>0</v>
      </c>
      <c r="BO39" s="906">
        <f>BO38</f>
        <v>0</v>
      </c>
      <c r="BP39" s="29">
        <f>BP38</f>
        <v>0</v>
      </c>
      <c r="BQ39" s="29">
        <f>BO39*BP39</f>
        <v>0</v>
      </c>
      <c r="BR39" s="1836">
        <f>BQ40*$I$11</f>
        <v>0</v>
      </c>
      <c r="BS39" s="1837">
        <f>BS34</f>
        <v>0</v>
      </c>
      <c r="BT39" s="1838">
        <f>BT34</f>
        <v>0</v>
      </c>
      <c r="BU39" s="1839">
        <f>BQ42/(1-BS39)</f>
        <v>0</v>
      </c>
      <c r="BV39" s="1839">
        <f>BU39*$F$11</f>
        <v>0</v>
      </c>
      <c r="BW39" s="907">
        <f>BW38</f>
        <v>0</v>
      </c>
      <c r="BX39" s="902">
        <f>BX38</f>
        <v>0</v>
      </c>
      <c r="BY39" s="902">
        <f>BW39*BX39</f>
        <v>0</v>
      </c>
      <c r="BZ39" s="1840">
        <f>BY40*$I$12</f>
        <v>0</v>
      </c>
      <c r="CA39" s="1841">
        <f>CA34</f>
        <v>0</v>
      </c>
      <c r="CB39" s="1842">
        <f>CB34</f>
        <v>0</v>
      </c>
      <c r="CC39" s="1843">
        <f>BY42/(1-CA39)</f>
        <v>0</v>
      </c>
      <c r="CD39" s="1843">
        <f>CC39*$F$12</f>
        <v>0</v>
      </c>
      <c r="CE39" s="906">
        <f>CE38</f>
        <v>0</v>
      </c>
      <c r="CF39" s="29">
        <f>CF38</f>
        <v>0</v>
      </c>
      <c r="CG39" s="29">
        <f>CE39*CF39</f>
        <v>0</v>
      </c>
      <c r="CH39" s="1836">
        <f>CG40*$I$13</f>
        <v>0</v>
      </c>
      <c r="CI39" s="1837">
        <f>CI34</f>
        <v>0</v>
      </c>
      <c r="CJ39" s="1838">
        <f>CJ34</f>
        <v>0</v>
      </c>
      <c r="CK39" s="1839">
        <f>CG42/(1-CI39)</f>
        <v>0</v>
      </c>
      <c r="CL39" s="1839">
        <f>CK39*$F$13</f>
        <v>0</v>
      </c>
      <c r="CM39" s="907">
        <f>CM38</f>
        <v>0</v>
      </c>
      <c r="CN39" s="902">
        <f>CN38</f>
        <v>0</v>
      </c>
      <c r="CO39" s="902">
        <f>CM39*CN39</f>
        <v>0</v>
      </c>
      <c r="CP39" s="1840">
        <f>CO40*$I$14</f>
        <v>0</v>
      </c>
      <c r="CQ39" s="1841">
        <f>CQ34</f>
        <v>0</v>
      </c>
      <c r="CR39" s="1842">
        <f>CR34</f>
        <v>0</v>
      </c>
      <c r="CS39" s="1843">
        <f>CO42/(1-CQ39)</f>
        <v>0</v>
      </c>
      <c r="CT39" s="1843">
        <f>CS39*$F$14</f>
        <v>0</v>
      </c>
      <c r="CU39" s="1844">
        <f>E40+M40+U40+AC40+AK40+AS40+BA40+BI40+BQ40+BY40+CG40+CO40</f>
        <v>0</v>
      </c>
      <c r="CV39" s="1844">
        <f>CP39+CH39+BZ39+BR39+BJ39+BB39+AT39+AL39+AD39+V39+N39+F39</f>
        <v>0</v>
      </c>
      <c r="CW39" s="1845">
        <f>I39+Q39+Y39+AG39+AO39+AW39+BE39+BM39+BU39+CC39+CK39+CS39</f>
        <v>0</v>
      </c>
      <c r="CX39" s="1844">
        <f>CT39+CL39+CD39+BV39+BN39+BF39+AX39+AP39+AH39+Z39+R39+J39</f>
        <v>0</v>
      </c>
      <c r="CY39" s="1845">
        <f>CZ34</f>
        <v>0</v>
      </c>
      <c r="CZ39" s="1845">
        <f>E43+M43+U43+AC43+AK43+AS43+BA43+BI43+BQ43+BY43+CG43+CO43</f>
        <v>0</v>
      </c>
      <c r="DA39" s="1845">
        <f>CZ39-CY39</f>
        <v>0</v>
      </c>
      <c r="DB39" s="914"/>
    </row>
    <row r="40" spans="1:106" x14ac:dyDescent="0.3">
      <c r="A40" s="1835"/>
      <c r="B40" s="108" t="s">
        <v>310</v>
      </c>
      <c r="C40" s="898">
        <f>C35</f>
        <v>0</v>
      </c>
      <c r="D40" s="899">
        <f>D35</f>
        <v>0</v>
      </c>
      <c r="E40" s="29">
        <f>C40*D40</f>
        <v>0</v>
      </c>
      <c r="F40" s="1836"/>
      <c r="G40" s="1837"/>
      <c r="H40" s="1838"/>
      <c r="I40" s="1839"/>
      <c r="J40" s="1839"/>
      <c r="K40" s="900">
        <f>K35</f>
        <v>0</v>
      </c>
      <c r="L40" s="901">
        <f>L35</f>
        <v>0</v>
      </c>
      <c r="M40" s="902">
        <f>K40*L40</f>
        <v>0</v>
      </c>
      <c r="N40" s="1840"/>
      <c r="O40" s="1841"/>
      <c r="P40" s="1842"/>
      <c r="Q40" s="1843"/>
      <c r="R40" s="1843"/>
      <c r="S40" s="898">
        <f>S35</f>
        <v>0</v>
      </c>
      <c r="T40" s="899">
        <f>T35</f>
        <v>0</v>
      </c>
      <c r="U40" s="29">
        <f>S40*T40</f>
        <v>0</v>
      </c>
      <c r="V40" s="1836"/>
      <c r="W40" s="1837"/>
      <c r="X40" s="1838"/>
      <c r="Y40" s="1839"/>
      <c r="Z40" s="1839"/>
      <c r="AA40" s="900">
        <f>AA35</f>
        <v>0</v>
      </c>
      <c r="AB40" s="901">
        <f>AB35</f>
        <v>0</v>
      </c>
      <c r="AC40" s="902">
        <f>AA40*AB40</f>
        <v>0</v>
      </c>
      <c r="AD40" s="1840"/>
      <c r="AE40" s="1841"/>
      <c r="AF40" s="1842"/>
      <c r="AG40" s="1843"/>
      <c r="AH40" s="1843"/>
      <c r="AI40" s="898">
        <f>AI35</f>
        <v>0</v>
      </c>
      <c r="AJ40" s="899">
        <f>AJ35</f>
        <v>0</v>
      </c>
      <c r="AK40" s="29">
        <f>AI40*AJ40</f>
        <v>0</v>
      </c>
      <c r="AL40" s="1836"/>
      <c r="AM40" s="1837"/>
      <c r="AN40" s="1838"/>
      <c r="AO40" s="1839"/>
      <c r="AP40" s="1839"/>
      <c r="AQ40" s="900">
        <f>AQ35</f>
        <v>0</v>
      </c>
      <c r="AR40" s="901">
        <f>AR35</f>
        <v>0</v>
      </c>
      <c r="AS40" s="902">
        <f>AQ40*AR40</f>
        <v>0</v>
      </c>
      <c r="AT40" s="1840"/>
      <c r="AU40" s="1841"/>
      <c r="AV40" s="1842"/>
      <c r="AW40" s="1843"/>
      <c r="AX40" s="1843"/>
      <c r="AY40" s="898">
        <f>AY35</f>
        <v>0</v>
      </c>
      <c r="AZ40" s="899">
        <f>AZ35</f>
        <v>0</v>
      </c>
      <c r="BA40" s="29">
        <f>AY40*AZ40</f>
        <v>0</v>
      </c>
      <c r="BB40" s="1836"/>
      <c r="BC40" s="1837"/>
      <c r="BD40" s="1838"/>
      <c r="BE40" s="1839"/>
      <c r="BF40" s="1839"/>
      <c r="BG40" s="900">
        <f>BG35</f>
        <v>0</v>
      </c>
      <c r="BH40" s="901">
        <f>BH35</f>
        <v>0</v>
      </c>
      <c r="BI40" s="902">
        <f>BG40*BH40</f>
        <v>0</v>
      </c>
      <c r="BJ40" s="1840"/>
      <c r="BK40" s="1841"/>
      <c r="BL40" s="1842"/>
      <c r="BM40" s="1843"/>
      <c r="BN40" s="1843"/>
      <c r="BO40" s="898">
        <f>BO35</f>
        <v>0</v>
      </c>
      <c r="BP40" s="899">
        <f>BP35</f>
        <v>0</v>
      </c>
      <c r="BQ40" s="29">
        <f>BO40*BP40</f>
        <v>0</v>
      </c>
      <c r="BR40" s="1836"/>
      <c r="BS40" s="1837"/>
      <c r="BT40" s="1838"/>
      <c r="BU40" s="1839"/>
      <c r="BV40" s="1839"/>
      <c r="BW40" s="900">
        <f>BW35</f>
        <v>0</v>
      </c>
      <c r="BX40" s="901">
        <f>BX35</f>
        <v>0</v>
      </c>
      <c r="BY40" s="902">
        <f>BW40*BX40</f>
        <v>0</v>
      </c>
      <c r="BZ40" s="1840"/>
      <c r="CA40" s="1841"/>
      <c r="CB40" s="1842"/>
      <c r="CC40" s="1843"/>
      <c r="CD40" s="1843"/>
      <c r="CE40" s="898">
        <f>CE35</f>
        <v>0</v>
      </c>
      <c r="CF40" s="899">
        <f>CF35</f>
        <v>0</v>
      </c>
      <c r="CG40" s="29">
        <f>CE40*CF40</f>
        <v>0</v>
      </c>
      <c r="CH40" s="1836"/>
      <c r="CI40" s="1837"/>
      <c r="CJ40" s="1838"/>
      <c r="CK40" s="1839"/>
      <c r="CL40" s="1839"/>
      <c r="CM40" s="900">
        <f>CM35</f>
        <v>0</v>
      </c>
      <c r="CN40" s="901">
        <f>CN35</f>
        <v>0</v>
      </c>
      <c r="CO40" s="902">
        <f>CM40*CN40</f>
        <v>0</v>
      </c>
      <c r="CP40" s="1840"/>
      <c r="CQ40" s="1841"/>
      <c r="CR40" s="1842"/>
      <c r="CS40" s="1843"/>
      <c r="CT40" s="1843"/>
      <c r="CU40" s="1844"/>
      <c r="CV40" s="1844"/>
      <c r="CW40" s="1845"/>
      <c r="CX40" s="1844"/>
      <c r="CY40" s="1845"/>
      <c r="CZ40" s="1845"/>
      <c r="DA40" s="1845"/>
      <c r="DB40" s="912"/>
    </row>
    <row r="41" spans="1:106" ht="12.75" hidden="1" customHeight="1" x14ac:dyDescent="0.3">
      <c r="A41" s="1835"/>
      <c r="B41" s="108" t="s">
        <v>315</v>
      </c>
      <c r="C41" s="906">
        <f>C40+C39</f>
        <v>0</v>
      </c>
      <c r="D41" s="29">
        <f>IF(C41=0,0,E41/C41)</f>
        <v>0</v>
      </c>
      <c r="E41" s="29">
        <f>E40+E39</f>
        <v>0</v>
      </c>
      <c r="F41" s="1836"/>
      <c r="G41" s="1837"/>
      <c r="H41" s="1838"/>
      <c r="I41" s="1839"/>
      <c r="J41" s="1839"/>
      <c r="K41" s="907">
        <f>K40+K39</f>
        <v>0</v>
      </c>
      <c r="L41" s="902">
        <f>IF(K41=0,0,M41/K41)</f>
        <v>0</v>
      </c>
      <c r="M41" s="902">
        <f>M40+M39</f>
        <v>0</v>
      </c>
      <c r="N41" s="1840"/>
      <c r="O41" s="1841"/>
      <c r="P41" s="1842"/>
      <c r="Q41" s="1843"/>
      <c r="R41" s="1843"/>
      <c r="S41" s="906">
        <f>S40+S39</f>
        <v>0</v>
      </c>
      <c r="T41" s="29">
        <f>IF(S41=0,0,U41/S41)</f>
        <v>0</v>
      </c>
      <c r="U41" s="29">
        <f>U40+U39</f>
        <v>0</v>
      </c>
      <c r="V41" s="1836"/>
      <c r="W41" s="1837"/>
      <c r="X41" s="1838"/>
      <c r="Y41" s="1839"/>
      <c r="Z41" s="1839"/>
      <c r="AA41" s="907">
        <f>AA40+AA39</f>
        <v>0</v>
      </c>
      <c r="AB41" s="902">
        <f>IF(AA41=0,0,AC41/AA41)</f>
        <v>0</v>
      </c>
      <c r="AC41" s="902">
        <f>AC40+AC39</f>
        <v>0</v>
      </c>
      <c r="AD41" s="1840"/>
      <c r="AE41" s="1841"/>
      <c r="AF41" s="1842"/>
      <c r="AG41" s="1843"/>
      <c r="AH41" s="1843"/>
      <c r="AI41" s="906">
        <f>AI40+AI39</f>
        <v>0</v>
      </c>
      <c r="AJ41" s="29">
        <f>IF(AI41=0,0,AK41/AI41)</f>
        <v>0</v>
      </c>
      <c r="AK41" s="29">
        <f>AK40+AK39</f>
        <v>0</v>
      </c>
      <c r="AL41" s="1836"/>
      <c r="AM41" s="1837"/>
      <c r="AN41" s="1838"/>
      <c r="AO41" s="1839"/>
      <c r="AP41" s="1839"/>
      <c r="AQ41" s="907">
        <f>AQ40+AQ39</f>
        <v>0</v>
      </c>
      <c r="AR41" s="902">
        <f>IF(AQ41=0,0,AS41/AQ41)</f>
        <v>0</v>
      </c>
      <c r="AS41" s="902">
        <f>AS40+AS39</f>
        <v>0</v>
      </c>
      <c r="AT41" s="1840"/>
      <c r="AU41" s="1841"/>
      <c r="AV41" s="1842"/>
      <c r="AW41" s="1843"/>
      <c r="AX41" s="1843"/>
      <c r="AY41" s="906">
        <f>AY40+AY39</f>
        <v>0</v>
      </c>
      <c r="AZ41" s="29">
        <f>IF(AY41=0,0,BA41/AY41)</f>
        <v>0</v>
      </c>
      <c r="BA41" s="29">
        <f>BA40+BA39</f>
        <v>0</v>
      </c>
      <c r="BB41" s="1836"/>
      <c r="BC41" s="1837"/>
      <c r="BD41" s="1838"/>
      <c r="BE41" s="1839"/>
      <c r="BF41" s="1839"/>
      <c r="BG41" s="907">
        <f>BG40+BG39</f>
        <v>0</v>
      </c>
      <c r="BH41" s="902">
        <f>IF(BG41=0,0,BI41/BG41)</f>
        <v>0</v>
      </c>
      <c r="BI41" s="902">
        <f>BI40+BI39</f>
        <v>0</v>
      </c>
      <c r="BJ41" s="1840"/>
      <c r="BK41" s="1841"/>
      <c r="BL41" s="1842"/>
      <c r="BM41" s="1843"/>
      <c r="BN41" s="1843"/>
      <c r="BO41" s="906">
        <f>BO40+BO39</f>
        <v>0</v>
      </c>
      <c r="BP41" s="29">
        <f>IF(BO41=0,0,BQ41/BO41)</f>
        <v>0</v>
      </c>
      <c r="BQ41" s="29">
        <f>BQ40+BQ39</f>
        <v>0</v>
      </c>
      <c r="BR41" s="1836"/>
      <c r="BS41" s="1837"/>
      <c r="BT41" s="1838"/>
      <c r="BU41" s="1839"/>
      <c r="BV41" s="1839"/>
      <c r="BW41" s="907">
        <f>BW40+BW39</f>
        <v>0</v>
      </c>
      <c r="BX41" s="902">
        <f>IF(BW41=0,0,BY41/BW41)</f>
        <v>0</v>
      </c>
      <c r="BY41" s="902">
        <f>BY40+BY39</f>
        <v>0</v>
      </c>
      <c r="BZ41" s="1840"/>
      <c r="CA41" s="1841"/>
      <c r="CB41" s="1842"/>
      <c r="CC41" s="1843"/>
      <c r="CD41" s="1843"/>
      <c r="CE41" s="906">
        <f>CE40+CE39</f>
        <v>0</v>
      </c>
      <c r="CF41" s="29">
        <f>IF(CE41=0,0,CG41/CE41)</f>
        <v>0</v>
      </c>
      <c r="CG41" s="29">
        <f>CG40+CG39</f>
        <v>0</v>
      </c>
      <c r="CH41" s="1836"/>
      <c r="CI41" s="1837"/>
      <c r="CJ41" s="1838"/>
      <c r="CK41" s="1839"/>
      <c r="CL41" s="1839"/>
      <c r="CM41" s="907">
        <f>CM40+CM39</f>
        <v>0</v>
      </c>
      <c r="CN41" s="902">
        <f>IF(CM41=0,0,CO41/CM41)</f>
        <v>0</v>
      </c>
      <c r="CO41" s="902">
        <f>CO40+CO39</f>
        <v>0</v>
      </c>
      <c r="CP41" s="1840"/>
      <c r="CQ41" s="1841"/>
      <c r="CR41" s="1842"/>
      <c r="CS41" s="1843"/>
      <c r="CT41" s="1843"/>
      <c r="CU41" s="1844"/>
      <c r="CV41" s="1844"/>
      <c r="CW41" s="1845"/>
      <c r="CX41" s="1844"/>
      <c r="CY41" s="1845"/>
      <c r="CZ41" s="1845"/>
      <c r="DA41" s="1845"/>
      <c r="DB41" s="912"/>
    </row>
    <row r="42" spans="1:106" x14ac:dyDescent="0.3">
      <c r="A42" s="1835"/>
      <c r="B42" s="108" t="s">
        <v>312</v>
      </c>
      <c r="C42" s="906">
        <f>H39*C41</f>
        <v>0</v>
      </c>
      <c r="D42" s="29">
        <f>D41</f>
        <v>0</v>
      </c>
      <c r="E42" s="29">
        <f>C42*D42</f>
        <v>0</v>
      </c>
      <c r="F42" s="1836"/>
      <c r="G42" s="1837"/>
      <c r="H42" s="1838"/>
      <c r="I42" s="1839"/>
      <c r="J42" s="1839"/>
      <c r="K42" s="907">
        <f>P39*K41</f>
        <v>0</v>
      </c>
      <c r="L42" s="902">
        <f>L41</f>
        <v>0</v>
      </c>
      <c r="M42" s="902">
        <f>K42*L42</f>
        <v>0</v>
      </c>
      <c r="N42" s="1840"/>
      <c r="O42" s="1841"/>
      <c r="P42" s="1842"/>
      <c r="Q42" s="1843"/>
      <c r="R42" s="1843"/>
      <c r="S42" s="906">
        <f>X39*S41</f>
        <v>0</v>
      </c>
      <c r="T42" s="29">
        <f>T41</f>
        <v>0</v>
      </c>
      <c r="U42" s="29">
        <f>S42*T42</f>
        <v>0</v>
      </c>
      <c r="V42" s="1836"/>
      <c r="W42" s="1837"/>
      <c r="X42" s="1838"/>
      <c r="Y42" s="1839"/>
      <c r="Z42" s="1839"/>
      <c r="AA42" s="907">
        <f>AF39*AA41</f>
        <v>0</v>
      </c>
      <c r="AB42" s="902">
        <f>AB41</f>
        <v>0</v>
      </c>
      <c r="AC42" s="902">
        <f>AA42*AB42</f>
        <v>0</v>
      </c>
      <c r="AD42" s="1840"/>
      <c r="AE42" s="1841"/>
      <c r="AF42" s="1842"/>
      <c r="AG42" s="1843"/>
      <c r="AH42" s="1843"/>
      <c r="AI42" s="906">
        <f>AN39*AI41</f>
        <v>0</v>
      </c>
      <c r="AJ42" s="29">
        <f>AJ41</f>
        <v>0</v>
      </c>
      <c r="AK42" s="29">
        <f>AI42*AJ42</f>
        <v>0</v>
      </c>
      <c r="AL42" s="1836"/>
      <c r="AM42" s="1837"/>
      <c r="AN42" s="1838"/>
      <c r="AO42" s="1839"/>
      <c r="AP42" s="1839"/>
      <c r="AQ42" s="907">
        <f>AV39*AQ41</f>
        <v>0</v>
      </c>
      <c r="AR42" s="902">
        <f>AR41</f>
        <v>0</v>
      </c>
      <c r="AS42" s="902">
        <f>AQ42*AR42</f>
        <v>0</v>
      </c>
      <c r="AT42" s="1840"/>
      <c r="AU42" s="1841"/>
      <c r="AV42" s="1842"/>
      <c r="AW42" s="1843"/>
      <c r="AX42" s="1843"/>
      <c r="AY42" s="906">
        <f>BD39*AY41</f>
        <v>0</v>
      </c>
      <c r="AZ42" s="29">
        <f>AZ41</f>
        <v>0</v>
      </c>
      <c r="BA42" s="29">
        <f>AY42*AZ42</f>
        <v>0</v>
      </c>
      <c r="BB42" s="1836"/>
      <c r="BC42" s="1837"/>
      <c r="BD42" s="1838"/>
      <c r="BE42" s="1839"/>
      <c r="BF42" s="1839"/>
      <c r="BG42" s="907">
        <f>BL39*BG41</f>
        <v>0</v>
      </c>
      <c r="BH42" s="902">
        <f>BH41</f>
        <v>0</v>
      </c>
      <c r="BI42" s="902">
        <f>BG42*BH42</f>
        <v>0</v>
      </c>
      <c r="BJ42" s="1840"/>
      <c r="BK42" s="1841"/>
      <c r="BL42" s="1842"/>
      <c r="BM42" s="1843"/>
      <c r="BN42" s="1843"/>
      <c r="BO42" s="906">
        <f>BT39*BO41</f>
        <v>0</v>
      </c>
      <c r="BP42" s="29">
        <f>BP41</f>
        <v>0</v>
      </c>
      <c r="BQ42" s="29">
        <f>BO42*BP42</f>
        <v>0</v>
      </c>
      <c r="BR42" s="1836"/>
      <c r="BS42" s="1837"/>
      <c r="BT42" s="1838"/>
      <c r="BU42" s="1839"/>
      <c r="BV42" s="1839"/>
      <c r="BW42" s="907">
        <f>CB39*BW41</f>
        <v>0</v>
      </c>
      <c r="BX42" s="902">
        <f>BX41</f>
        <v>0</v>
      </c>
      <c r="BY42" s="902">
        <f>BW42*BX42</f>
        <v>0</v>
      </c>
      <c r="BZ42" s="1840"/>
      <c r="CA42" s="1841"/>
      <c r="CB42" s="1842"/>
      <c r="CC42" s="1843"/>
      <c r="CD42" s="1843"/>
      <c r="CE42" s="906">
        <f>CJ39*CE41</f>
        <v>0</v>
      </c>
      <c r="CF42" s="29">
        <f>CF41</f>
        <v>0</v>
      </c>
      <c r="CG42" s="29">
        <f>CE42*CF42</f>
        <v>0</v>
      </c>
      <c r="CH42" s="1836"/>
      <c r="CI42" s="1837"/>
      <c r="CJ42" s="1838"/>
      <c r="CK42" s="1839"/>
      <c r="CL42" s="1839"/>
      <c r="CM42" s="907">
        <f>CR39*CM41</f>
        <v>0</v>
      </c>
      <c r="CN42" s="902">
        <f>CN41</f>
        <v>0</v>
      </c>
      <c r="CO42" s="902">
        <f>CM42*CN42</f>
        <v>0</v>
      </c>
      <c r="CP42" s="1840"/>
      <c r="CQ42" s="1841"/>
      <c r="CR42" s="1842"/>
      <c r="CS42" s="1843"/>
      <c r="CT42" s="1843"/>
      <c r="CU42" s="1844"/>
      <c r="CV42" s="1844"/>
      <c r="CW42" s="1845"/>
      <c r="CX42" s="1844"/>
      <c r="CY42" s="1845"/>
      <c r="CZ42" s="1845"/>
      <c r="DA42" s="1845"/>
      <c r="DB42" s="912"/>
    </row>
    <row r="43" spans="1:106" x14ac:dyDescent="0.3">
      <c r="A43" s="1835"/>
      <c r="B43" s="108" t="s">
        <v>254</v>
      </c>
      <c r="C43" s="906">
        <f>C39+C40-C42</f>
        <v>0</v>
      </c>
      <c r="D43" s="29">
        <f>D42</f>
        <v>0</v>
      </c>
      <c r="E43" s="29">
        <f>D43*C43</f>
        <v>0</v>
      </c>
      <c r="F43" s="1836"/>
      <c r="G43" s="1837"/>
      <c r="H43" s="1838"/>
      <c r="I43" s="1839"/>
      <c r="J43" s="1839"/>
      <c r="K43" s="907">
        <f>K39+K40-K42</f>
        <v>0</v>
      </c>
      <c r="L43" s="902">
        <f>L42</f>
        <v>0</v>
      </c>
      <c r="M43" s="902">
        <f>L43*K43</f>
        <v>0</v>
      </c>
      <c r="N43" s="1840"/>
      <c r="O43" s="1841"/>
      <c r="P43" s="1842"/>
      <c r="Q43" s="1843"/>
      <c r="R43" s="1843"/>
      <c r="S43" s="906">
        <f>S39+S40-S42</f>
        <v>0</v>
      </c>
      <c r="T43" s="29">
        <f>T42</f>
        <v>0</v>
      </c>
      <c r="U43" s="29">
        <f>T43*S43</f>
        <v>0</v>
      </c>
      <c r="V43" s="1836"/>
      <c r="W43" s="1837"/>
      <c r="X43" s="1838"/>
      <c r="Y43" s="1839"/>
      <c r="Z43" s="1839"/>
      <c r="AA43" s="907">
        <f>AA39+AA40-AA42</f>
        <v>0</v>
      </c>
      <c r="AB43" s="902">
        <f>AB42</f>
        <v>0</v>
      </c>
      <c r="AC43" s="902">
        <f>AB43*AA43</f>
        <v>0</v>
      </c>
      <c r="AD43" s="1840"/>
      <c r="AE43" s="1841"/>
      <c r="AF43" s="1842"/>
      <c r="AG43" s="1843"/>
      <c r="AH43" s="1843"/>
      <c r="AI43" s="906">
        <f>AI39+AI40-AI42</f>
        <v>0</v>
      </c>
      <c r="AJ43" s="29">
        <f>AJ42</f>
        <v>0</v>
      </c>
      <c r="AK43" s="29">
        <f>AJ43*AI43</f>
        <v>0</v>
      </c>
      <c r="AL43" s="1836"/>
      <c r="AM43" s="1837"/>
      <c r="AN43" s="1838"/>
      <c r="AO43" s="1839"/>
      <c r="AP43" s="1839"/>
      <c r="AQ43" s="907">
        <f>AQ39+AQ40-AQ42</f>
        <v>0</v>
      </c>
      <c r="AR43" s="902">
        <f>AR42</f>
        <v>0</v>
      </c>
      <c r="AS43" s="902">
        <f>AR43*AQ43</f>
        <v>0</v>
      </c>
      <c r="AT43" s="1840"/>
      <c r="AU43" s="1841"/>
      <c r="AV43" s="1842"/>
      <c r="AW43" s="1843"/>
      <c r="AX43" s="1843"/>
      <c r="AY43" s="906">
        <f>AY39+AY40-AY42</f>
        <v>0</v>
      </c>
      <c r="AZ43" s="29">
        <f>AZ42</f>
        <v>0</v>
      </c>
      <c r="BA43" s="29">
        <f>AZ43*AY43</f>
        <v>0</v>
      </c>
      <c r="BB43" s="1836"/>
      <c r="BC43" s="1837"/>
      <c r="BD43" s="1838"/>
      <c r="BE43" s="1839"/>
      <c r="BF43" s="1839"/>
      <c r="BG43" s="907">
        <f>BG39+BG40-BG42</f>
        <v>0</v>
      </c>
      <c r="BH43" s="902">
        <f>BH42</f>
        <v>0</v>
      </c>
      <c r="BI43" s="902">
        <f>BH43*BG43</f>
        <v>0</v>
      </c>
      <c r="BJ43" s="1840"/>
      <c r="BK43" s="1841"/>
      <c r="BL43" s="1842"/>
      <c r="BM43" s="1843"/>
      <c r="BN43" s="1843"/>
      <c r="BO43" s="906">
        <f>BO39+BO40-BO42</f>
        <v>0</v>
      </c>
      <c r="BP43" s="29">
        <f>BP42</f>
        <v>0</v>
      </c>
      <c r="BQ43" s="29">
        <f>BP43*BO43</f>
        <v>0</v>
      </c>
      <c r="BR43" s="1836"/>
      <c r="BS43" s="1837"/>
      <c r="BT43" s="1838"/>
      <c r="BU43" s="1839"/>
      <c r="BV43" s="1839"/>
      <c r="BW43" s="907">
        <f>BW39+BW40-BW42</f>
        <v>0</v>
      </c>
      <c r="BX43" s="902">
        <f>BX42</f>
        <v>0</v>
      </c>
      <c r="BY43" s="902">
        <f>BX43*BW43</f>
        <v>0</v>
      </c>
      <c r="BZ43" s="1840"/>
      <c r="CA43" s="1841"/>
      <c r="CB43" s="1842"/>
      <c r="CC43" s="1843"/>
      <c r="CD43" s="1843"/>
      <c r="CE43" s="906">
        <f>CE39+CE40-CE42</f>
        <v>0</v>
      </c>
      <c r="CF43" s="29">
        <f>CF42</f>
        <v>0</v>
      </c>
      <c r="CG43" s="29">
        <f>CF43*CE43</f>
        <v>0</v>
      </c>
      <c r="CH43" s="1836"/>
      <c r="CI43" s="1837"/>
      <c r="CJ43" s="1838"/>
      <c r="CK43" s="1839"/>
      <c r="CL43" s="1839"/>
      <c r="CM43" s="907">
        <f>CM39+CM40-CM42</f>
        <v>0</v>
      </c>
      <c r="CN43" s="902">
        <f>CN42</f>
        <v>0</v>
      </c>
      <c r="CO43" s="902">
        <f>CN43*CM43</f>
        <v>0</v>
      </c>
      <c r="CP43" s="1840"/>
      <c r="CQ43" s="1841"/>
      <c r="CR43" s="1842"/>
      <c r="CS43" s="1843"/>
      <c r="CT43" s="1843"/>
      <c r="CU43" s="1844"/>
      <c r="CV43" s="1844"/>
      <c r="CW43" s="1845"/>
      <c r="CX43" s="1844"/>
      <c r="CY43" s="1845"/>
      <c r="CZ43" s="1845"/>
      <c r="DA43" s="1845"/>
      <c r="DB43" s="912"/>
    </row>
    <row r="44" spans="1:106" x14ac:dyDescent="0.3">
      <c r="A44" s="1835" t="str">
        <f>TRIBUTS!K6</f>
        <v>JUNY</v>
      </c>
      <c r="B44" s="108" t="s">
        <v>255</v>
      </c>
      <c r="C44" s="906">
        <f>C43</f>
        <v>0</v>
      </c>
      <c r="D44" s="29">
        <f>D43</f>
        <v>0</v>
      </c>
      <c r="E44" s="29">
        <f>C44*D44</f>
        <v>0</v>
      </c>
      <c r="F44" s="1836">
        <f>E45*$I$3</f>
        <v>0</v>
      </c>
      <c r="G44" s="1837">
        <f>G39</f>
        <v>0</v>
      </c>
      <c r="H44" s="1838">
        <f>H39</f>
        <v>0</v>
      </c>
      <c r="I44" s="1839">
        <f>E47/(1-G44)</f>
        <v>0</v>
      </c>
      <c r="J44" s="1839">
        <f>I44*$F$3</f>
        <v>0</v>
      </c>
      <c r="K44" s="907">
        <f>K43</f>
        <v>0</v>
      </c>
      <c r="L44" s="902">
        <f>L43</f>
        <v>0</v>
      </c>
      <c r="M44" s="902">
        <f>K44*L44</f>
        <v>0</v>
      </c>
      <c r="N44" s="1840">
        <f>M45*$I$4</f>
        <v>0</v>
      </c>
      <c r="O44" s="1841">
        <f>O39</f>
        <v>0</v>
      </c>
      <c r="P44" s="1842">
        <f>P39</f>
        <v>0</v>
      </c>
      <c r="Q44" s="1843">
        <f>M47/(1-O44)</f>
        <v>0</v>
      </c>
      <c r="R44" s="1843">
        <f>Q44*$F$4</f>
        <v>0</v>
      </c>
      <c r="S44" s="906">
        <f>S43</f>
        <v>0</v>
      </c>
      <c r="T44" s="29">
        <f>T43</f>
        <v>0</v>
      </c>
      <c r="U44" s="29">
        <f>S44*T44</f>
        <v>0</v>
      </c>
      <c r="V44" s="1836">
        <f>U45*$I$5</f>
        <v>0</v>
      </c>
      <c r="W44" s="1837">
        <f>W39</f>
        <v>0</v>
      </c>
      <c r="X44" s="1838">
        <f>X39</f>
        <v>0</v>
      </c>
      <c r="Y44" s="1839">
        <f>U47/(1-W44)</f>
        <v>0</v>
      </c>
      <c r="Z44" s="1839">
        <f>Y44*$F$5</f>
        <v>0</v>
      </c>
      <c r="AA44" s="907">
        <f>AA43</f>
        <v>0</v>
      </c>
      <c r="AB44" s="902">
        <f>AB43</f>
        <v>0</v>
      </c>
      <c r="AC44" s="902">
        <f>AA44*AB44</f>
        <v>0</v>
      </c>
      <c r="AD44" s="1840">
        <f>AC45*$I$6</f>
        <v>0</v>
      </c>
      <c r="AE44" s="1841">
        <f>AE39</f>
        <v>0</v>
      </c>
      <c r="AF44" s="1842">
        <f>AF39</f>
        <v>0</v>
      </c>
      <c r="AG44" s="1843">
        <f>AC47/(1-AE44)</f>
        <v>0</v>
      </c>
      <c r="AH44" s="1843">
        <f>AG44*$F$6</f>
        <v>0</v>
      </c>
      <c r="AI44" s="906">
        <f>AI43</f>
        <v>0</v>
      </c>
      <c r="AJ44" s="29">
        <f>AJ43</f>
        <v>0</v>
      </c>
      <c r="AK44" s="29">
        <f>AI44*AJ44</f>
        <v>0</v>
      </c>
      <c r="AL44" s="1836">
        <f>AK45*$I$7</f>
        <v>0</v>
      </c>
      <c r="AM44" s="1837">
        <f>AM39</f>
        <v>0</v>
      </c>
      <c r="AN44" s="1838">
        <f>AN39</f>
        <v>0</v>
      </c>
      <c r="AO44" s="1839">
        <f>AK47/(1-AM44)</f>
        <v>0</v>
      </c>
      <c r="AP44" s="1839">
        <f>AO44*$F$7</f>
        <v>0</v>
      </c>
      <c r="AQ44" s="907">
        <f>AQ43</f>
        <v>0</v>
      </c>
      <c r="AR44" s="902">
        <f>AR43</f>
        <v>0</v>
      </c>
      <c r="AS44" s="902">
        <f>AQ44*AR44</f>
        <v>0</v>
      </c>
      <c r="AT44" s="1840">
        <f>AS45*$I$8</f>
        <v>0</v>
      </c>
      <c r="AU44" s="1841">
        <f>AU39</f>
        <v>0</v>
      </c>
      <c r="AV44" s="1842">
        <f>AV39</f>
        <v>0</v>
      </c>
      <c r="AW44" s="1843">
        <f>AS47/(1-AU44)</f>
        <v>0</v>
      </c>
      <c r="AX44" s="1843">
        <f>AW44*$F$8</f>
        <v>0</v>
      </c>
      <c r="AY44" s="906">
        <f>AY43</f>
        <v>0</v>
      </c>
      <c r="AZ44" s="29">
        <f>AZ43</f>
        <v>0</v>
      </c>
      <c r="BA44" s="29">
        <f>AY44*AZ44</f>
        <v>0</v>
      </c>
      <c r="BB44" s="1836">
        <f>BA45*$I$9</f>
        <v>0</v>
      </c>
      <c r="BC44" s="1837">
        <f>BC39</f>
        <v>0</v>
      </c>
      <c r="BD44" s="1838">
        <f>BD39</f>
        <v>0</v>
      </c>
      <c r="BE44" s="1839">
        <f>BA47/(1-BC44)</f>
        <v>0</v>
      </c>
      <c r="BF44" s="1839">
        <f>BE44*$F$9</f>
        <v>0</v>
      </c>
      <c r="BG44" s="907">
        <f>BG43</f>
        <v>0</v>
      </c>
      <c r="BH44" s="902">
        <f>BH43</f>
        <v>0</v>
      </c>
      <c r="BI44" s="902">
        <f>BG44*BH44</f>
        <v>0</v>
      </c>
      <c r="BJ44" s="1840">
        <f>BI45*$I$10</f>
        <v>0</v>
      </c>
      <c r="BK44" s="1841">
        <f>BK39</f>
        <v>0</v>
      </c>
      <c r="BL44" s="1842">
        <f>BL39</f>
        <v>0</v>
      </c>
      <c r="BM44" s="1843">
        <f>BI47/(1-BK44)</f>
        <v>0</v>
      </c>
      <c r="BN44" s="1843">
        <f>BM44*$F$10</f>
        <v>0</v>
      </c>
      <c r="BO44" s="906">
        <f>BO43</f>
        <v>0</v>
      </c>
      <c r="BP44" s="29">
        <f>BP43</f>
        <v>0</v>
      </c>
      <c r="BQ44" s="29">
        <f>BO44*BP44</f>
        <v>0</v>
      </c>
      <c r="BR44" s="1836">
        <f>BQ45*$I$11</f>
        <v>0</v>
      </c>
      <c r="BS44" s="1837">
        <f>BS39</f>
        <v>0</v>
      </c>
      <c r="BT44" s="1838">
        <f>BT39</f>
        <v>0</v>
      </c>
      <c r="BU44" s="1839">
        <f>BQ47/(1-BS44)</f>
        <v>0</v>
      </c>
      <c r="BV44" s="1839">
        <f>BU44*$F$11</f>
        <v>0</v>
      </c>
      <c r="BW44" s="907">
        <f>BW43</f>
        <v>0</v>
      </c>
      <c r="BX44" s="902">
        <f>BX43</f>
        <v>0</v>
      </c>
      <c r="BY44" s="902">
        <f>BW44*BX44</f>
        <v>0</v>
      </c>
      <c r="BZ44" s="1840">
        <f>BY45*$I$12</f>
        <v>0</v>
      </c>
      <c r="CA44" s="1841">
        <f>CA39</f>
        <v>0</v>
      </c>
      <c r="CB44" s="1842">
        <f>CB39</f>
        <v>0</v>
      </c>
      <c r="CC44" s="1843">
        <f>BY47/(1-CA44)</f>
        <v>0</v>
      </c>
      <c r="CD44" s="1843">
        <f>CC44*$F$12</f>
        <v>0</v>
      </c>
      <c r="CE44" s="906">
        <f>CE43</f>
        <v>0</v>
      </c>
      <c r="CF44" s="29">
        <f>CF43</f>
        <v>0</v>
      </c>
      <c r="CG44" s="29">
        <f>CE44*CF44</f>
        <v>0</v>
      </c>
      <c r="CH44" s="1836">
        <f>CG45*$I$13</f>
        <v>0</v>
      </c>
      <c r="CI44" s="1837">
        <f>CI39</f>
        <v>0</v>
      </c>
      <c r="CJ44" s="1838">
        <f>CJ39</f>
        <v>0</v>
      </c>
      <c r="CK44" s="1839">
        <f>CG47/(1-CI44)</f>
        <v>0</v>
      </c>
      <c r="CL44" s="1839">
        <f>CK44*$F$13</f>
        <v>0</v>
      </c>
      <c r="CM44" s="907">
        <f>CM43</f>
        <v>0</v>
      </c>
      <c r="CN44" s="902">
        <f>CN43</f>
        <v>0</v>
      </c>
      <c r="CO44" s="902">
        <f>CM44*CN44</f>
        <v>0</v>
      </c>
      <c r="CP44" s="1840">
        <f>CO45*$I$14</f>
        <v>0</v>
      </c>
      <c r="CQ44" s="1841">
        <f>CQ39</f>
        <v>0</v>
      </c>
      <c r="CR44" s="1842">
        <f>CR39</f>
        <v>0</v>
      </c>
      <c r="CS44" s="1843">
        <f>CO47/(1-CQ44)</f>
        <v>0</v>
      </c>
      <c r="CT44" s="1843">
        <f>CS44*$F$14</f>
        <v>0</v>
      </c>
      <c r="CU44" s="1844">
        <f>E45+M45+U45+AC45+AK45+AS45+BA45+BI45+BQ45+BY45+CG45+CO45</f>
        <v>0</v>
      </c>
      <c r="CV44" s="1844">
        <f>CP44+CH44+BZ44+BR44+BJ44+BB44+AT44+AL44+AD44+V44+N44+F44</f>
        <v>0</v>
      </c>
      <c r="CW44" s="1845">
        <f>I44+Q44+Y44+AG44+AO44+AW44+BE44+BM44+BU44+CC44+CK44+CS44</f>
        <v>0</v>
      </c>
      <c r="CX44" s="1844">
        <f>CT44+CL44+CD44+BV44+BN44+BF44+AX44+AP44+AH44+Z44+R44+J44</f>
        <v>0</v>
      </c>
      <c r="CY44" s="1845">
        <f>CZ39</f>
        <v>0</v>
      </c>
      <c r="CZ44" s="1845">
        <f>E48+M48+U48+AC48+AK48+AS48+BA48+BI48+BQ48+BY48+CG48+CO48</f>
        <v>0</v>
      </c>
      <c r="DA44" s="1845">
        <f>CZ44-CY44</f>
        <v>0</v>
      </c>
      <c r="DB44" s="914"/>
    </row>
    <row r="45" spans="1:106" x14ac:dyDescent="0.3">
      <c r="A45" s="1835"/>
      <c r="B45" s="108" t="s">
        <v>310</v>
      </c>
      <c r="C45" s="898">
        <f>C40</f>
        <v>0</v>
      </c>
      <c r="D45" s="899">
        <f>D40</f>
        <v>0</v>
      </c>
      <c r="E45" s="29">
        <f>C45*D45</f>
        <v>0</v>
      </c>
      <c r="F45" s="1836"/>
      <c r="G45" s="1837"/>
      <c r="H45" s="1838"/>
      <c r="I45" s="1839"/>
      <c r="J45" s="1839"/>
      <c r="K45" s="900">
        <f>K40</f>
        <v>0</v>
      </c>
      <c r="L45" s="901">
        <f>L40</f>
        <v>0</v>
      </c>
      <c r="M45" s="902">
        <f>K45*L45</f>
        <v>0</v>
      </c>
      <c r="N45" s="1840"/>
      <c r="O45" s="1841"/>
      <c r="P45" s="1842"/>
      <c r="Q45" s="1843"/>
      <c r="R45" s="1843"/>
      <c r="S45" s="898">
        <f>S40</f>
        <v>0</v>
      </c>
      <c r="T45" s="899">
        <f>T40</f>
        <v>0</v>
      </c>
      <c r="U45" s="29">
        <f>S45*T45</f>
        <v>0</v>
      </c>
      <c r="V45" s="1836"/>
      <c r="W45" s="1837"/>
      <c r="X45" s="1838"/>
      <c r="Y45" s="1839"/>
      <c r="Z45" s="1839"/>
      <c r="AA45" s="900">
        <f>AA40</f>
        <v>0</v>
      </c>
      <c r="AB45" s="901">
        <f>AB40</f>
        <v>0</v>
      </c>
      <c r="AC45" s="902">
        <f>AA45*AB45</f>
        <v>0</v>
      </c>
      <c r="AD45" s="1840"/>
      <c r="AE45" s="1841"/>
      <c r="AF45" s="1842"/>
      <c r="AG45" s="1843"/>
      <c r="AH45" s="1843"/>
      <c r="AI45" s="898">
        <f>AI40</f>
        <v>0</v>
      </c>
      <c r="AJ45" s="899">
        <f>AJ40</f>
        <v>0</v>
      </c>
      <c r="AK45" s="29">
        <f>AI45*AJ45</f>
        <v>0</v>
      </c>
      <c r="AL45" s="1836"/>
      <c r="AM45" s="1837"/>
      <c r="AN45" s="1838"/>
      <c r="AO45" s="1839"/>
      <c r="AP45" s="1839"/>
      <c r="AQ45" s="900">
        <f>AQ40</f>
        <v>0</v>
      </c>
      <c r="AR45" s="901">
        <f>AR40</f>
        <v>0</v>
      </c>
      <c r="AS45" s="902">
        <f>AQ45*AR45</f>
        <v>0</v>
      </c>
      <c r="AT45" s="1840"/>
      <c r="AU45" s="1841"/>
      <c r="AV45" s="1842"/>
      <c r="AW45" s="1843"/>
      <c r="AX45" s="1843"/>
      <c r="AY45" s="898">
        <f>AY40</f>
        <v>0</v>
      </c>
      <c r="AZ45" s="899">
        <f>AZ40</f>
        <v>0</v>
      </c>
      <c r="BA45" s="29">
        <f>AY45*AZ45</f>
        <v>0</v>
      </c>
      <c r="BB45" s="1836"/>
      <c r="BC45" s="1837"/>
      <c r="BD45" s="1838"/>
      <c r="BE45" s="1839"/>
      <c r="BF45" s="1839"/>
      <c r="BG45" s="900">
        <f>BG40</f>
        <v>0</v>
      </c>
      <c r="BH45" s="901">
        <f>BH40</f>
        <v>0</v>
      </c>
      <c r="BI45" s="902">
        <f>BG45*BH45</f>
        <v>0</v>
      </c>
      <c r="BJ45" s="1840"/>
      <c r="BK45" s="1841"/>
      <c r="BL45" s="1842"/>
      <c r="BM45" s="1843"/>
      <c r="BN45" s="1843"/>
      <c r="BO45" s="898">
        <f>BO40</f>
        <v>0</v>
      </c>
      <c r="BP45" s="899">
        <f>BP40</f>
        <v>0</v>
      </c>
      <c r="BQ45" s="29">
        <f>BO45*BP45</f>
        <v>0</v>
      </c>
      <c r="BR45" s="1836"/>
      <c r="BS45" s="1837"/>
      <c r="BT45" s="1838"/>
      <c r="BU45" s="1839"/>
      <c r="BV45" s="1839"/>
      <c r="BW45" s="900">
        <f>BW40</f>
        <v>0</v>
      </c>
      <c r="BX45" s="901">
        <f>BX40</f>
        <v>0</v>
      </c>
      <c r="BY45" s="902">
        <f>BW45*BX45</f>
        <v>0</v>
      </c>
      <c r="BZ45" s="1840"/>
      <c r="CA45" s="1841"/>
      <c r="CB45" s="1842"/>
      <c r="CC45" s="1843"/>
      <c r="CD45" s="1843"/>
      <c r="CE45" s="898">
        <f>CE40</f>
        <v>0</v>
      </c>
      <c r="CF45" s="899">
        <f>CF40</f>
        <v>0</v>
      </c>
      <c r="CG45" s="29">
        <f>CE45*CF45</f>
        <v>0</v>
      </c>
      <c r="CH45" s="1836"/>
      <c r="CI45" s="1837"/>
      <c r="CJ45" s="1838"/>
      <c r="CK45" s="1839"/>
      <c r="CL45" s="1839"/>
      <c r="CM45" s="900">
        <f>CM40</f>
        <v>0</v>
      </c>
      <c r="CN45" s="901">
        <f>CN40</f>
        <v>0</v>
      </c>
      <c r="CO45" s="902">
        <f>CM45*CN45</f>
        <v>0</v>
      </c>
      <c r="CP45" s="1840"/>
      <c r="CQ45" s="1841"/>
      <c r="CR45" s="1842"/>
      <c r="CS45" s="1843"/>
      <c r="CT45" s="1843"/>
      <c r="CU45" s="1844"/>
      <c r="CV45" s="1844"/>
      <c r="CW45" s="1845"/>
      <c r="CX45" s="1844"/>
      <c r="CY45" s="1845"/>
      <c r="CZ45" s="1845"/>
      <c r="DA45" s="1845"/>
      <c r="DB45" s="912"/>
    </row>
    <row r="46" spans="1:106" ht="12.75" hidden="1" customHeight="1" x14ac:dyDescent="0.3">
      <c r="A46" s="1835"/>
      <c r="B46" s="108" t="s">
        <v>315</v>
      </c>
      <c r="C46" s="906">
        <f>C45+C44</f>
        <v>0</v>
      </c>
      <c r="D46" s="29">
        <f>IF(C46=0,0,E46/C46)</f>
        <v>0</v>
      </c>
      <c r="E46" s="29">
        <f>E45+E44</f>
        <v>0</v>
      </c>
      <c r="F46" s="1836"/>
      <c r="G46" s="1837"/>
      <c r="H46" s="1838"/>
      <c r="I46" s="1839"/>
      <c r="J46" s="1839"/>
      <c r="K46" s="907">
        <f>K45+K44</f>
        <v>0</v>
      </c>
      <c r="L46" s="902">
        <f>IF(K46=0,0,M46/K46)</f>
        <v>0</v>
      </c>
      <c r="M46" s="902">
        <f>M45+M44</f>
        <v>0</v>
      </c>
      <c r="N46" s="1840"/>
      <c r="O46" s="1841"/>
      <c r="P46" s="1842"/>
      <c r="Q46" s="1843"/>
      <c r="R46" s="1843"/>
      <c r="S46" s="906">
        <f>S45+S44</f>
        <v>0</v>
      </c>
      <c r="T46" s="29">
        <f>IF(S46=0,0,U46/S46)</f>
        <v>0</v>
      </c>
      <c r="U46" s="29">
        <f>U45+U44</f>
        <v>0</v>
      </c>
      <c r="V46" s="1836"/>
      <c r="W46" s="1837"/>
      <c r="X46" s="1838"/>
      <c r="Y46" s="1839"/>
      <c r="Z46" s="1839"/>
      <c r="AA46" s="907">
        <f>AA45+AA44</f>
        <v>0</v>
      </c>
      <c r="AB46" s="902">
        <f>IF(AA46=0,0,AC46/AA46)</f>
        <v>0</v>
      </c>
      <c r="AC46" s="902">
        <f>AC45+AC44</f>
        <v>0</v>
      </c>
      <c r="AD46" s="1840"/>
      <c r="AE46" s="1841"/>
      <c r="AF46" s="1842"/>
      <c r="AG46" s="1843"/>
      <c r="AH46" s="1843"/>
      <c r="AI46" s="906">
        <f>AI45+AI44</f>
        <v>0</v>
      </c>
      <c r="AJ46" s="29">
        <f>IF(AI46=0,0,AK46/AI46)</f>
        <v>0</v>
      </c>
      <c r="AK46" s="29">
        <f>AK45+AK44</f>
        <v>0</v>
      </c>
      <c r="AL46" s="1836"/>
      <c r="AM46" s="1837"/>
      <c r="AN46" s="1838"/>
      <c r="AO46" s="1839"/>
      <c r="AP46" s="1839"/>
      <c r="AQ46" s="907">
        <f>AQ45+AQ44</f>
        <v>0</v>
      </c>
      <c r="AR46" s="902">
        <f>IF(AQ46=0,0,AS46/AQ46)</f>
        <v>0</v>
      </c>
      <c r="AS46" s="902">
        <f>AS45+AS44</f>
        <v>0</v>
      </c>
      <c r="AT46" s="1840"/>
      <c r="AU46" s="1841"/>
      <c r="AV46" s="1842"/>
      <c r="AW46" s="1843"/>
      <c r="AX46" s="1843"/>
      <c r="AY46" s="906">
        <f>AY45+AY44</f>
        <v>0</v>
      </c>
      <c r="AZ46" s="29">
        <f>IF(AY46=0,0,BA46/AY46)</f>
        <v>0</v>
      </c>
      <c r="BA46" s="29">
        <f>BA45+BA44</f>
        <v>0</v>
      </c>
      <c r="BB46" s="1836"/>
      <c r="BC46" s="1837"/>
      <c r="BD46" s="1838"/>
      <c r="BE46" s="1839"/>
      <c r="BF46" s="1839"/>
      <c r="BG46" s="907">
        <f>BG45+BG44</f>
        <v>0</v>
      </c>
      <c r="BH46" s="902">
        <f>IF(BG46=0,0,BI46/BG46)</f>
        <v>0</v>
      </c>
      <c r="BI46" s="902">
        <f>BI45+BI44</f>
        <v>0</v>
      </c>
      <c r="BJ46" s="1840"/>
      <c r="BK46" s="1841"/>
      <c r="BL46" s="1842"/>
      <c r="BM46" s="1843"/>
      <c r="BN46" s="1843"/>
      <c r="BO46" s="906">
        <f>BO45+BO44</f>
        <v>0</v>
      </c>
      <c r="BP46" s="29">
        <f>IF(BO46=0,0,BQ46/BO46)</f>
        <v>0</v>
      </c>
      <c r="BQ46" s="29">
        <f>BQ45+BQ44</f>
        <v>0</v>
      </c>
      <c r="BR46" s="1836"/>
      <c r="BS46" s="1837"/>
      <c r="BT46" s="1838"/>
      <c r="BU46" s="1839"/>
      <c r="BV46" s="1839"/>
      <c r="BW46" s="907">
        <f>BW45+BW44</f>
        <v>0</v>
      </c>
      <c r="BX46" s="902">
        <f>IF(BW46=0,0,BY46/BW46)</f>
        <v>0</v>
      </c>
      <c r="BY46" s="902">
        <f>BY45+BY44</f>
        <v>0</v>
      </c>
      <c r="BZ46" s="1840"/>
      <c r="CA46" s="1841"/>
      <c r="CB46" s="1842"/>
      <c r="CC46" s="1843"/>
      <c r="CD46" s="1843"/>
      <c r="CE46" s="906">
        <f>CE45+CE44</f>
        <v>0</v>
      </c>
      <c r="CF46" s="29">
        <f>IF(CE46=0,0,CG46/CE46)</f>
        <v>0</v>
      </c>
      <c r="CG46" s="29">
        <f>CG45+CG44</f>
        <v>0</v>
      </c>
      <c r="CH46" s="1836"/>
      <c r="CI46" s="1837"/>
      <c r="CJ46" s="1838"/>
      <c r="CK46" s="1839"/>
      <c r="CL46" s="1839"/>
      <c r="CM46" s="907">
        <f>CM45+CM44</f>
        <v>0</v>
      </c>
      <c r="CN46" s="902">
        <f>IF(CM46=0,0,CO46/CM46)</f>
        <v>0</v>
      </c>
      <c r="CO46" s="902">
        <f>CO45+CO44</f>
        <v>0</v>
      </c>
      <c r="CP46" s="1840"/>
      <c r="CQ46" s="1841"/>
      <c r="CR46" s="1842"/>
      <c r="CS46" s="1843"/>
      <c r="CT46" s="1843"/>
      <c r="CU46" s="1844"/>
      <c r="CV46" s="1844"/>
      <c r="CW46" s="1845"/>
      <c r="CX46" s="1844"/>
      <c r="CY46" s="1845"/>
      <c r="CZ46" s="1845"/>
      <c r="DA46" s="1845"/>
      <c r="DB46" s="912"/>
    </row>
    <row r="47" spans="1:106" x14ac:dyDescent="0.3">
      <c r="A47" s="1835"/>
      <c r="B47" s="108" t="s">
        <v>312</v>
      </c>
      <c r="C47" s="906">
        <f>H44*C46</f>
        <v>0</v>
      </c>
      <c r="D47" s="29">
        <f>D46</f>
        <v>0</v>
      </c>
      <c r="E47" s="29">
        <f>C47*D47</f>
        <v>0</v>
      </c>
      <c r="F47" s="1836"/>
      <c r="G47" s="1837"/>
      <c r="H47" s="1838"/>
      <c r="I47" s="1839"/>
      <c r="J47" s="1839"/>
      <c r="K47" s="907">
        <f>P44*K46</f>
        <v>0</v>
      </c>
      <c r="L47" s="902">
        <f>L46</f>
        <v>0</v>
      </c>
      <c r="M47" s="902">
        <f>K47*L47</f>
        <v>0</v>
      </c>
      <c r="N47" s="1840"/>
      <c r="O47" s="1841"/>
      <c r="P47" s="1842"/>
      <c r="Q47" s="1843"/>
      <c r="R47" s="1843"/>
      <c r="S47" s="906">
        <f>X44*S46</f>
        <v>0</v>
      </c>
      <c r="T47" s="29">
        <f>T46</f>
        <v>0</v>
      </c>
      <c r="U47" s="29">
        <f>S47*T47</f>
        <v>0</v>
      </c>
      <c r="V47" s="1836"/>
      <c r="W47" s="1837"/>
      <c r="X47" s="1838"/>
      <c r="Y47" s="1839"/>
      <c r="Z47" s="1839"/>
      <c r="AA47" s="907">
        <f>AF44*AA46</f>
        <v>0</v>
      </c>
      <c r="AB47" s="902">
        <f>AB46</f>
        <v>0</v>
      </c>
      <c r="AC47" s="902">
        <f>AA47*AB47</f>
        <v>0</v>
      </c>
      <c r="AD47" s="1840"/>
      <c r="AE47" s="1841"/>
      <c r="AF47" s="1842"/>
      <c r="AG47" s="1843"/>
      <c r="AH47" s="1843"/>
      <c r="AI47" s="906">
        <f>AN44*AI46</f>
        <v>0</v>
      </c>
      <c r="AJ47" s="29">
        <f>AJ46</f>
        <v>0</v>
      </c>
      <c r="AK47" s="29">
        <f>AI47*AJ47</f>
        <v>0</v>
      </c>
      <c r="AL47" s="1836"/>
      <c r="AM47" s="1837"/>
      <c r="AN47" s="1838"/>
      <c r="AO47" s="1839"/>
      <c r="AP47" s="1839"/>
      <c r="AQ47" s="907">
        <f>AV44*AQ46</f>
        <v>0</v>
      </c>
      <c r="AR47" s="902">
        <f>AR46</f>
        <v>0</v>
      </c>
      <c r="AS47" s="902">
        <f>AQ47*AR47</f>
        <v>0</v>
      </c>
      <c r="AT47" s="1840"/>
      <c r="AU47" s="1841"/>
      <c r="AV47" s="1842"/>
      <c r="AW47" s="1843"/>
      <c r="AX47" s="1843"/>
      <c r="AY47" s="906">
        <f>BD44*AY46</f>
        <v>0</v>
      </c>
      <c r="AZ47" s="29">
        <f>AZ46</f>
        <v>0</v>
      </c>
      <c r="BA47" s="29">
        <f>AY47*AZ47</f>
        <v>0</v>
      </c>
      <c r="BB47" s="1836"/>
      <c r="BC47" s="1837"/>
      <c r="BD47" s="1838"/>
      <c r="BE47" s="1839"/>
      <c r="BF47" s="1839"/>
      <c r="BG47" s="907">
        <f>BL44*BG46</f>
        <v>0</v>
      </c>
      <c r="BH47" s="902">
        <f>BH46</f>
        <v>0</v>
      </c>
      <c r="BI47" s="902">
        <f>BG47*BH47</f>
        <v>0</v>
      </c>
      <c r="BJ47" s="1840"/>
      <c r="BK47" s="1841"/>
      <c r="BL47" s="1842"/>
      <c r="BM47" s="1843"/>
      <c r="BN47" s="1843"/>
      <c r="BO47" s="906">
        <f>BT44*BO46</f>
        <v>0</v>
      </c>
      <c r="BP47" s="29">
        <f>BP46</f>
        <v>0</v>
      </c>
      <c r="BQ47" s="29">
        <f>BO47*BP47</f>
        <v>0</v>
      </c>
      <c r="BR47" s="1836"/>
      <c r="BS47" s="1837"/>
      <c r="BT47" s="1838"/>
      <c r="BU47" s="1839"/>
      <c r="BV47" s="1839"/>
      <c r="BW47" s="907">
        <f>CB44*BW46</f>
        <v>0</v>
      </c>
      <c r="BX47" s="902">
        <f>BX46</f>
        <v>0</v>
      </c>
      <c r="BY47" s="902">
        <f>BW47*BX47</f>
        <v>0</v>
      </c>
      <c r="BZ47" s="1840"/>
      <c r="CA47" s="1841"/>
      <c r="CB47" s="1842"/>
      <c r="CC47" s="1843"/>
      <c r="CD47" s="1843"/>
      <c r="CE47" s="906">
        <f>CJ44*CE46</f>
        <v>0</v>
      </c>
      <c r="CF47" s="29">
        <f>CF46</f>
        <v>0</v>
      </c>
      <c r="CG47" s="29">
        <f>CE47*CF47</f>
        <v>0</v>
      </c>
      <c r="CH47" s="1836"/>
      <c r="CI47" s="1837"/>
      <c r="CJ47" s="1838"/>
      <c r="CK47" s="1839"/>
      <c r="CL47" s="1839"/>
      <c r="CM47" s="907">
        <f>CR44*CM46</f>
        <v>0</v>
      </c>
      <c r="CN47" s="902">
        <f>CN46</f>
        <v>0</v>
      </c>
      <c r="CO47" s="902">
        <f>CM47*CN47</f>
        <v>0</v>
      </c>
      <c r="CP47" s="1840"/>
      <c r="CQ47" s="1841"/>
      <c r="CR47" s="1842"/>
      <c r="CS47" s="1843"/>
      <c r="CT47" s="1843"/>
      <c r="CU47" s="1844"/>
      <c r="CV47" s="1844"/>
      <c r="CW47" s="1845"/>
      <c r="CX47" s="1844"/>
      <c r="CY47" s="1845"/>
      <c r="CZ47" s="1845"/>
      <c r="DA47" s="1845"/>
      <c r="DB47" s="912"/>
    </row>
    <row r="48" spans="1:106" x14ac:dyDescent="0.3">
      <c r="A48" s="1835"/>
      <c r="B48" s="108" t="s">
        <v>254</v>
      </c>
      <c r="C48" s="906">
        <f>C44+C45-C47</f>
        <v>0</v>
      </c>
      <c r="D48" s="29">
        <f>D47</f>
        <v>0</v>
      </c>
      <c r="E48" s="29">
        <f>D48*C48</f>
        <v>0</v>
      </c>
      <c r="F48" s="1836"/>
      <c r="G48" s="1837"/>
      <c r="H48" s="1838"/>
      <c r="I48" s="1839"/>
      <c r="J48" s="1839"/>
      <c r="K48" s="907">
        <f>K44+K45-K47</f>
        <v>0</v>
      </c>
      <c r="L48" s="902">
        <f>L47</f>
        <v>0</v>
      </c>
      <c r="M48" s="902">
        <f>L48*K48</f>
        <v>0</v>
      </c>
      <c r="N48" s="1840"/>
      <c r="O48" s="1841"/>
      <c r="P48" s="1842"/>
      <c r="Q48" s="1843"/>
      <c r="R48" s="1843"/>
      <c r="S48" s="906">
        <f>S44+S45-S47</f>
        <v>0</v>
      </c>
      <c r="T48" s="29">
        <f>T47</f>
        <v>0</v>
      </c>
      <c r="U48" s="29">
        <f>T48*S48</f>
        <v>0</v>
      </c>
      <c r="V48" s="1836"/>
      <c r="W48" s="1837"/>
      <c r="X48" s="1838"/>
      <c r="Y48" s="1839"/>
      <c r="Z48" s="1839"/>
      <c r="AA48" s="907">
        <f>AA44+AA45-AA47</f>
        <v>0</v>
      </c>
      <c r="AB48" s="902">
        <f>AB47</f>
        <v>0</v>
      </c>
      <c r="AC48" s="902">
        <f>AB48*AA48</f>
        <v>0</v>
      </c>
      <c r="AD48" s="1840"/>
      <c r="AE48" s="1841"/>
      <c r="AF48" s="1842"/>
      <c r="AG48" s="1843"/>
      <c r="AH48" s="1843"/>
      <c r="AI48" s="906">
        <f>AI44+AI45-AI47</f>
        <v>0</v>
      </c>
      <c r="AJ48" s="29">
        <f>AJ47</f>
        <v>0</v>
      </c>
      <c r="AK48" s="29">
        <f>AJ48*AI48</f>
        <v>0</v>
      </c>
      <c r="AL48" s="1836"/>
      <c r="AM48" s="1837"/>
      <c r="AN48" s="1838"/>
      <c r="AO48" s="1839"/>
      <c r="AP48" s="1839"/>
      <c r="AQ48" s="907">
        <f>AQ44+AQ45-AQ47</f>
        <v>0</v>
      </c>
      <c r="AR48" s="902">
        <f>AR47</f>
        <v>0</v>
      </c>
      <c r="AS48" s="902">
        <f>AR48*AQ48</f>
        <v>0</v>
      </c>
      <c r="AT48" s="1840"/>
      <c r="AU48" s="1841"/>
      <c r="AV48" s="1842"/>
      <c r="AW48" s="1843"/>
      <c r="AX48" s="1843"/>
      <c r="AY48" s="906">
        <f>AY44+AY45-AY47</f>
        <v>0</v>
      </c>
      <c r="AZ48" s="29">
        <f>AZ47</f>
        <v>0</v>
      </c>
      <c r="BA48" s="29">
        <f>AZ48*AY48</f>
        <v>0</v>
      </c>
      <c r="BB48" s="1836"/>
      <c r="BC48" s="1837"/>
      <c r="BD48" s="1838"/>
      <c r="BE48" s="1839"/>
      <c r="BF48" s="1839"/>
      <c r="BG48" s="907">
        <f>BG44+BG45-BG47</f>
        <v>0</v>
      </c>
      <c r="BH48" s="902">
        <f>BH47</f>
        <v>0</v>
      </c>
      <c r="BI48" s="902">
        <f>BH48*BG48</f>
        <v>0</v>
      </c>
      <c r="BJ48" s="1840"/>
      <c r="BK48" s="1841"/>
      <c r="BL48" s="1842"/>
      <c r="BM48" s="1843"/>
      <c r="BN48" s="1843"/>
      <c r="BO48" s="906">
        <f>BO44+BO45-BO47</f>
        <v>0</v>
      </c>
      <c r="BP48" s="29">
        <f>BP47</f>
        <v>0</v>
      </c>
      <c r="BQ48" s="29">
        <f>BP48*BO48</f>
        <v>0</v>
      </c>
      <c r="BR48" s="1836"/>
      <c r="BS48" s="1837"/>
      <c r="BT48" s="1838"/>
      <c r="BU48" s="1839"/>
      <c r="BV48" s="1839"/>
      <c r="BW48" s="907">
        <f>BW44+BW45-BW47</f>
        <v>0</v>
      </c>
      <c r="BX48" s="902">
        <f>BX47</f>
        <v>0</v>
      </c>
      <c r="BY48" s="902">
        <f>BX48*BW48</f>
        <v>0</v>
      </c>
      <c r="BZ48" s="1840"/>
      <c r="CA48" s="1841"/>
      <c r="CB48" s="1842"/>
      <c r="CC48" s="1843"/>
      <c r="CD48" s="1843"/>
      <c r="CE48" s="906">
        <f>CE44+CE45-CE47</f>
        <v>0</v>
      </c>
      <c r="CF48" s="29">
        <f>CF47</f>
        <v>0</v>
      </c>
      <c r="CG48" s="29">
        <f>CF48*CE48</f>
        <v>0</v>
      </c>
      <c r="CH48" s="1836"/>
      <c r="CI48" s="1837"/>
      <c r="CJ48" s="1838"/>
      <c r="CK48" s="1839"/>
      <c r="CL48" s="1839"/>
      <c r="CM48" s="907">
        <f>CM44+CM45-CM47</f>
        <v>0</v>
      </c>
      <c r="CN48" s="902">
        <f>CN47</f>
        <v>0</v>
      </c>
      <c r="CO48" s="902">
        <f>CN48*CM48</f>
        <v>0</v>
      </c>
      <c r="CP48" s="1840"/>
      <c r="CQ48" s="1841"/>
      <c r="CR48" s="1842"/>
      <c r="CS48" s="1843"/>
      <c r="CT48" s="1843"/>
      <c r="CU48" s="1844"/>
      <c r="CV48" s="1844"/>
      <c r="CW48" s="1845"/>
      <c r="CX48" s="1844"/>
      <c r="CY48" s="1845"/>
      <c r="CZ48" s="1845"/>
      <c r="DA48" s="1845"/>
      <c r="DB48" s="912"/>
    </row>
    <row r="49" spans="1:106" x14ac:dyDescent="0.3">
      <c r="A49" s="1835" t="str">
        <f>TRIBUTS!K7</f>
        <v>JULIOL</v>
      </c>
      <c r="B49" s="108" t="s">
        <v>255</v>
      </c>
      <c r="C49" s="906">
        <f>C48</f>
        <v>0</v>
      </c>
      <c r="D49" s="29">
        <f>D48</f>
        <v>0</v>
      </c>
      <c r="E49" s="29">
        <f>C49*D49</f>
        <v>0</v>
      </c>
      <c r="F49" s="1836">
        <f>E50*$I$3</f>
        <v>0</v>
      </c>
      <c r="G49" s="1837">
        <f>G44</f>
        <v>0</v>
      </c>
      <c r="H49" s="1838">
        <f>H44</f>
        <v>0</v>
      </c>
      <c r="I49" s="1839">
        <f>E52/(1-G49)</f>
        <v>0</v>
      </c>
      <c r="J49" s="1839">
        <f>I49*$F$3</f>
        <v>0</v>
      </c>
      <c r="K49" s="907">
        <f>K48</f>
        <v>0</v>
      </c>
      <c r="L49" s="902">
        <f>L48</f>
        <v>0</v>
      </c>
      <c r="M49" s="902">
        <f>K49*L49</f>
        <v>0</v>
      </c>
      <c r="N49" s="1840">
        <f>M50*$I$4</f>
        <v>0</v>
      </c>
      <c r="O49" s="1841">
        <f>O44</f>
        <v>0</v>
      </c>
      <c r="P49" s="1842">
        <f>P44</f>
        <v>0</v>
      </c>
      <c r="Q49" s="1843">
        <f>M52/(1-O49)</f>
        <v>0</v>
      </c>
      <c r="R49" s="1843">
        <f>Q49*$F$4</f>
        <v>0</v>
      </c>
      <c r="S49" s="906">
        <f>S48</f>
        <v>0</v>
      </c>
      <c r="T49" s="29">
        <f>T48</f>
        <v>0</v>
      </c>
      <c r="U49" s="29">
        <f>S49*T49</f>
        <v>0</v>
      </c>
      <c r="V49" s="1836">
        <f>U50*$I$5</f>
        <v>0</v>
      </c>
      <c r="W49" s="1837">
        <f>W44</f>
        <v>0</v>
      </c>
      <c r="X49" s="1838">
        <f>X44</f>
        <v>0</v>
      </c>
      <c r="Y49" s="1839">
        <f>U52/(1-W49)</f>
        <v>0</v>
      </c>
      <c r="Z49" s="1839">
        <f>Y49*$F$5</f>
        <v>0</v>
      </c>
      <c r="AA49" s="907">
        <f>AA48</f>
        <v>0</v>
      </c>
      <c r="AB49" s="902">
        <f>AB48</f>
        <v>0</v>
      </c>
      <c r="AC49" s="902">
        <f>AA49*AB49</f>
        <v>0</v>
      </c>
      <c r="AD49" s="1840">
        <f>AC50*$I$6</f>
        <v>0</v>
      </c>
      <c r="AE49" s="1841">
        <f>AE44</f>
        <v>0</v>
      </c>
      <c r="AF49" s="1842">
        <f>AF44</f>
        <v>0</v>
      </c>
      <c r="AG49" s="1843">
        <f>AC52/(1-AE49)</f>
        <v>0</v>
      </c>
      <c r="AH49" s="1843">
        <f>AG49*$F$6</f>
        <v>0</v>
      </c>
      <c r="AI49" s="906">
        <f>AI48</f>
        <v>0</v>
      </c>
      <c r="AJ49" s="29">
        <f>AJ48</f>
        <v>0</v>
      </c>
      <c r="AK49" s="29">
        <f>AI49*AJ49</f>
        <v>0</v>
      </c>
      <c r="AL49" s="1836">
        <f>AK50*$I$7</f>
        <v>0</v>
      </c>
      <c r="AM49" s="1837">
        <f>AM44</f>
        <v>0</v>
      </c>
      <c r="AN49" s="1838">
        <f>AN44</f>
        <v>0</v>
      </c>
      <c r="AO49" s="1839">
        <f>AK52/(1-AM49)</f>
        <v>0</v>
      </c>
      <c r="AP49" s="1839">
        <f>AO49*$F$7</f>
        <v>0</v>
      </c>
      <c r="AQ49" s="907">
        <f>AQ48</f>
        <v>0</v>
      </c>
      <c r="AR49" s="902">
        <f>AR48</f>
        <v>0</v>
      </c>
      <c r="AS49" s="902">
        <f>AQ49*AR49</f>
        <v>0</v>
      </c>
      <c r="AT49" s="1840">
        <f>AS50*$I$8</f>
        <v>0</v>
      </c>
      <c r="AU49" s="1841">
        <f>AU44</f>
        <v>0</v>
      </c>
      <c r="AV49" s="1842">
        <f>AV44</f>
        <v>0</v>
      </c>
      <c r="AW49" s="1843">
        <f>AS52/(1-AU49)</f>
        <v>0</v>
      </c>
      <c r="AX49" s="1843">
        <f>AW49*$F$8</f>
        <v>0</v>
      </c>
      <c r="AY49" s="906">
        <f>AY48</f>
        <v>0</v>
      </c>
      <c r="AZ49" s="29">
        <f>AZ48</f>
        <v>0</v>
      </c>
      <c r="BA49" s="29">
        <f>AY49*AZ49</f>
        <v>0</v>
      </c>
      <c r="BB49" s="1836">
        <f>BA50*$I$9</f>
        <v>0</v>
      </c>
      <c r="BC49" s="1837">
        <f>BC44</f>
        <v>0</v>
      </c>
      <c r="BD49" s="1838">
        <f>BD44</f>
        <v>0</v>
      </c>
      <c r="BE49" s="1839">
        <f>BA52/(1-BC49)</f>
        <v>0</v>
      </c>
      <c r="BF49" s="1839">
        <f>BE49*$F$9</f>
        <v>0</v>
      </c>
      <c r="BG49" s="907">
        <f>BG48</f>
        <v>0</v>
      </c>
      <c r="BH49" s="902">
        <f>BH48</f>
        <v>0</v>
      </c>
      <c r="BI49" s="902">
        <f>BG49*BH49</f>
        <v>0</v>
      </c>
      <c r="BJ49" s="1840">
        <f>BI50*$I$10</f>
        <v>0</v>
      </c>
      <c r="BK49" s="1841">
        <f>BK44</f>
        <v>0</v>
      </c>
      <c r="BL49" s="1842">
        <f>BL44</f>
        <v>0</v>
      </c>
      <c r="BM49" s="1843">
        <f>BI52/(1-BK49)</f>
        <v>0</v>
      </c>
      <c r="BN49" s="1843">
        <f>BM49*$F$10</f>
        <v>0</v>
      </c>
      <c r="BO49" s="906">
        <f>BO48</f>
        <v>0</v>
      </c>
      <c r="BP49" s="29">
        <f>BP48</f>
        <v>0</v>
      </c>
      <c r="BQ49" s="29">
        <f>BO49*BP49</f>
        <v>0</v>
      </c>
      <c r="BR49" s="1836">
        <f>BQ50*$I$11</f>
        <v>0</v>
      </c>
      <c r="BS49" s="1837">
        <f>BS44</f>
        <v>0</v>
      </c>
      <c r="BT49" s="1838">
        <f>BT44</f>
        <v>0</v>
      </c>
      <c r="BU49" s="1839">
        <f>BQ52/(1-BS49)</f>
        <v>0</v>
      </c>
      <c r="BV49" s="1839">
        <f>BU49*$F$11</f>
        <v>0</v>
      </c>
      <c r="BW49" s="907">
        <f>BW48</f>
        <v>0</v>
      </c>
      <c r="BX49" s="902">
        <f>BX48</f>
        <v>0</v>
      </c>
      <c r="BY49" s="902">
        <f>BW49*BX49</f>
        <v>0</v>
      </c>
      <c r="BZ49" s="1840">
        <f>BY50*$I$12</f>
        <v>0</v>
      </c>
      <c r="CA49" s="1841">
        <f>CA44</f>
        <v>0</v>
      </c>
      <c r="CB49" s="1842">
        <f>CB44</f>
        <v>0</v>
      </c>
      <c r="CC49" s="1843">
        <f>BY52/(1-CA49)</f>
        <v>0</v>
      </c>
      <c r="CD49" s="1843">
        <f>CC49*$F$12</f>
        <v>0</v>
      </c>
      <c r="CE49" s="906">
        <f>CE48</f>
        <v>0</v>
      </c>
      <c r="CF49" s="29">
        <f>CF48</f>
        <v>0</v>
      </c>
      <c r="CG49" s="29">
        <f>CE49*CF49</f>
        <v>0</v>
      </c>
      <c r="CH49" s="1836">
        <f>CG50*$I$13</f>
        <v>0</v>
      </c>
      <c r="CI49" s="1837">
        <f>CI44</f>
        <v>0</v>
      </c>
      <c r="CJ49" s="1838">
        <f>CJ44</f>
        <v>0</v>
      </c>
      <c r="CK49" s="1839">
        <f>CG52/(1-CI49)</f>
        <v>0</v>
      </c>
      <c r="CL49" s="1839">
        <f>CK49*$F$13</f>
        <v>0</v>
      </c>
      <c r="CM49" s="907">
        <f>CM48</f>
        <v>0</v>
      </c>
      <c r="CN49" s="902">
        <f>CN48</f>
        <v>0</v>
      </c>
      <c r="CO49" s="902">
        <f>CM49*CN49</f>
        <v>0</v>
      </c>
      <c r="CP49" s="1840">
        <f>CO50*$I$14</f>
        <v>0</v>
      </c>
      <c r="CQ49" s="1841">
        <f>CQ44</f>
        <v>0</v>
      </c>
      <c r="CR49" s="1842">
        <f>CR44</f>
        <v>0</v>
      </c>
      <c r="CS49" s="1843">
        <f>CO52/(1-CQ49)</f>
        <v>0</v>
      </c>
      <c r="CT49" s="1843">
        <f>CS49*$F$14</f>
        <v>0</v>
      </c>
      <c r="CU49" s="1844">
        <f>E50+M50+U50+AC50+AK50+AS50+BA50+BI50+BQ50+BY50+CG50+CO50</f>
        <v>0</v>
      </c>
      <c r="CV49" s="1844">
        <f>CP49+CH49+BZ49+BR49+BJ49+BB49+AT49+AL49+AD49+V49+N49+F49</f>
        <v>0</v>
      </c>
      <c r="CW49" s="1845">
        <f>I49+Q49+Y49+AG49+AO49+AW49+BE49+BM49+BU49+CC49+CK49+CS49</f>
        <v>0</v>
      </c>
      <c r="CX49" s="1844">
        <f>CT49+CL49+CD49+BV49+BN49+BF49+AX49+AP49+AH49+Z49+R49+J49</f>
        <v>0</v>
      </c>
      <c r="CY49" s="1845">
        <f>CZ44</f>
        <v>0</v>
      </c>
      <c r="CZ49" s="1845">
        <f>E53+M53+U53+AC53+AK53+AS53+BA53+BI53+BQ53+BY53+CG53+CO53</f>
        <v>0</v>
      </c>
      <c r="DA49" s="1845">
        <f>CZ49-CY49</f>
        <v>0</v>
      </c>
      <c r="DB49" s="914"/>
    </row>
    <row r="50" spans="1:106" x14ac:dyDescent="0.3">
      <c r="A50" s="1835"/>
      <c r="B50" s="108" t="s">
        <v>310</v>
      </c>
      <c r="C50" s="898">
        <f>C45</f>
        <v>0</v>
      </c>
      <c r="D50" s="899">
        <f>D45</f>
        <v>0</v>
      </c>
      <c r="E50" s="29">
        <f>C50*D50</f>
        <v>0</v>
      </c>
      <c r="F50" s="1836"/>
      <c r="G50" s="1837"/>
      <c r="H50" s="1838"/>
      <c r="I50" s="1839"/>
      <c r="J50" s="1839"/>
      <c r="K50" s="900">
        <f>K45</f>
        <v>0</v>
      </c>
      <c r="L50" s="901">
        <f>L45</f>
        <v>0</v>
      </c>
      <c r="M50" s="902">
        <f>K50*L50</f>
        <v>0</v>
      </c>
      <c r="N50" s="1840"/>
      <c r="O50" s="1841"/>
      <c r="P50" s="1842"/>
      <c r="Q50" s="1843"/>
      <c r="R50" s="1843"/>
      <c r="S50" s="898">
        <f>S45</f>
        <v>0</v>
      </c>
      <c r="T50" s="899">
        <f>T45</f>
        <v>0</v>
      </c>
      <c r="U50" s="29">
        <f>S50*T50</f>
        <v>0</v>
      </c>
      <c r="V50" s="1836"/>
      <c r="W50" s="1837"/>
      <c r="X50" s="1838"/>
      <c r="Y50" s="1839"/>
      <c r="Z50" s="1839"/>
      <c r="AA50" s="900">
        <f>AA45</f>
        <v>0</v>
      </c>
      <c r="AB50" s="901">
        <f>AB45</f>
        <v>0</v>
      </c>
      <c r="AC50" s="902">
        <f>AA50*AB50</f>
        <v>0</v>
      </c>
      <c r="AD50" s="1840"/>
      <c r="AE50" s="1841"/>
      <c r="AF50" s="1842"/>
      <c r="AG50" s="1843"/>
      <c r="AH50" s="1843"/>
      <c r="AI50" s="898">
        <f>AI45</f>
        <v>0</v>
      </c>
      <c r="AJ50" s="899">
        <f>AJ45</f>
        <v>0</v>
      </c>
      <c r="AK50" s="29">
        <f>AI50*AJ50</f>
        <v>0</v>
      </c>
      <c r="AL50" s="1836"/>
      <c r="AM50" s="1837"/>
      <c r="AN50" s="1838"/>
      <c r="AO50" s="1839"/>
      <c r="AP50" s="1839"/>
      <c r="AQ50" s="900">
        <f>AQ45</f>
        <v>0</v>
      </c>
      <c r="AR50" s="901">
        <f>AR45</f>
        <v>0</v>
      </c>
      <c r="AS50" s="902">
        <f>AQ50*AR50</f>
        <v>0</v>
      </c>
      <c r="AT50" s="1840"/>
      <c r="AU50" s="1841"/>
      <c r="AV50" s="1842"/>
      <c r="AW50" s="1843"/>
      <c r="AX50" s="1843"/>
      <c r="AY50" s="898">
        <f>AY45</f>
        <v>0</v>
      </c>
      <c r="AZ50" s="899">
        <f>AZ45</f>
        <v>0</v>
      </c>
      <c r="BA50" s="29">
        <f>AY50*AZ50</f>
        <v>0</v>
      </c>
      <c r="BB50" s="1836"/>
      <c r="BC50" s="1837"/>
      <c r="BD50" s="1838"/>
      <c r="BE50" s="1839"/>
      <c r="BF50" s="1839"/>
      <c r="BG50" s="900">
        <f>BG45</f>
        <v>0</v>
      </c>
      <c r="BH50" s="901">
        <f>BH45</f>
        <v>0</v>
      </c>
      <c r="BI50" s="902">
        <f>BG50*BH50</f>
        <v>0</v>
      </c>
      <c r="BJ50" s="1840"/>
      <c r="BK50" s="1841"/>
      <c r="BL50" s="1842"/>
      <c r="BM50" s="1843"/>
      <c r="BN50" s="1843"/>
      <c r="BO50" s="898">
        <f>BO45</f>
        <v>0</v>
      </c>
      <c r="BP50" s="899">
        <f>BP45</f>
        <v>0</v>
      </c>
      <c r="BQ50" s="29">
        <f>BO50*BP50</f>
        <v>0</v>
      </c>
      <c r="BR50" s="1836"/>
      <c r="BS50" s="1837"/>
      <c r="BT50" s="1838"/>
      <c r="BU50" s="1839"/>
      <c r="BV50" s="1839"/>
      <c r="BW50" s="900">
        <f>BW45</f>
        <v>0</v>
      </c>
      <c r="BX50" s="901">
        <f>BX45</f>
        <v>0</v>
      </c>
      <c r="BY50" s="902">
        <f>BW50*BX50</f>
        <v>0</v>
      </c>
      <c r="BZ50" s="1840"/>
      <c r="CA50" s="1841"/>
      <c r="CB50" s="1842"/>
      <c r="CC50" s="1843"/>
      <c r="CD50" s="1843"/>
      <c r="CE50" s="898">
        <f>CE45</f>
        <v>0</v>
      </c>
      <c r="CF50" s="899">
        <f>CF45</f>
        <v>0</v>
      </c>
      <c r="CG50" s="29">
        <f>CE50*CF50</f>
        <v>0</v>
      </c>
      <c r="CH50" s="1836"/>
      <c r="CI50" s="1837"/>
      <c r="CJ50" s="1838"/>
      <c r="CK50" s="1839"/>
      <c r="CL50" s="1839"/>
      <c r="CM50" s="900">
        <f>CM45</f>
        <v>0</v>
      </c>
      <c r="CN50" s="901">
        <f>CN45</f>
        <v>0</v>
      </c>
      <c r="CO50" s="902">
        <f>CM50*CN50</f>
        <v>0</v>
      </c>
      <c r="CP50" s="1840"/>
      <c r="CQ50" s="1841"/>
      <c r="CR50" s="1842"/>
      <c r="CS50" s="1843"/>
      <c r="CT50" s="1843"/>
      <c r="CU50" s="1844"/>
      <c r="CV50" s="1844"/>
      <c r="CW50" s="1845"/>
      <c r="CX50" s="1844"/>
      <c r="CY50" s="1845"/>
      <c r="CZ50" s="1845"/>
      <c r="DA50" s="1845"/>
      <c r="DB50" s="912"/>
    </row>
    <row r="51" spans="1:106" ht="12.75" hidden="1" customHeight="1" x14ac:dyDescent="0.3">
      <c r="A51" s="1835"/>
      <c r="B51" s="108" t="s">
        <v>315</v>
      </c>
      <c r="C51" s="906">
        <f>C50+C49</f>
        <v>0</v>
      </c>
      <c r="D51" s="29">
        <f>IF(C51=0,0,E51/C51)</f>
        <v>0</v>
      </c>
      <c r="E51" s="29">
        <f>E50+E49</f>
        <v>0</v>
      </c>
      <c r="F51" s="1836"/>
      <c r="G51" s="1837"/>
      <c r="H51" s="1838"/>
      <c r="I51" s="1839"/>
      <c r="J51" s="1839"/>
      <c r="K51" s="907">
        <f>K50+K49</f>
        <v>0</v>
      </c>
      <c r="L51" s="902">
        <f>IF(K51=0,0,M51/K51)</f>
        <v>0</v>
      </c>
      <c r="M51" s="902">
        <f>M50+M49</f>
        <v>0</v>
      </c>
      <c r="N51" s="1840"/>
      <c r="O51" s="1841"/>
      <c r="P51" s="1842"/>
      <c r="Q51" s="1843"/>
      <c r="R51" s="1843"/>
      <c r="S51" s="906">
        <f>S50+S49</f>
        <v>0</v>
      </c>
      <c r="T51" s="29">
        <f>IF(S51=0,0,U51/S51)</f>
        <v>0</v>
      </c>
      <c r="U51" s="29">
        <f>U50+U49</f>
        <v>0</v>
      </c>
      <c r="V51" s="1836"/>
      <c r="W51" s="1837"/>
      <c r="X51" s="1838"/>
      <c r="Y51" s="1839"/>
      <c r="Z51" s="1839"/>
      <c r="AA51" s="907">
        <f>AA50+AA49</f>
        <v>0</v>
      </c>
      <c r="AB51" s="902">
        <f>IF(AA51=0,0,AC51/AA51)</f>
        <v>0</v>
      </c>
      <c r="AC51" s="902">
        <f>AC50+AC49</f>
        <v>0</v>
      </c>
      <c r="AD51" s="1840"/>
      <c r="AE51" s="1841"/>
      <c r="AF51" s="1842"/>
      <c r="AG51" s="1843"/>
      <c r="AH51" s="1843"/>
      <c r="AI51" s="906">
        <f>AI50+AI49</f>
        <v>0</v>
      </c>
      <c r="AJ51" s="29">
        <f>IF(AI51=0,0,AK51/AI51)</f>
        <v>0</v>
      </c>
      <c r="AK51" s="29">
        <f>AK50+AK49</f>
        <v>0</v>
      </c>
      <c r="AL51" s="1836"/>
      <c r="AM51" s="1837"/>
      <c r="AN51" s="1838"/>
      <c r="AO51" s="1839"/>
      <c r="AP51" s="1839"/>
      <c r="AQ51" s="907">
        <f>AQ50+AQ49</f>
        <v>0</v>
      </c>
      <c r="AR51" s="902">
        <f>IF(AQ51=0,0,AS51/AQ51)</f>
        <v>0</v>
      </c>
      <c r="AS51" s="902">
        <f>AS50+AS49</f>
        <v>0</v>
      </c>
      <c r="AT51" s="1840"/>
      <c r="AU51" s="1841"/>
      <c r="AV51" s="1842"/>
      <c r="AW51" s="1843"/>
      <c r="AX51" s="1843"/>
      <c r="AY51" s="906">
        <f>AY50+AY49</f>
        <v>0</v>
      </c>
      <c r="AZ51" s="29">
        <f>IF(AY51=0,0,BA51/AY51)</f>
        <v>0</v>
      </c>
      <c r="BA51" s="29">
        <f>BA50+BA49</f>
        <v>0</v>
      </c>
      <c r="BB51" s="1836"/>
      <c r="BC51" s="1837"/>
      <c r="BD51" s="1838"/>
      <c r="BE51" s="1839"/>
      <c r="BF51" s="1839"/>
      <c r="BG51" s="907">
        <f>BG50+BG49</f>
        <v>0</v>
      </c>
      <c r="BH51" s="902">
        <f>IF(BG51=0,0,BI51/BG51)</f>
        <v>0</v>
      </c>
      <c r="BI51" s="902">
        <f>BI50+BI49</f>
        <v>0</v>
      </c>
      <c r="BJ51" s="1840"/>
      <c r="BK51" s="1841"/>
      <c r="BL51" s="1842"/>
      <c r="BM51" s="1843"/>
      <c r="BN51" s="1843"/>
      <c r="BO51" s="906">
        <f>BO50+BO49</f>
        <v>0</v>
      </c>
      <c r="BP51" s="29">
        <f>IF(BO51=0,0,BQ51/BO51)</f>
        <v>0</v>
      </c>
      <c r="BQ51" s="29">
        <f>BQ50+BQ49</f>
        <v>0</v>
      </c>
      <c r="BR51" s="1836"/>
      <c r="BS51" s="1837"/>
      <c r="BT51" s="1838"/>
      <c r="BU51" s="1839"/>
      <c r="BV51" s="1839"/>
      <c r="BW51" s="907">
        <f>BW50+BW49</f>
        <v>0</v>
      </c>
      <c r="BX51" s="902">
        <f>IF(BW51=0,0,BY51/BW51)</f>
        <v>0</v>
      </c>
      <c r="BY51" s="902">
        <f>BY50+BY49</f>
        <v>0</v>
      </c>
      <c r="BZ51" s="1840"/>
      <c r="CA51" s="1841"/>
      <c r="CB51" s="1842"/>
      <c r="CC51" s="1843"/>
      <c r="CD51" s="1843"/>
      <c r="CE51" s="906">
        <f>CE50+CE49</f>
        <v>0</v>
      </c>
      <c r="CF51" s="29">
        <f>IF(CE51=0,0,CG51/CE51)</f>
        <v>0</v>
      </c>
      <c r="CG51" s="29">
        <f>CG50+CG49</f>
        <v>0</v>
      </c>
      <c r="CH51" s="1836"/>
      <c r="CI51" s="1837"/>
      <c r="CJ51" s="1838"/>
      <c r="CK51" s="1839"/>
      <c r="CL51" s="1839"/>
      <c r="CM51" s="907">
        <f>CM50+CM49</f>
        <v>0</v>
      </c>
      <c r="CN51" s="902">
        <f>IF(CM51=0,0,CO51/CM51)</f>
        <v>0</v>
      </c>
      <c r="CO51" s="902">
        <f>CO50+CO49</f>
        <v>0</v>
      </c>
      <c r="CP51" s="1840"/>
      <c r="CQ51" s="1841"/>
      <c r="CR51" s="1842"/>
      <c r="CS51" s="1843"/>
      <c r="CT51" s="1843"/>
      <c r="CU51" s="1844"/>
      <c r="CV51" s="1844"/>
      <c r="CW51" s="1845"/>
      <c r="CX51" s="1844"/>
      <c r="CY51" s="1845"/>
      <c r="CZ51" s="1845"/>
      <c r="DA51" s="1845"/>
      <c r="DB51" s="912"/>
    </row>
    <row r="52" spans="1:106" x14ac:dyDescent="0.3">
      <c r="A52" s="1835"/>
      <c r="B52" s="108" t="s">
        <v>312</v>
      </c>
      <c r="C52" s="906">
        <f>H49*C51</f>
        <v>0</v>
      </c>
      <c r="D52" s="29">
        <f>D51</f>
        <v>0</v>
      </c>
      <c r="E52" s="29">
        <f>C52*D52</f>
        <v>0</v>
      </c>
      <c r="F52" s="1836"/>
      <c r="G52" s="1837"/>
      <c r="H52" s="1838"/>
      <c r="I52" s="1839"/>
      <c r="J52" s="1839"/>
      <c r="K52" s="907">
        <f>P49*K51</f>
        <v>0</v>
      </c>
      <c r="L52" s="902">
        <f>L51</f>
        <v>0</v>
      </c>
      <c r="M52" s="902">
        <f>K52*L52</f>
        <v>0</v>
      </c>
      <c r="N52" s="1840"/>
      <c r="O52" s="1841"/>
      <c r="P52" s="1842"/>
      <c r="Q52" s="1843"/>
      <c r="R52" s="1843"/>
      <c r="S52" s="906">
        <f>X49*S51</f>
        <v>0</v>
      </c>
      <c r="T52" s="29">
        <f>T51</f>
        <v>0</v>
      </c>
      <c r="U52" s="29">
        <f>S52*T52</f>
        <v>0</v>
      </c>
      <c r="V52" s="1836"/>
      <c r="W52" s="1837"/>
      <c r="X52" s="1838"/>
      <c r="Y52" s="1839"/>
      <c r="Z52" s="1839"/>
      <c r="AA52" s="907">
        <f>AF49*AA51</f>
        <v>0</v>
      </c>
      <c r="AB52" s="902">
        <f>AB51</f>
        <v>0</v>
      </c>
      <c r="AC52" s="902">
        <f>AA52*AB52</f>
        <v>0</v>
      </c>
      <c r="AD52" s="1840"/>
      <c r="AE52" s="1841"/>
      <c r="AF52" s="1842"/>
      <c r="AG52" s="1843"/>
      <c r="AH52" s="1843"/>
      <c r="AI52" s="906">
        <f>AN49*AI51</f>
        <v>0</v>
      </c>
      <c r="AJ52" s="29">
        <f>AJ51</f>
        <v>0</v>
      </c>
      <c r="AK52" s="29">
        <f>AI52*AJ52</f>
        <v>0</v>
      </c>
      <c r="AL52" s="1836"/>
      <c r="AM52" s="1837"/>
      <c r="AN52" s="1838"/>
      <c r="AO52" s="1839"/>
      <c r="AP52" s="1839"/>
      <c r="AQ52" s="907">
        <f>AV49*AQ51</f>
        <v>0</v>
      </c>
      <c r="AR52" s="902">
        <f>AR51</f>
        <v>0</v>
      </c>
      <c r="AS52" s="902">
        <f>AQ52*AR52</f>
        <v>0</v>
      </c>
      <c r="AT52" s="1840"/>
      <c r="AU52" s="1841"/>
      <c r="AV52" s="1842"/>
      <c r="AW52" s="1843"/>
      <c r="AX52" s="1843"/>
      <c r="AY52" s="906">
        <f>BD49*AY51</f>
        <v>0</v>
      </c>
      <c r="AZ52" s="29">
        <f>AZ51</f>
        <v>0</v>
      </c>
      <c r="BA52" s="29">
        <f>AY52*AZ52</f>
        <v>0</v>
      </c>
      <c r="BB52" s="1836"/>
      <c r="BC52" s="1837"/>
      <c r="BD52" s="1838"/>
      <c r="BE52" s="1839"/>
      <c r="BF52" s="1839"/>
      <c r="BG52" s="907">
        <f>BL49*BG51</f>
        <v>0</v>
      </c>
      <c r="BH52" s="902">
        <f>BH51</f>
        <v>0</v>
      </c>
      <c r="BI52" s="902">
        <f>BG52*BH52</f>
        <v>0</v>
      </c>
      <c r="BJ52" s="1840"/>
      <c r="BK52" s="1841"/>
      <c r="BL52" s="1842"/>
      <c r="BM52" s="1843"/>
      <c r="BN52" s="1843"/>
      <c r="BO52" s="906">
        <f>BT49*BO51</f>
        <v>0</v>
      </c>
      <c r="BP52" s="29">
        <f>BP51</f>
        <v>0</v>
      </c>
      <c r="BQ52" s="29">
        <f>BO52*BP52</f>
        <v>0</v>
      </c>
      <c r="BR52" s="1836"/>
      <c r="BS52" s="1837"/>
      <c r="BT52" s="1838"/>
      <c r="BU52" s="1839"/>
      <c r="BV52" s="1839"/>
      <c r="BW52" s="907">
        <f>CB49*BW51</f>
        <v>0</v>
      </c>
      <c r="BX52" s="902">
        <f>BX51</f>
        <v>0</v>
      </c>
      <c r="BY52" s="902">
        <f>BW52*BX52</f>
        <v>0</v>
      </c>
      <c r="BZ52" s="1840"/>
      <c r="CA52" s="1841"/>
      <c r="CB52" s="1842"/>
      <c r="CC52" s="1843"/>
      <c r="CD52" s="1843"/>
      <c r="CE52" s="906">
        <f>CJ49*CE51</f>
        <v>0</v>
      </c>
      <c r="CF52" s="29">
        <f>CF51</f>
        <v>0</v>
      </c>
      <c r="CG52" s="29">
        <f>CE52*CF52</f>
        <v>0</v>
      </c>
      <c r="CH52" s="1836"/>
      <c r="CI52" s="1837"/>
      <c r="CJ52" s="1838"/>
      <c r="CK52" s="1839"/>
      <c r="CL52" s="1839"/>
      <c r="CM52" s="907">
        <f>CR49*CM51</f>
        <v>0</v>
      </c>
      <c r="CN52" s="902">
        <f>CN51</f>
        <v>0</v>
      </c>
      <c r="CO52" s="902">
        <f>CM52*CN52</f>
        <v>0</v>
      </c>
      <c r="CP52" s="1840"/>
      <c r="CQ52" s="1841"/>
      <c r="CR52" s="1842"/>
      <c r="CS52" s="1843"/>
      <c r="CT52" s="1843"/>
      <c r="CU52" s="1844"/>
      <c r="CV52" s="1844"/>
      <c r="CW52" s="1845"/>
      <c r="CX52" s="1844"/>
      <c r="CY52" s="1845"/>
      <c r="CZ52" s="1845"/>
      <c r="DA52" s="1845"/>
      <c r="DB52" s="912"/>
    </row>
    <row r="53" spans="1:106" x14ac:dyDescent="0.3">
      <c r="A53" s="1835"/>
      <c r="B53" s="108" t="s">
        <v>254</v>
      </c>
      <c r="C53" s="906">
        <f>C49+C50-C52</f>
        <v>0</v>
      </c>
      <c r="D53" s="29">
        <f>D52</f>
        <v>0</v>
      </c>
      <c r="E53" s="29">
        <f>D53*C53</f>
        <v>0</v>
      </c>
      <c r="F53" s="1836"/>
      <c r="G53" s="1837"/>
      <c r="H53" s="1838"/>
      <c r="I53" s="1839"/>
      <c r="J53" s="1839"/>
      <c r="K53" s="907">
        <f>K49+K50-K52</f>
        <v>0</v>
      </c>
      <c r="L53" s="902">
        <f>L52</f>
        <v>0</v>
      </c>
      <c r="M53" s="902">
        <f>L53*K53</f>
        <v>0</v>
      </c>
      <c r="N53" s="1840"/>
      <c r="O53" s="1841"/>
      <c r="P53" s="1842"/>
      <c r="Q53" s="1843"/>
      <c r="R53" s="1843"/>
      <c r="S53" s="906">
        <f>S49+S50-S52</f>
        <v>0</v>
      </c>
      <c r="T53" s="29">
        <f>T52</f>
        <v>0</v>
      </c>
      <c r="U53" s="29">
        <f>T53*S53</f>
        <v>0</v>
      </c>
      <c r="V53" s="1836"/>
      <c r="W53" s="1837"/>
      <c r="X53" s="1838"/>
      <c r="Y53" s="1839"/>
      <c r="Z53" s="1839"/>
      <c r="AA53" s="907">
        <f>AA49+AA50-AA52</f>
        <v>0</v>
      </c>
      <c r="AB53" s="902">
        <f>AB52</f>
        <v>0</v>
      </c>
      <c r="AC53" s="902">
        <f>AB53*AA53</f>
        <v>0</v>
      </c>
      <c r="AD53" s="1840"/>
      <c r="AE53" s="1841"/>
      <c r="AF53" s="1842"/>
      <c r="AG53" s="1843"/>
      <c r="AH53" s="1843"/>
      <c r="AI53" s="906">
        <f>AI49+AI50-AI52</f>
        <v>0</v>
      </c>
      <c r="AJ53" s="29">
        <f>AJ52</f>
        <v>0</v>
      </c>
      <c r="AK53" s="29">
        <f>AJ53*AI53</f>
        <v>0</v>
      </c>
      <c r="AL53" s="1836"/>
      <c r="AM53" s="1837"/>
      <c r="AN53" s="1838"/>
      <c r="AO53" s="1839"/>
      <c r="AP53" s="1839"/>
      <c r="AQ53" s="907">
        <f>AQ49+AQ50-AQ52</f>
        <v>0</v>
      </c>
      <c r="AR53" s="902">
        <f>AR52</f>
        <v>0</v>
      </c>
      <c r="AS53" s="902">
        <f>AR53*AQ53</f>
        <v>0</v>
      </c>
      <c r="AT53" s="1840"/>
      <c r="AU53" s="1841"/>
      <c r="AV53" s="1842"/>
      <c r="AW53" s="1843"/>
      <c r="AX53" s="1843"/>
      <c r="AY53" s="906">
        <f>AY49+AY50-AY52</f>
        <v>0</v>
      </c>
      <c r="AZ53" s="29">
        <f>AZ52</f>
        <v>0</v>
      </c>
      <c r="BA53" s="29">
        <f>AZ53*AY53</f>
        <v>0</v>
      </c>
      <c r="BB53" s="1836"/>
      <c r="BC53" s="1837"/>
      <c r="BD53" s="1838"/>
      <c r="BE53" s="1839"/>
      <c r="BF53" s="1839"/>
      <c r="BG53" s="907">
        <f>BG49+BG50-BG52</f>
        <v>0</v>
      </c>
      <c r="BH53" s="902">
        <f>BH52</f>
        <v>0</v>
      </c>
      <c r="BI53" s="902">
        <f>BH53*BG53</f>
        <v>0</v>
      </c>
      <c r="BJ53" s="1840"/>
      <c r="BK53" s="1841"/>
      <c r="BL53" s="1842"/>
      <c r="BM53" s="1843"/>
      <c r="BN53" s="1843"/>
      <c r="BO53" s="906">
        <f>BO49+BO50-BO52</f>
        <v>0</v>
      </c>
      <c r="BP53" s="29">
        <f>BP52</f>
        <v>0</v>
      </c>
      <c r="BQ53" s="29">
        <f>BP53*BO53</f>
        <v>0</v>
      </c>
      <c r="BR53" s="1836"/>
      <c r="BS53" s="1837"/>
      <c r="BT53" s="1838"/>
      <c r="BU53" s="1839"/>
      <c r="BV53" s="1839"/>
      <c r="BW53" s="907">
        <f>BW49+BW50-BW52</f>
        <v>0</v>
      </c>
      <c r="BX53" s="902">
        <f>BX52</f>
        <v>0</v>
      </c>
      <c r="BY53" s="902">
        <f>BX53*BW53</f>
        <v>0</v>
      </c>
      <c r="BZ53" s="1840"/>
      <c r="CA53" s="1841"/>
      <c r="CB53" s="1842"/>
      <c r="CC53" s="1843"/>
      <c r="CD53" s="1843"/>
      <c r="CE53" s="906">
        <f>CE49+CE50-CE52</f>
        <v>0</v>
      </c>
      <c r="CF53" s="29">
        <f>CF52</f>
        <v>0</v>
      </c>
      <c r="CG53" s="29">
        <f>CF53*CE53</f>
        <v>0</v>
      </c>
      <c r="CH53" s="1836"/>
      <c r="CI53" s="1837"/>
      <c r="CJ53" s="1838"/>
      <c r="CK53" s="1839"/>
      <c r="CL53" s="1839"/>
      <c r="CM53" s="907">
        <f>CM49+CM50-CM52</f>
        <v>0</v>
      </c>
      <c r="CN53" s="902">
        <f>CN52</f>
        <v>0</v>
      </c>
      <c r="CO53" s="902">
        <f>CN53*CM53</f>
        <v>0</v>
      </c>
      <c r="CP53" s="1840"/>
      <c r="CQ53" s="1841"/>
      <c r="CR53" s="1842"/>
      <c r="CS53" s="1843"/>
      <c r="CT53" s="1843"/>
      <c r="CU53" s="1844"/>
      <c r="CV53" s="1844"/>
      <c r="CW53" s="1845"/>
      <c r="CX53" s="1844"/>
      <c r="CY53" s="1845"/>
      <c r="CZ53" s="1845"/>
      <c r="DA53" s="1845"/>
      <c r="DB53" s="912"/>
    </row>
    <row r="54" spans="1:106" x14ac:dyDescent="0.3">
      <c r="A54" s="1835" t="str">
        <f>TRIBUTS!K8</f>
        <v>AGOST</v>
      </c>
      <c r="B54" s="108" t="s">
        <v>255</v>
      </c>
      <c r="C54" s="906">
        <f>C53</f>
        <v>0</v>
      </c>
      <c r="D54" s="29">
        <f>D53</f>
        <v>0</v>
      </c>
      <c r="E54" s="29">
        <f>C54*D54</f>
        <v>0</v>
      </c>
      <c r="F54" s="1836">
        <f>E55*$I$3</f>
        <v>0</v>
      </c>
      <c r="G54" s="1837">
        <f>G49</f>
        <v>0</v>
      </c>
      <c r="H54" s="1838">
        <f>H49</f>
        <v>0</v>
      </c>
      <c r="I54" s="1839">
        <f>E57/(1-G54)</f>
        <v>0</v>
      </c>
      <c r="J54" s="1839">
        <f>I54*$F$3</f>
        <v>0</v>
      </c>
      <c r="K54" s="907">
        <f>K53</f>
        <v>0</v>
      </c>
      <c r="L54" s="902">
        <f>L53</f>
        <v>0</v>
      </c>
      <c r="M54" s="902">
        <f>K54*L54</f>
        <v>0</v>
      </c>
      <c r="N54" s="1840">
        <f>M55*$I$4</f>
        <v>0</v>
      </c>
      <c r="O54" s="1841">
        <f>O49</f>
        <v>0</v>
      </c>
      <c r="P54" s="1842">
        <f>P49</f>
        <v>0</v>
      </c>
      <c r="Q54" s="1843">
        <f>M57/(1-O54)</f>
        <v>0</v>
      </c>
      <c r="R54" s="1843">
        <f>Q54*$F$4</f>
        <v>0</v>
      </c>
      <c r="S54" s="906">
        <f>S53</f>
        <v>0</v>
      </c>
      <c r="T54" s="29">
        <f>T53</f>
        <v>0</v>
      </c>
      <c r="U54" s="29">
        <f>S54*T54</f>
        <v>0</v>
      </c>
      <c r="V54" s="1836">
        <f>U55*$I$5</f>
        <v>0</v>
      </c>
      <c r="W54" s="1837">
        <f>W49</f>
        <v>0</v>
      </c>
      <c r="X54" s="1838">
        <f>X49</f>
        <v>0</v>
      </c>
      <c r="Y54" s="1839">
        <f>U57/(1-W54)</f>
        <v>0</v>
      </c>
      <c r="Z54" s="1839">
        <f>Y54*$F$5</f>
        <v>0</v>
      </c>
      <c r="AA54" s="907">
        <f>AA53</f>
        <v>0</v>
      </c>
      <c r="AB54" s="902">
        <f>AB53</f>
        <v>0</v>
      </c>
      <c r="AC54" s="902">
        <f>AA54*AB54</f>
        <v>0</v>
      </c>
      <c r="AD54" s="1840">
        <f>AC55*$I$6</f>
        <v>0</v>
      </c>
      <c r="AE54" s="1841">
        <f>AE49</f>
        <v>0</v>
      </c>
      <c r="AF54" s="1842">
        <f>AF49</f>
        <v>0</v>
      </c>
      <c r="AG54" s="1843">
        <f>AC57/(1-AE54)</f>
        <v>0</v>
      </c>
      <c r="AH54" s="1843">
        <f>AG54*$F$6</f>
        <v>0</v>
      </c>
      <c r="AI54" s="906">
        <f>AI53</f>
        <v>0</v>
      </c>
      <c r="AJ54" s="29">
        <f>AJ53</f>
        <v>0</v>
      </c>
      <c r="AK54" s="29">
        <f>AI54*AJ54</f>
        <v>0</v>
      </c>
      <c r="AL54" s="1836">
        <f>AK55*$I$7</f>
        <v>0</v>
      </c>
      <c r="AM54" s="1837">
        <f>AM49</f>
        <v>0</v>
      </c>
      <c r="AN54" s="1838">
        <f>AN49</f>
        <v>0</v>
      </c>
      <c r="AO54" s="1839">
        <f>AK57/(1-AM54)</f>
        <v>0</v>
      </c>
      <c r="AP54" s="1839">
        <f>AO54*$F$7</f>
        <v>0</v>
      </c>
      <c r="AQ54" s="907">
        <f>AQ53</f>
        <v>0</v>
      </c>
      <c r="AR54" s="902">
        <f>AR53</f>
        <v>0</v>
      </c>
      <c r="AS54" s="902">
        <f>AQ54*AR54</f>
        <v>0</v>
      </c>
      <c r="AT54" s="1840">
        <f>AS55*$I$8</f>
        <v>0</v>
      </c>
      <c r="AU54" s="1841">
        <f>AU49</f>
        <v>0</v>
      </c>
      <c r="AV54" s="1842">
        <f>AV49</f>
        <v>0</v>
      </c>
      <c r="AW54" s="1843">
        <f>AS57/(1-AU54)</f>
        <v>0</v>
      </c>
      <c r="AX54" s="1843">
        <f>AW54*$F$8</f>
        <v>0</v>
      </c>
      <c r="AY54" s="906">
        <f>AY53</f>
        <v>0</v>
      </c>
      <c r="AZ54" s="29">
        <f>AZ53</f>
        <v>0</v>
      </c>
      <c r="BA54" s="29">
        <f>AY54*AZ54</f>
        <v>0</v>
      </c>
      <c r="BB54" s="1836">
        <f>BA55*$I$9</f>
        <v>0</v>
      </c>
      <c r="BC54" s="1837">
        <f>BC49</f>
        <v>0</v>
      </c>
      <c r="BD54" s="1838">
        <f>BD49</f>
        <v>0</v>
      </c>
      <c r="BE54" s="1839">
        <f>BA57/(1-BC54)</f>
        <v>0</v>
      </c>
      <c r="BF54" s="1839">
        <f>BE54*$F$9</f>
        <v>0</v>
      </c>
      <c r="BG54" s="907">
        <f>BG53</f>
        <v>0</v>
      </c>
      <c r="BH54" s="902">
        <f>BH53</f>
        <v>0</v>
      </c>
      <c r="BI54" s="902">
        <f>BG54*BH54</f>
        <v>0</v>
      </c>
      <c r="BJ54" s="1840">
        <f>BI55*$I$10</f>
        <v>0</v>
      </c>
      <c r="BK54" s="1841">
        <f>BK49</f>
        <v>0</v>
      </c>
      <c r="BL54" s="1842">
        <f>BL49</f>
        <v>0</v>
      </c>
      <c r="BM54" s="1843">
        <f>BI57/(1-BK54)</f>
        <v>0</v>
      </c>
      <c r="BN54" s="1843">
        <f>BM54*$F$10</f>
        <v>0</v>
      </c>
      <c r="BO54" s="906">
        <f>BO53</f>
        <v>0</v>
      </c>
      <c r="BP54" s="29">
        <f>BP53</f>
        <v>0</v>
      </c>
      <c r="BQ54" s="29">
        <f>BO54*BP54</f>
        <v>0</v>
      </c>
      <c r="BR54" s="1836">
        <f>BQ55*$I$11</f>
        <v>0</v>
      </c>
      <c r="BS54" s="1837">
        <f>BS49</f>
        <v>0</v>
      </c>
      <c r="BT54" s="1838">
        <f>BT49</f>
        <v>0</v>
      </c>
      <c r="BU54" s="1839">
        <f>BQ57/(1-BS54)</f>
        <v>0</v>
      </c>
      <c r="BV54" s="1839">
        <f>BU54*$F$11</f>
        <v>0</v>
      </c>
      <c r="BW54" s="907">
        <f>BW53</f>
        <v>0</v>
      </c>
      <c r="BX54" s="902">
        <f>BX53</f>
        <v>0</v>
      </c>
      <c r="BY54" s="902">
        <f>BW54*BX54</f>
        <v>0</v>
      </c>
      <c r="BZ54" s="1840">
        <f>BY55*$I$12</f>
        <v>0</v>
      </c>
      <c r="CA54" s="1841">
        <f>CA49</f>
        <v>0</v>
      </c>
      <c r="CB54" s="1842">
        <f>CB49</f>
        <v>0</v>
      </c>
      <c r="CC54" s="1843">
        <f>BY57/(1-CA54)</f>
        <v>0</v>
      </c>
      <c r="CD54" s="1843">
        <f>CC54*$F$12</f>
        <v>0</v>
      </c>
      <c r="CE54" s="906">
        <f>CE53</f>
        <v>0</v>
      </c>
      <c r="CF54" s="29">
        <f>CF53</f>
        <v>0</v>
      </c>
      <c r="CG54" s="29">
        <f>CE54*CF54</f>
        <v>0</v>
      </c>
      <c r="CH54" s="1836">
        <f>CG55*$I$13</f>
        <v>0</v>
      </c>
      <c r="CI54" s="1837">
        <f>CI49</f>
        <v>0</v>
      </c>
      <c r="CJ54" s="1838">
        <f>CJ49</f>
        <v>0</v>
      </c>
      <c r="CK54" s="1839">
        <f>CG57/(1-CI54)</f>
        <v>0</v>
      </c>
      <c r="CL54" s="1839">
        <f>CK54*$F$13</f>
        <v>0</v>
      </c>
      <c r="CM54" s="907">
        <f>CM53</f>
        <v>0</v>
      </c>
      <c r="CN54" s="902">
        <f>CN53</f>
        <v>0</v>
      </c>
      <c r="CO54" s="902">
        <f>CM54*CN54</f>
        <v>0</v>
      </c>
      <c r="CP54" s="1840">
        <f>CO55*$I$14</f>
        <v>0</v>
      </c>
      <c r="CQ54" s="1841">
        <f>CQ49</f>
        <v>0</v>
      </c>
      <c r="CR54" s="1842">
        <f>CR49</f>
        <v>0</v>
      </c>
      <c r="CS54" s="1843">
        <f>CO57/(1-CQ54)</f>
        <v>0</v>
      </c>
      <c r="CT54" s="1843">
        <f>CS54*$F$14</f>
        <v>0</v>
      </c>
      <c r="CU54" s="1844">
        <f>E55+M55+U55+AC55+AK55+AS55+BA55+BI55+BQ55+BY55+CG55+CO55</f>
        <v>0</v>
      </c>
      <c r="CV54" s="1844">
        <f>CP54+CH54+BZ54+BR54+BJ54+BB54+AT54+AL54+AD54+V54+N54+F54</f>
        <v>0</v>
      </c>
      <c r="CW54" s="1845">
        <f>I54+Q54+Y54+AG54+AO54+AW54+BE54+BM54+BU54+CC54+CK54+CS54</f>
        <v>0</v>
      </c>
      <c r="CX54" s="1844">
        <f>CT54+CL54+CD54+BV54+BN54+BF54+AX54+AP54+AH54+Z54+R54+J54</f>
        <v>0</v>
      </c>
      <c r="CY54" s="1845">
        <f>CZ49</f>
        <v>0</v>
      </c>
      <c r="CZ54" s="1845">
        <f>E58+M58+U58+AC58+AK58+AS58+BA58+BI58+BQ58+BY58+CG58+CO58</f>
        <v>0</v>
      </c>
      <c r="DA54" s="1845">
        <f>CZ54-CY54</f>
        <v>0</v>
      </c>
      <c r="DB54" s="914"/>
    </row>
    <row r="55" spans="1:106" x14ac:dyDescent="0.3">
      <c r="A55" s="1835"/>
      <c r="B55" s="108" t="s">
        <v>310</v>
      </c>
      <c r="C55" s="898">
        <f>C50</f>
        <v>0</v>
      </c>
      <c r="D55" s="899">
        <f>D50</f>
        <v>0</v>
      </c>
      <c r="E55" s="29">
        <f>C55*D55</f>
        <v>0</v>
      </c>
      <c r="F55" s="1836"/>
      <c r="G55" s="1837"/>
      <c r="H55" s="1838"/>
      <c r="I55" s="1839"/>
      <c r="J55" s="1839"/>
      <c r="K55" s="900">
        <f>K50</f>
        <v>0</v>
      </c>
      <c r="L55" s="901">
        <f>L50</f>
        <v>0</v>
      </c>
      <c r="M55" s="902">
        <f>K55*L55</f>
        <v>0</v>
      </c>
      <c r="N55" s="1840"/>
      <c r="O55" s="1841"/>
      <c r="P55" s="1842"/>
      <c r="Q55" s="1843"/>
      <c r="R55" s="1843"/>
      <c r="S55" s="898">
        <f>S50</f>
        <v>0</v>
      </c>
      <c r="T55" s="899">
        <f>T50</f>
        <v>0</v>
      </c>
      <c r="U55" s="29">
        <f>S55*T55</f>
        <v>0</v>
      </c>
      <c r="V55" s="1836"/>
      <c r="W55" s="1837"/>
      <c r="X55" s="1838"/>
      <c r="Y55" s="1839"/>
      <c r="Z55" s="1839"/>
      <c r="AA55" s="900">
        <f>AA50</f>
        <v>0</v>
      </c>
      <c r="AB55" s="901">
        <f>AB50</f>
        <v>0</v>
      </c>
      <c r="AC55" s="902">
        <f>AA55*AB55</f>
        <v>0</v>
      </c>
      <c r="AD55" s="1840"/>
      <c r="AE55" s="1841"/>
      <c r="AF55" s="1842"/>
      <c r="AG55" s="1843"/>
      <c r="AH55" s="1843"/>
      <c r="AI55" s="898">
        <f>AI50</f>
        <v>0</v>
      </c>
      <c r="AJ55" s="899">
        <f>AJ50</f>
        <v>0</v>
      </c>
      <c r="AK55" s="29">
        <f>AI55*AJ55</f>
        <v>0</v>
      </c>
      <c r="AL55" s="1836"/>
      <c r="AM55" s="1837"/>
      <c r="AN55" s="1838"/>
      <c r="AO55" s="1839"/>
      <c r="AP55" s="1839"/>
      <c r="AQ55" s="900">
        <f>AQ50</f>
        <v>0</v>
      </c>
      <c r="AR55" s="901">
        <f>AR50</f>
        <v>0</v>
      </c>
      <c r="AS55" s="902">
        <f>AQ55*AR55</f>
        <v>0</v>
      </c>
      <c r="AT55" s="1840"/>
      <c r="AU55" s="1841"/>
      <c r="AV55" s="1842"/>
      <c r="AW55" s="1843"/>
      <c r="AX55" s="1843"/>
      <c r="AY55" s="898">
        <f>AY50</f>
        <v>0</v>
      </c>
      <c r="AZ55" s="899">
        <f>AZ50</f>
        <v>0</v>
      </c>
      <c r="BA55" s="29">
        <f>AY55*AZ55</f>
        <v>0</v>
      </c>
      <c r="BB55" s="1836"/>
      <c r="BC55" s="1837"/>
      <c r="BD55" s="1838"/>
      <c r="BE55" s="1839"/>
      <c r="BF55" s="1839"/>
      <c r="BG55" s="900">
        <f>BG50</f>
        <v>0</v>
      </c>
      <c r="BH55" s="901">
        <f>BH50</f>
        <v>0</v>
      </c>
      <c r="BI55" s="902">
        <f>BG55*BH55</f>
        <v>0</v>
      </c>
      <c r="BJ55" s="1840"/>
      <c r="BK55" s="1841"/>
      <c r="BL55" s="1842"/>
      <c r="BM55" s="1843"/>
      <c r="BN55" s="1843"/>
      <c r="BO55" s="898">
        <f>BO50</f>
        <v>0</v>
      </c>
      <c r="BP55" s="899">
        <f>BP50</f>
        <v>0</v>
      </c>
      <c r="BQ55" s="29">
        <f>BO55*BP55</f>
        <v>0</v>
      </c>
      <c r="BR55" s="1836"/>
      <c r="BS55" s="1837"/>
      <c r="BT55" s="1838"/>
      <c r="BU55" s="1839"/>
      <c r="BV55" s="1839"/>
      <c r="BW55" s="900">
        <f>BW50</f>
        <v>0</v>
      </c>
      <c r="BX55" s="901">
        <f>BX50</f>
        <v>0</v>
      </c>
      <c r="BY55" s="902">
        <f>BW55*BX55</f>
        <v>0</v>
      </c>
      <c r="BZ55" s="1840"/>
      <c r="CA55" s="1841"/>
      <c r="CB55" s="1842"/>
      <c r="CC55" s="1843"/>
      <c r="CD55" s="1843"/>
      <c r="CE55" s="898">
        <f>CE50</f>
        <v>0</v>
      </c>
      <c r="CF55" s="899">
        <f>CF50</f>
        <v>0</v>
      </c>
      <c r="CG55" s="29">
        <f>CE55*CF55</f>
        <v>0</v>
      </c>
      <c r="CH55" s="1836"/>
      <c r="CI55" s="1837"/>
      <c r="CJ55" s="1838"/>
      <c r="CK55" s="1839"/>
      <c r="CL55" s="1839"/>
      <c r="CM55" s="900">
        <f>CM50</f>
        <v>0</v>
      </c>
      <c r="CN55" s="901">
        <f>CN50</f>
        <v>0</v>
      </c>
      <c r="CO55" s="902">
        <f>CM55*CN55</f>
        <v>0</v>
      </c>
      <c r="CP55" s="1840"/>
      <c r="CQ55" s="1841"/>
      <c r="CR55" s="1842"/>
      <c r="CS55" s="1843"/>
      <c r="CT55" s="1843"/>
      <c r="CU55" s="1844"/>
      <c r="CV55" s="1844"/>
      <c r="CW55" s="1845"/>
      <c r="CX55" s="1844"/>
      <c r="CY55" s="1845"/>
      <c r="CZ55" s="1845"/>
      <c r="DA55" s="1845"/>
      <c r="DB55" s="912"/>
    </row>
    <row r="56" spans="1:106" ht="12.75" hidden="1" customHeight="1" x14ac:dyDescent="0.3">
      <c r="A56" s="1835"/>
      <c r="B56" s="108" t="s">
        <v>315</v>
      </c>
      <c r="C56" s="906">
        <f>C55+C54</f>
        <v>0</v>
      </c>
      <c r="D56" s="29">
        <f>IF(C56=0,0,E56/C56)</f>
        <v>0</v>
      </c>
      <c r="E56" s="29">
        <f>E55+E54</f>
        <v>0</v>
      </c>
      <c r="F56" s="1836"/>
      <c r="G56" s="1837"/>
      <c r="H56" s="1838"/>
      <c r="I56" s="1839"/>
      <c r="J56" s="1839"/>
      <c r="K56" s="907">
        <f>K55+K54</f>
        <v>0</v>
      </c>
      <c r="L56" s="902">
        <f>IF(K56=0,0,M56/K56)</f>
        <v>0</v>
      </c>
      <c r="M56" s="902">
        <f>M55+M54</f>
        <v>0</v>
      </c>
      <c r="N56" s="1840"/>
      <c r="O56" s="1841"/>
      <c r="P56" s="1842"/>
      <c r="Q56" s="1843"/>
      <c r="R56" s="1843"/>
      <c r="S56" s="906">
        <f>S55+S54</f>
        <v>0</v>
      </c>
      <c r="T56" s="29">
        <f>IF(S56=0,0,U56/S56)</f>
        <v>0</v>
      </c>
      <c r="U56" s="29">
        <f>U55+U54</f>
        <v>0</v>
      </c>
      <c r="V56" s="1836"/>
      <c r="W56" s="1837"/>
      <c r="X56" s="1838"/>
      <c r="Y56" s="1839"/>
      <c r="Z56" s="1839"/>
      <c r="AA56" s="907">
        <f>AA55+AA54</f>
        <v>0</v>
      </c>
      <c r="AB56" s="902">
        <f>IF(AA56=0,0,AC56/AA56)</f>
        <v>0</v>
      </c>
      <c r="AC56" s="902">
        <f>AC55+AC54</f>
        <v>0</v>
      </c>
      <c r="AD56" s="1840"/>
      <c r="AE56" s="1841"/>
      <c r="AF56" s="1842"/>
      <c r="AG56" s="1843"/>
      <c r="AH56" s="1843"/>
      <c r="AI56" s="906">
        <f>AI55+AI54</f>
        <v>0</v>
      </c>
      <c r="AJ56" s="29">
        <f>IF(AI56=0,0,AK56/AI56)</f>
        <v>0</v>
      </c>
      <c r="AK56" s="29">
        <f>AK55+AK54</f>
        <v>0</v>
      </c>
      <c r="AL56" s="1836"/>
      <c r="AM56" s="1837"/>
      <c r="AN56" s="1838"/>
      <c r="AO56" s="1839"/>
      <c r="AP56" s="1839"/>
      <c r="AQ56" s="907">
        <f>AQ55+AQ54</f>
        <v>0</v>
      </c>
      <c r="AR56" s="902">
        <f>IF(AQ56=0,0,AS56/AQ56)</f>
        <v>0</v>
      </c>
      <c r="AS56" s="902">
        <f>AS55+AS54</f>
        <v>0</v>
      </c>
      <c r="AT56" s="1840"/>
      <c r="AU56" s="1841"/>
      <c r="AV56" s="1842"/>
      <c r="AW56" s="1843"/>
      <c r="AX56" s="1843"/>
      <c r="AY56" s="906">
        <f>AY55+AY54</f>
        <v>0</v>
      </c>
      <c r="AZ56" s="29">
        <f>IF(AY56=0,0,BA56/AY56)</f>
        <v>0</v>
      </c>
      <c r="BA56" s="29">
        <f>BA55+BA54</f>
        <v>0</v>
      </c>
      <c r="BB56" s="1836"/>
      <c r="BC56" s="1837"/>
      <c r="BD56" s="1838"/>
      <c r="BE56" s="1839"/>
      <c r="BF56" s="1839"/>
      <c r="BG56" s="907">
        <f>BG55+BG54</f>
        <v>0</v>
      </c>
      <c r="BH56" s="902">
        <f>IF(BG56=0,0,BI56/BG56)</f>
        <v>0</v>
      </c>
      <c r="BI56" s="902">
        <f>BI55+BI54</f>
        <v>0</v>
      </c>
      <c r="BJ56" s="1840"/>
      <c r="BK56" s="1841"/>
      <c r="BL56" s="1842"/>
      <c r="BM56" s="1843"/>
      <c r="BN56" s="1843"/>
      <c r="BO56" s="906">
        <f>BO55+BO54</f>
        <v>0</v>
      </c>
      <c r="BP56" s="29">
        <f>IF(BO56=0,0,BQ56/BO56)</f>
        <v>0</v>
      </c>
      <c r="BQ56" s="29">
        <f>BQ55+BQ54</f>
        <v>0</v>
      </c>
      <c r="BR56" s="1836"/>
      <c r="BS56" s="1837"/>
      <c r="BT56" s="1838"/>
      <c r="BU56" s="1839"/>
      <c r="BV56" s="1839"/>
      <c r="BW56" s="907">
        <f>BW55+BW54</f>
        <v>0</v>
      </c>
      <c r="BX56" s="902">
        <f>IF(BW56=0,0,BY56/BW56)</f>
        <v>0</v>
      </c>
      <c r="BY56" s="902">
        <f>BY55+BY54</f>
        <v>0</v>
      </c>
      <c r="BZ56" s="1840"/>
      <c r="CA56" s="1841"/>
      <c r="CB56" s="1842"/>
      <c r="CC56" s="1843"/>
      <c r="CD56" s="1843"/>
      <c r="CE56" s="906">
        <f>CE55+CE54</f>
        <v>0</v>
      </c>
      <c r="CF56" s="29">
        <f>IF(CE56=0,0,CG56/CE56)</f>
        <v>0</v>
      </c>
      <c r="CG56" s="29">
        <f>CG55+CG54</f>
        <v>0</v>
      </c>
      <c r="CH56" s="1836"/>
      <c r="CI56" s="1837"/>
      <c r="CJ56" s="1838"/>
      <c r="CK56" s="1839"/>
      <c r="CL56" s="1839"/>
      <c r="CM56" s="907">
        <f>CM55+CM54</f>
        <v>0</v>
      </c>
      <c r="CN56" s="902">
        <f>IF(CM56=0,0,CO56/CM56)</f>
        <v>0</v>
      </c>
      <c r="CO56" s="902">
        <f>CO55+CO54</f>
        <v>0</v>
      </c>
      <c r="CP56" s="1840"/>
      <c r="CQ56" s="1841"/>
      <c r="CR56" s="1842"/>
      <c r="CS56" s="1843"/>
      <c r="CT56" s="1843"/>
      <c r="CU56" s="1844"/>
      <c r="CV56" s="1844"/>
      <c r="CW56" s="1845"/>
      <c r="CX56" s="1844"/>
      <c r="CY56" s="1845"/>
      <c r="CZ56" s="1845"/>
      <c r="DA56" s="1845"/>
      <c r="DB56" s="912"/>
    </row>
    <row r="57" spans="1:106" x14ac:dyDescent="0.3">
      <c r="A57" s="1835"/>
      <c r="B57" s="108" t="s">
        <v>312</v>
      </c>
      <c r="C57" s="906">
        <f>H54*C56</f>
        <v>0</v>
      </c>
      <c r="D57" s="29">
        <f>D56</f>
        <v>0</v>
      </c>
      <c r="E57" s="29">
        <f>C57*D57</f>
        <v>0</v>
      </c>
      <c r="F57" s="1836"/>
      <c r="G57" s="1837"/>
      <c r="H57" s="1838"/>
      <c r="I57" s="1839"/>
      <c r="J57" s="1839"/>
      <c r="K57" s="907">
        <f>P54*K56</f>
        <v>0</v>
      </c>
      <c r="L57" s="902">
        <f>L56</f>
        <v>0</v>
      </c>
      <c r="M57" s="902">
        <f>K57*L57</f>
        <v>0</v>
      </c>
      <c r="N57" s="1840"/>
      <c r="O57" s="1841"/>
      <c r="P57" s="1842"/>
      <c r="Q57" s="1843"/>
      <c r="R57" s="1843"/>
      <c r="S57" s="906">
        <f>X54*S56</f>
        <v>0</v>
      </c>
      <c r="T57" s="29">
        <f>T56</f>
        <v>0</v>
      </c>
      <c r="U57" s="29">
        <f>S57*T57</f>
        <v>0</v>
      </c>
      <c r="V57" s="1836"/>
      <c r="W57" s="1837"/>
      <c r="X57" s="1838"/>
      <c r="Y57" s="1839"/>
      <c r="Z57" s="1839"/>
      <c r="AA57" s="907">
        <f>AF54*AA56</f>
        <v>0</v>
      </c>
      <c r="AB57" s="902">
        <f>AB56</f>
        <v>0</v>
      </c>
      <c r="AC57" s="902">
        <f>AA57*AB57</f>
        <v>0</v>
      </c>
      <c r="AD57" s="1840"/>
      <c r="AE57" s="1841"/>
      <c r="AF57" s="1842"/>
      <c r="AG57" s="1843"/>
      <c r="AH57" s="1843"/>
      <c r="AI57" s="906">
        <f>AN54*AI56</f>
        <v>0</v>
      </c>
      <c r="AJ57" s="29">
        <f>AJ56</f>
        <v>0</v>
      </c>
      <c r="AK57" s="29">
        <f>AI57*AJ57</f>
        <v>0</v>
      </c>
      <c r="AL57" s="1836"/>
      <c r="AM57" s="1837"/>
      <c r="AN57" s="1838"/>
      <c r="AO57" s="1839"/>
      <c r="AP57" s="1839"/>
      <c r="AQ57" s="907">
        <f>AV54*AQ56</f>
        <v>0</v>
      </c>
      <c r="AR57" s="902">
        <f>AR56</f>
        <v>0</v>
      </c>
      <c r="AS57" s="902">
        <f>AQ57*AR57</f>
        <v>0</v>
      </c>
      <c r="AT57" s="1840"/>
      <c r="AU57" s="1841"/>
      <c r="AV57" s="1842"/>
      <c r="AW57" s="1843"/>
      <c r="AX57" s="1843"/>
      <c r="AY57" s="906">
        <f>BD54*AY56</f>
        <v>0</v>
      </c>
      <c r="AZ57" s="29">
        <f>AZ56</f>
        <v>0</v>
      </c>
      <c r="BA57" s="29">
        <f>AY57*AZ57</f>
        <v>0</v>
      </c>
      <c r="BB57" s="1836"/>
      <c r="BC57" s="1837"/>
      <c r="BD57" s="1838"/>
      <c r="BE57" s="1839"/>
      <c r="BF57" s="1839"/>
      <c r="BG57" s="907">
        <f>BL54*BG56</f>
        <v>0</v>
      </c>
      <c r="BH57" s="902">
        <f>BH56</f>
        <v>0</v>
      </c>
      <c r="BI57" s="902">
        <f>BG57*BH57</f>
        <v>0</v>
      </c>
      <c r="BJ57" s="1840"/>
      <c r="BK57" s="1841"/>
      <c r="BL57" s="1842"/>
      <c r="BM57" s="1843"/>
      <c r="BN57" s="1843"/>
      <c r="BO57" s="906">
        <f>BT54*BO56</f>
        <v>0</v>
      </c>
      <c r="BP57" s="29">
        <f>BP56</f>
        <v>0</v>
      </c>
      <c r="BQ57" s="29">
        <f>BO57*BP57</f>
        <v>0</v>
      </c>
      <c r="BR57" s="1836"/>
      <c r="BS57" s="1837"/>
      <c r="BT57" s="1838"/>
      <c r="BU57" s="1839"/>
      <c r="BV57" s="1839"/>
      <c r="BW57" s="907">
        <f>CB54*BW56</f>
        <v>0</v>
      </c>
      <c r="BX57" s="902">
        <f>BX56</f>
        <v>0</v>
      </c>
      <c r="BY57" s="902">
        <f>BW57*BX57</f>
        <v>0</v>
      </c>
      <c r="BZ57" s="1840"/>
      <c r="CA57" s="1841"/>
      <c r="CB57" s="1842"/>
      <c r="CC57" s="1843"/>
      <c r="CD57" s="1843"/>
      <c r="CE57" s="906">
        <f>CJ54*CE56</f>
        <v>0</v>
      </c>
      <c r="CF57" s="29">
        <f>CF56</f>
        <v>0</v>
      </c>
      <c r="CG57" s="29">
        <f>CE57*CF57</f>
        <v>0</v>
      </c>
      <c r="CH57" s="1836"/>
      <c r="CI57" s="1837"/>
      <c r="CJ57" s="1838"/>
      <c r="CK57" s="1839"/>
      <c r="CL57" s="1839"/>
      <c r="CM57" s="907">
        <f>CR54*CM56</f>
        <v>0</v>
      </c>
      <c r="CN57" s="902">
        <f>CN56</f>
        <v>0</v>
      </c>
      <c r="CO57" s="902">
        <f>CM57*CN57</f>
        <v>0</v>
      </c>
      <c r="CP57" s="1840"/>
      <c r="CQ57" s="1841"/>
      <c r="CR57" s="1842"/>
      <c r="CS57" s="1843"/>
      <c r="CT57" s="1843"/>
      <c r="CU57" s="1844"/>
      <c r="CV57" s="1844"/>
      <c r="CW57" s="1845"/>
      <c r="CX57" s="1844"/>
      <c r="CY57" s="1845"/>
      <c r="CZ57" s="1845"/>
      <c r="DA57" s="1845"/>
      <c r="DB57" s="912"/>
    </row>
    <row r="58" spans="1:106" x14ac:dyDescent="0.3">
      <c r="A58" s="1835"/>
      <c r="B58" s="108" t="s">
        <v>254</v>
      </c>
      <c r="C58" s="906">
        <f>C54+C55-C57</f>
        <v>0</v>
      </c>
      <c r="D58" s="29">
        <f>D57</f>
        <v>0</v>
      </c>
      <c r="E58" s="29">
        <f>D58*C58</f>
        <v>0</v>
      </c>
      <c r="F58" s="1836"/>
      <c r="G58" s="1837"/>
      <c r="H58" s="1838"/>
      <c r="I58" s="1839"/>
      <c r="J58" s="1839"/>
      <c r="K58" s="907">
        <f>K54+K55-K57</f>
        <v>0</v>
      </c>
      <c r="L58" s="902">
        <f>L57</f>
        <v>0</v>
      </c>
      <c r="M58" s="902">
        <f>L58*K58</f>
        <v>0</v>
      </c>
      <c r="N58" s="1840"/>
      <c r="O58" s="1841"/>
      <c r="P58" s="1842"/>
      <c r="Q58" s="1843"/>
      <c r="R58" s="1843"/>
      <c r="S58" s="906">
        <f>S54+S55-S57</f>
        <v>0</v>
      </c>
      <c r="T58" s="29">
        <f>T57</f>
        <v>0</v>
      </c>
      <c r="U58" s="29">
        <f>T58*S58</f>
        <v>0</v>
      </c>
      <c r="V58" s="1836"/>
      <c r="W58" s="1837"/>
      <c r="X58" s="1838"/>
      <c r="Y58" s="1839"/>
      <c r="Z58" s="1839"/>
      <c r="AA58" s="907">
        <f>AA54+AA55-AA57</f>
        <v>0</v>
      </c>
      <c r="AB58" s="902">
        <f>AB57</f>
        <v>0</v>
      </c>
      <c r="AC58" s="902">
        <f>AB58*AA58</f>
        <v>0</v>
      </c>
      <c r="AD58" s="1840"/>
      <c r="AE58" s="1841"/>
      <c r="AF58" s="1842"/>
      <c r="AG58" s="1843"/>
      <c r="AH58" s="1843"/>
      <c r="AI58" s="906">
        <f>AI54+AI55-AI57</f>
        <v>0</v>
      </c>
      <c r="AJ58" s="29">
        <f>AJ57</f>
        <v>0</v>
      </c>
      <c r="AK58" s="29">
        <f>AJ58*AI58</f>
        <v>0</v>
      </c>
      <c r="AL58" s="1836"/>
      <c r="AM58" s="1837"/>
      <c r="AN58" s="1838"/>
      <c r="AO58" s="1839"/>
      <c r="AP58" s="1839"/>
      <c r="AQ58" s="907">
        <f>AQ54+AQ55-AQ57</f>
        <v>0</v>
      </c>
      <c r="AR58" s="902">
        <f>AR57</f>
        <v>0</v>
      </c>
      <c r="AS58" s="902">
        <f>AR58*AQ58</f>
        <v>0</v>
      </c>
      <c r="AT58" s="1840"/>
      <c r="AU58" s="1841"/>
      <c r="AV58" s="1842"/>
      <c r="AW58" s="1843"/>
      <c r="AX58" s="1843"/>
      <c r="AY58" s="906">
        <f>AY54+AY55-AY57</f>
        <v>0</v>
      </c>
      <c r="AZ58" s="29">
        <f>AZ57</f>
        <v>0</v>
      </c>
      <c r="BA58" s="29">
        <f>AZ58*AY58</f>
        <v>0</v>
      </c>
      <c r="BB58" s="1836"/>
      <c r="BC58" s="1837"/>
      <c r="BD58" s="1838"/>
      <c r="BE58" s="1839"/>
      <c r="BF58" s="1839"/>
      <c r="BG58" s="907">
        <f>BG54+BG55-BG57</f>
        <v>0</v>
      </c>
      <c r="BH58" s="902">
        <f>BH57</f>
        <v>0</v>
      </c>
      <c r="BI58" s="902">
        <f>BH58*BG58</f>
        <v>0</v>
      </c>
      <c r="BJ58" s="1840"/>
      <c r="BK58" s="1841"/>
      <c r="BL58" s="1842"/>
      <c r="BM58" s="1843"/>
      <c r="BN58" s="1843"/>
      <c r="BO58" s="906">
        <f>BO54+BO55-BO57</f>
        <v>0</v>
      </c>
      <c r="BP58" s="29">
        <f>BP57</f>
        <v>0</v>
      </c>
      <c r="BQ58" s="29">
        <f>BP58*BO58</f>
        <v>0</v>
      </c>
      <c r="BR58" s="1836"/>
      <c r="BS58" s="1837"/>
      <c r="BT58" s="1838"/>
      <c r="BU58" s="1839"/>
      <c r="BV58" s="1839"/>
      <c r="BW58" s="907">
        <f>BW54+BW55-BW57</f>
        <v>0</v>
      </c>
      <c r="BX58" s="902">
        <f>BX57</f>
        <v>0</v>
      </c>
      <c r="BY58" s="902">
        <f>BX58*BW58</f>
        <v>0</v>
      </c>
      <c r="BZ58" s="1840"/>
      <c r="CA58" s="1841"/>
      <c r="CB58" s="1842"/>
      <c r="CC58" s="1843"/>
      <c r="CD58" s="1843"/>
      <c r="CE58" s="906">
        <f>CE54+CE55-CE57</f>
        <v>0</v>
      </c>
      <c r="CF58" s="29">
        <f>CF57</f>
        <v>0</v>
      </c>
      <c r="CG58" s="29">
        <f>CF58*CE58</f>
        <v>0</v>
      </c>
      <c r="CH58" s="1836"/>
      <c r="CI58" s="1837"/>
      <c r="CJ58" s="1838"/>
      <c r="CK58" s="1839"/>
      <c r="CL58" s="1839"/>
      <c r="CM58" s="907">
        <f>CM54+CM55-CM57</f>
        <v>0</v>
      </c>
      <c r="CN58" s="902">
        <f>CN57</f>
        <v>0</v>
      </c>
      <c r="CO58" s="902">
        <f>CN58*CM58</f>
        <v>0</v>
      </c>
      <c r="CP58" s="1840"/>
      <c r="CQ58" s="1841"/>
      <c r="CR58" s="1842"/>
      <c r="CS58" s="1843"/>
      <c r="CT58" s="1843"/>
      <c r="CU58" s="1844"/>
      <c r="CV58" s="1844"/>
      <c r="CW58" s="1845"/>
      <c r="CX58" s="1844"/>
      <c r="CY58" s="1845"/>
      <c r="CZ58" s="1845"/>
      <c r="DA58" s="1845"/>
      <c r="DB58" s="912"/>
    </row>
    <row r="59" spans="1:106" x14ac:dyDescent="0.3">
      <c r="A59" s="1835" t="str">
        <f>TRIBUTS!K9</f>
        <v>SETEMBRE</v>
      </c>
      <c r="B59" s="108" t="s">
        <v>255</v>
      </c>
      <c r="C59" s="906">
        <f>C58</f>
        <v>0</v>
      </c>
      <c r="D59" s="29">
        <f>D58</f>
        <v>0</v>
      </c>
      <c r="E59" s="29">
        <f>C59*D59</f>
        <v>0</v>
      </c>
      <c r="F59" s="1836">
        <f>E60*$I$3</f>
        <v>0</v>
      </c>
      <c r="G59" s="1837">
        <f>G54</f>
        <v>0</v>
      </c>
      <c r="H59" s="1838">
        <f>H54</f>
        <v>0</v>
      </c>
      <c r="I59" s="1839">
        <f>E62/(1-G59)</f>
        <v>0</v>
      </c>
      <c r="J59" s="1839">
        <f>I59*$F$3</f>
        <v>0</v>
      </c>
      <c r="K59" s="907">
        <f>K58</f>
        <v>0</v>
      </c>
      <c r="L59" s="902">
        <f>L58</f>
        <v>0</v>
      </c>
      <c r="M59" s="902">
        <f>K59*L59</f>
        <v>0</v>
      </c>
      <c r="N59" s="1840">
        <f>M60*$I$4</f>
        <v>0</v>
      </c>
      <c r="O59" s="1841">
        <f>O54</f>
        <v>0</v>
      </c>
      <c r="P59" s="1842">
        <f>P54</f>
        <v>0</v>
      </c>
      <c r="Q59" s="1843">
        <f>M62/(1-O59)</f>
        <v>0</v>
      </c>
      <c r="R59" s="1843">
        <f>Q59*$F$4</f>
        <v>0</v>
      </c>
      <c r="S59" s="906">
        <f>S58</f>
        <v>0</v>
      </c>
      <c r="T59" s="29">
        <f>T58</f>
        <v>0</v>
      </c>
      <c r="U59" s="29">
        <f>S59*T59</f>
        <v>0</v>
      </c>
      <c r="V59" s="1836">
        <f>U60*$I$5</f>
        <v>0</v>
      </c>
      <c r="W59" s="1837">
        <f>W54</f>
        <v>0</v>
      </c>
      <c r="X59" s="1838">
        <f>X54</f>
        <v>0</v>
      </c>
      <c r="Y59" s="1839">
        <f>U62/(1-W59)</f>
        <v>0</v>
      </c>
      <c r="Z59" s="1839">
        <f>Y59*$F$5</f>
        <v>0</v>
      </c>
      <c r="AA59" s="907">
        <f>AA58</f>
        <v>0</v>
      </c>
      <c r="AB59" s="902">
        <f>AB58</f>
        <v>0</v>
      </c>
      <c r="AC59" s="902">
        <f>AA59*AB59</f>
        <v>0</v>
      </c>
      <c r="AD59" s="1840">
        <f>AC60*$I$6</f>
        <v>0</v>
      </c>
      <c r="AE59" s="1841">
        <f>AE54</f>
        <v>0</v>
      </c>
      <c r="AF59" s="1842">
        <f>AF54</f>
        <v>0</v>
      </c>
      <c r="AG59" s="1843">
        <f>AC62/(1-AE59)</f>
        <v>0</v>
      </c>
      <c r="AH59" s="1843">
        <f>AG59*$F$6</f>
        <v>0</v>
      </c>
      <c r="AI59" s="906">
        <f>AI58</f>
        <v>0</v>
      </c>
      <c r="AJ59" s="29">
        <f>AJ58</f>
        <v>0</v>
      </c>
      <c r="AK59" s="29">
        <f>AI59*AJ59</f>
        <v>0</v>
      </c>
      <c r="AL59" s="1836">
        <f>AK60*$I$7</f>
        <v>0</v>
      </c>
      <c r="AM59" s="1837">
        <f>AM54</f>
        <v>0</v>
      </c>
      <c r="AN59" s="1838">
        <f>AN54</f>
        <v>0</v>
      </c>
      <c r="AO59" s="1839">
        <f>AK62/(1-AM59)</f>
        <v>0</v>
      </c>
      <c r="AP59" s="1839">
        <f>AO59*$F$7</f>
        <v>0</v>
      </c>
      <c r="AQ59" s="907">
        <f>AQ58</f>
        <v>0</v>
      </c>
      <c r="AR59" s="902">
        <f>AR58</f>
        <v>0</v>
      </c>
      <c r="AS59" s="902">
        <f>AQ59*AR59</f>
        <v>0</v>
      </c>
      <c r="AT59" s="1840">
        <f>AS60*$I$8</f>
        <v>0</v>
      </c>
      <c r="AU59" s="1841">
        <f>AU54</f>
        <v>0</v>
      </c>
      <c r="AV59" s="1842">
        <f>AV54</f>
        <v>0</v>
      </c>
      <c r="AW59" s="1843">
        <f>AS62/(1-AU59)</f>
        <v>0</v>
      </c>
      <c r="AX59" s="1843">
        <f>AW59*$F$8</f>
        <v>0</v>
      </c>
      <c r="AY59" s="906">
        <f>AY58</f>
        <v>0</v>
      </c>
      <c r="AZ59" s="29">
        <f>AZ58</f>
        <v>0</v>
      </c>
      <c r="BA59" s="29">
        <f>AY59*AZ59</f>
        <v>0</v>
      </c>
      <c r="BB59" s="1836">
        <f>BA60*$I$9</f>
        <v>0</v>
      </c>
      <c r="BC59" s="1837">
        <f>BC54</f>
        <v>0</v>
      </c>
      <c r="BD59" s="1838">
        <f>BD54</f>
        <v>0</v>
      </c>
      <c r="BE59" s="1839">
        <f>BA62/(1-BC59)</f>
        <v>0</v>
      </c>
      <c r="BF59" s="1839">
        <f>BE59*$F$9</f>
        <v>0</v>
      </c>
      <c r="BG59" s="907">
        <f>BG58</f>
        <v>0</v>
      </c>
      <c r="BH59" s="902">
        <f>BH58</f>
        <v>0</v>
      </c>
      <c r="BI59" s="902">
        <f>BG59*BH59</f>
        <v>0</v>
      </c>
      <c r="BJ59" s="1840">
        <f>BI60*$I$10</f>
        <v>0</v>
      </c>
      <c r="BK59" s="1841">
        <f>BK54</f>
        <v>0</v>
      </c>
      <c r="BL59" s="1842">
        <f>BL54</f>
        <v>0</v>
      </c>
      <c r="BM59" s="1843">
        <f>BI62/(1-BK59)</f>
        <v>0</v>
      </c>
      <c r="BN59" s="1843">
        <f>BM59*$F$10</f>
        <v>0</v>
      </c>
      <c r="BO59" s="906">
        <f>BO58</f>
        <v>0</v>
      </c>
      <c r="BP59" s="29">
        <f>BP58</f>
        <v>0</v>
      </c>
      <c r="BQ59" s="29">
        <f>BO59*BP59</f>
        <v>0</v>
      </c>
      <c r="BR59" s="1836">
        <f>BQ60*$I$11</f>
        <v>0</v>
      </c>
      <c r="BS59" s="1837">
        <f>BS54</f>
        <v>0</v>
      </c>
      <c r="BT59" s="1838">
        <f>BT54</f>
        <v>0</v>
      </c>
      <c r="BU59" s="1839">
        <f>BQ62/(1-BS59)</f>
        <v>0</v>
      </c>
      <c r="BV59" s="1839">
        <f>BU59*$F$11</f>
        <v>0</v>
      </c>
      <c r="BW59" s="907">
        <f>BW58</f>
        <v>0</v>
      </c>
      <c r="BX59" s="902">
        <f>BX58</f>
        <v>0</v>
      </c>
      <c r="BY59" s="902">
        <f>BW59*BX59</f>
        <v>0</v>
      </c>
      <c r="BZ59" s="1840">
        <f>BY60*$I$12</f>
        <v>0</v>
      </c>
      <c r="CA59" s="1841">
        <f>CA54</f>
        <v>0</v>
      </c>
      <c r="CB59" s="1842">
        <f>CB54</f>
        <v>0</v>
      </c>
      <c r="CC59" s="1843">
        <f>BY62/(1-CA59)</f>
        <v>0</v>
      </c>
      <c r="CD59" s="1843">
        <f>CC59*$F$12</f>
        <v>0</v>
      </c>
      <c r="CE59" s="906">
        <f>CE58</f>
        <v>0</v>
      </c>
      <c r="CF59" s="29">
        <f>CF58</f>
        <v>0</v>
      </c>
      <c r="CG59" s="29">
        <f>CE59*CF59</f>
        <v>0</v>
      </c>
      <c r="CH59" s="1836">
        <f>CG60*$I$13</f>
        <v>0</v>
      </c>
      <c r="CI59" s="1837">
        <f>CI54</f>
        <v>0</v>
      </c>
      <c r="CJ59" s="1838">
        <f>CJ54</f>
        <v>0</v>
      </c>
      <c r="CK59" s="1839">
        <f>CG62/(1-CI59)</f>
        <v>0</v>
      </c>
      <c r="CL59" s="1839">
        <f>CK59*$F$13</f>
        <v>0</v>
      </c>
      <c r="CM59" s="907">
        <f>CM58</f>
        <v>0</v>
      </c>
      <c r="CN59" s="902">
        <f>CN58</f>
        <v>0</v>
      </c>
      <c r="CO59" s="902">
        <f>CM59*CN59</f>
        <v>0</v>
      </c>
      <c r="CP59" s="1840">
        <f>CO60*$I$14</f>
        <v>0</v>
      </c>
      <c r="CQ59" s="1841">
        <f>CQ54</f>
        <v>0</v>
      </c>
      <c r="CR59" s="1842">
        <f>CR54</f>
        <v>0</v>
      </c>
      <c r="CS59" s="1843">
        <f>CO62/(1-CQ59)</f>
        <v>0</v>
      </c>
      <c r="CT59" s="1843">
        <f>CS59*$F$14</f>
        <v>0</v>
      </c>
      <c r="CU59" s="1844">
        <f>E60+M60+U60+AC60+AK60+AS60+BA60+BI60+BQ60+BY60+CG60+CO60</f>
        <v>0</v>
      </c>
      <c r="CV59" s="1844">
        <f>CP59+CH59+BZ59+BR59+BJ59+BB59+AT59+AL59+AD59+V59+N59+F59</f>
        <v>0</v>
      </c>
      <c r="CW59" s="1845">
        <f>I59+Q59+Y59+AG59+AO59+AW59+BE59+BM59+BU59+CC59+CK59+CS59</f>
        <v>0</v>
      </c>
      <c r="CX59" s="1844">
        <f>CT59+CL59+CD59+BV59+BN59+BF59+AX59+AP59+AH59+Z59+R59+J59</f>
        <v>0</v>
      </c>
      <c r="CY59" s="1845">
        <f>CZ54</f>
        <v>0</v>
      </c>
      <c r="CZ59" s="1845">
        <f>E63+M63+U63+AC63+AK63+AS63+BA63+BI63+BQ63+BY63+CG63+CO63</f>
        <v>0</v>
      </c>
      <c r="DA59" s="1845">
        <f>CZ59-CY59</f>
        <v>0</v>
      </c>
      <c r="DB59" s="914"/>
    </row>
    <row r="60" spans="1:106" x14ac:dyDescent="0.3">
      <c r="A60" s="1835"/>
      <c r="B60" s="108" t="s">
        <v>310</v>
      </c>
      <c r="C60" s="898">
        <f>C55</f>
        <v>0</v>
      </c>
      <c r="D60" s="899">
        <f>D55</f>
        <v>0</v>
      </c>
      <c r="E60" s="29">
        <f>C60*D60</f>
        <v>0</v>
      </c>
      <c r="F60" s="1836"/>
      <c r="G60" s="1837"/>
      <c r="H60" s="1838"/>
      <c r="I60" s="1839"/>
      <c r="J60" s="1839"/>
      <c r="K60" s="900">
        <f>K55</f>
        <v>0</v>
      </c>
      <c r="L60" s="901">
        <f>L55</f>
        <v>0</v>
      </c>
      <c r="M60" s="902">
        <f>K60*L60</f>
        <v>0</v>
      </c>
      <c r="N60" s="1840"/>
      <c r="O60" s="1841"/>
      <c r="P60" s="1842"/>
      <c r="Q60" s="1843"/>
      <c r="R60" s="1843"/>
      <c r="S60" s="898">
        <f>S55</f>
        <v>0</v>
      </c>
      <c r="T60" s="899">
        <f>T55</f>
        <v>0</v>
      </c>
      <c r="U60" s="29">
        <f>S60*T60</f>
        <v>0</v>
      </c>
      <c r="V60" s="1836"/>
      <c r="W60" s="1837"/>
      <c r="X60" s="1838"/>
      <c r="Y60" s="1839"/>
      <c r="Z60" s="1839"/>
      <c r="AA60" s="900">
        <f>AA55</f>
        <v>0</v>
      </c>
      <c r="AB60" s="901">
        <f>AB55</f>
        <v>0</v>
      </c>
      <c r="AC60" s="902">
        <f>AA60*AB60</f>
        <v>0</v>
      </c>
      <c r="AD60" s="1840"/>
      <c r="AE60" s="1841"/>
      <c r="AF60" s="1842"/>
      <c r="AG60" s="1843"/>
      <c r="AH60" s="1843"/>
      <c r="AI60" s="898">
        <f>AI55</f>
        <v>0</v>
      </c>
      <c r="AJ60" s="899">
        <f>AJ55</f>
        <v>0</v>
      </c>
      <c r="AK60" s="29">
        <f>AI60*AJ60</f>
        <v>0</v>
      </c>
      <c r="AL60" s="1836"/>
      <c r="AM60" s="1837"/>
      <c r="AN60" s="1838"/>
      <c r="AO60" s="1839"/>
      <c r="AP60" s="1839"/>
      <c r="AQ60" s="900">
        <f>AQ55</f>
        <v>0</v>
      </c>
      <c r="AR60" s="901">
        <f>AR55</f>
        <v>0</v>
      </c>
      <c r="AS60" s="902">
        <f>AQ60*AR60</f>
        <v>0</v>
      </c>
      <c r="AT60" s="1840"/>
      <c r="AU60" s="1841"/>
      <c r="AV60" s="1842"/>
      <c r="AW60" s="1843"/>
      <c r="AX60" s="1843"/>
      <c r="AY60" s="898">
        <f>AY55</f>
        <v>0</v>
      </c>
      <c r="AZ60" s="899">
        <f>AZ55</f>
        <v>0</v>
      </c>
      <c r="BA60" s="29">
        <f>AY60*AZ60</f>
        <v>0</v>
      </c>
      <c r="BB60" s="1836"/>
      <c r="BC60" s="1837"/>
      <c r="BD60" s="1838"/>
      <c r="BE60" s="1839"/>
      <c r="BF60" s="1839"/>
      <c r="BG60" s="900">
        <f>BG55</f>
        <v>0</v>
      </c>
      <c r="BH60" s="901">
        <f>BH55</f>
        <v>0</v>
      </c>
      <c r="BI60" s="902">
        <f>BG60*BH60</f>
        <v>0</v>
      </c>
      <c r="BJ60" s="1840"/>
      <c r="BK60" s="1841"/>
      <c r="BL60" s="1842"/>
      <c r="BM60" s="1843"/>
      <c r="BN60" s="1843"/>
      <c r="BO60" s="898">
        <f>BO55</f>
        <v>0</v>
      </c>
      <c r="BP60" s="899">
        <f>BP55</f>
        <v>0</v>
      </c>
      <c r="BQ60" s="29">
        <f>BO60*BP60</f>
        <v>0</v>
      </c>
      <c r="BR60" s="1836"/>
      <c r="BS60" s="1837"/>
      <c r="BT60" s="1838"/>
      <c r="BU60" s="1839"/>
      <c r="BV60" s="1839"/>
      <c r="BW60" s="900">
        <f>BW55</f>
        <v>0</v>
      </c>
      <c r="BX60" s="901">
        <f>BX55</f>
        <v>0</v>
      </c>
      <c r="BY60" s="902">
        <f>BW60*BX60</f>
        <v>0</v>
      </c>
      <c r="BZ60" s="1840"/>
      <c r="CA60" s="1841"/>
      <c r="CB60" s="1842"/>
      <c r="CC60" s="1843"/>
      <c r="CD60" s="1843"/>
      <c r="CE60" s="898">
        <f>CE55</f>
        <v>0</v>
      </c>
      <c r="CF60" s="899">
        <f>CF55</f>
        <v>0</v>
      </c>
      <c r="CG60" s="29">
        <f>CE60*CF60</f>
        <v>0</v>
      </c>
      <c r="CH60" s="1836"/>
      <c r="CI60" s="1837"/>
      <c r="CJ60" s="1838"/>
      <c r="CK60" s="1839"/>
      <c r="CL60" s="1839"/>
      <c r="CM60" s="900">
        <f>CM55</f>
        <v>0</v>
      </c>
      <c r="CN60" s="901">
        <f>CN55</f>
        <v>0</v>
      </c>
      <c r="CO60" s="902">
        <f>CM60*CN60</f>
        <v>0</v>
      </c>
      <c r="CP60" s="1840"/>
      <c r="CQ60" s="1841"/>
      <c r="CR60" s="1842"/>
      <c r="CS60" s="1843"/>
      <c r="CT60" s="1843"/>
      <c r="CU60" s="1844"/>
      <c r="CV60" s="1844"/>
      <c r="CW60" s="1845"/>
      <c r="CX60" s="1844"/>
      <c r="CY60" s="1845"/>
      <c r="CZ60" s="1845"/>
      <c r="DA60" s="1845"/>
      <c r="DB60" s="912"/>
    </row>
    <row r="61" spans="1:106" ht="12.75" hidden="1" customHeight="1" x14ac:dyDescent="0.3">
      <c r="A61" s="1835"/>
      <c r="B61" s="108" t="s">
        <v>315</v>
      </c>
      <c r="C61" s="906">
        <f>C60+C59</f>
        <v>0</v>
      </c>
      <c r="D61" s="29">
        <f>IF(C61=0,0,E61/C61)</f>
        <v>0</v>
      </c>
      <c r="E61" s="29">
        <f>E60+E59</f>
        <v>0</v>
      </c>
      <c r="F61" s="1836"/>
      <c r="G61" s="1837"/>
      <c r="H61" s="1838"/>
      <c r="I61" s="1839"/>
      <c r="J61" s="1839"/>
      <c r="K61" s="907">
        <f>K60+K59</f>
        <v>0</v>
      </c>
      <c r="L61" s="902">
        <f>IF(K61=0,0,M61/K61)</f>
        <v>0</v>
      </c>
      <c r="M61" s="902">
        <f>M60+M59</f>
        <v>0</v>
      </c>
      <c r="N61" s="1840"/>
      <c r="O61" s="1841"/>
      <c r="P61" s="1842"/>
      <c r="Q61" s="1843"/>
      <c r="R61" s="1843"/>
      <c r="S61" s="906">
        <f>S60+S59</f>
        <v>0</v>
      </c>
      <c r="T61" s="29">
        <f>IF(S61=0,0,U61/S61)</f>
        <v>0</v>
      </c>
      <c r="U61" s="29">
        <f>U60+U59</f>
        <v>0</v>
      </c>
      <c r="V61" s="1836"/>
      <c r="W61" s="1837"/>
      <c r="X61" s="1838"/>
      <c r="Y61" s="1839"/>
      <c r="Z61" s="1839"/>
      <c r="AA61" s="907">
        <f>AA60+AA59</f>
        <v>0</v>
      </c>
      <c r="AB61" s="902">
        <f>IF(AA61=0,0,AC61/AA61)</f>
        <v>0</v>
      </c>
      <c r="AC61" s="902">
        <f>AC60+AC59</f>
        <v>0</v>
      </c>
      <c r="AD61" s="1840"/>
      <c r="AE61" s="1841"/>
      <c r="AF61" s="1842"/>
      <c r="AG61" s="1843"/>
      <c r="AH61" s="1843"/>
      <c r="AI61" s="906">
        <f>AI60+AI59</f>
        <v>0</v>
      </c>
      <c r="AJ61" s="29">
        <f>IF(AI61=0,0,AK61/AI61)</f>
        <v>0</v>
      </c>
      <c r="AK61" s="29">
        <f>AK60+AK59</f>
        <v>0</v>
      </c>
      <c r="AL61" s="1836"/>
      <c r="AM61" s="1837"/>
      <c r="AN61" s="1838"/>
      <c r="AO61" s="1839"/>
      <c r="AP61" s="1839"/>
      <c r="AQ61" s="907">
        <f>AQ60+AQ59</f>
        <v>0</v>
      </c>
      <c r="AR61" s="902">
        <f>IF(AQ61=0,0,AS61/AQ61)</f>
        <v>0</v>
      </c>
      <c r="AS61" s="902">
        <f>AS60+AS59</f>
        <v>0</v>
      </c>
      <c r="AT61" s="1840"/>
      <c r="AU61" s="1841"/>
      <c r="AV61" s="1842"/>
      <c r="AW61" s="1843"/>
      <c r="AX61" s="1843"/>
      <c r="AY61" s="906">
        <f>AY60+AY59</f>
        <v>0</v>
      </c>
      <c r="AZ61" s="29">
        <f>IF(AY61=0,0,BA61/AY61)</f>
        <v>0</v>
      </c>
      <c r="BA61" s="29">
        <f>BA60+BA59</f>
        <v>0</v>
      </c>
      <c r="BB61" s="1836"/>
      <c r="BC61" s="1837"/>
      <c r="BD61" s="1838"/>
      <c r="BE61" s="1839"/>
      <c r="BF61" s="1839"/>
      <c r="BG61" s="907">
        <f>BG60+BG59</f>
        <v>0</v>
      </c>
      <c r="BH61" s="902">
        <f>IF(BG61=0,0,BI61/BG61)</f>
        <v>0</v>
      </c>
      <c r="BI61" s="902">
        <f>BI60+BI59</f>
        <v>0</v>
      </c>
      <c r="BJ61" s="1840"/>
      <c r="BK61" s="1841"/>
      <c r="BL61" s="1842"/>
      <c r="BM61" s="1843"/>
      <c r="BN61" s="1843"/>
      <c r="BO61" s="906">
        <f>BO60+BO59</f>
        <v>0</v>
      </c>
      <c r="BP61" s="29">
        <f>IF(BO61=0,0,BQ61/BO61)</f>
        <v>0</v>
      </c>
      <c r="BQ61" s="29">
        <f>BQ60+BQ59</f>
        <v>0</v>
      </c>
      <c r="BR61" s="1836"/>
      <c r="BS61" s="1837"/>
      <c r="BT61" s="1838"/>
      <c r="BU61" s="1839"/>
      <c r="BV61" s="1839"/>
      <c r="BW61" s="907">
        <f>BW60+BW59</f>
        <v>0</v>
      </c>
      <c r="BX61" s="902">
        <f>IF(BW61=0,0,BY61/BW61)</f>
        <v>0</v>
      </c>
      <c r="BY61" s="902">
        <f>BY60+BY59</f>
        <v>0</v>
      </c>
      <c r="BZ61" s="1840"/>
      <c r="CA61" s="1841"/>
      <c r="CB61" s="1842"/>
      <c r="CC61" s="1843"/>
      <c r="CD61" s="1843"/>
      <c r="CE61" s="906">
        <f>CE60+CE59</f>
        <v>0</v>
      </c>
      <c r="CF61" s="29">
        <f>IF(CE61=0,0,CG61/CE61)</f>
        <v>0</v>
      </c>
      <c r="CG61" s="29">
        <f>CG60+CG59</f>
        <v>0</v>
      </c>
      <c r="CH61" s="1836"/>
      <c r="CI61" s="1837"/>
      <c r="CJ61" s="1838"/>
      <c r="CK61" s="1839"/>
      <c r="CL61" s="1839"/>
      <c r="CM61" s="907">
        <f>CM60+CM59</f>
        <v>0</v>
      </c>
      <c r="CN61" s="902">
        <f>IF(CM61=0,0,CO61/CM61)</f>
        <v>0</v>
      </c>
      <c r="CO61" s="902">
        <f>CO60+CO59</f>
        <v>0</v>
      </c>
      <c r="CP61" s="1840"/>
      <c r="CQ61" s="1841"/>
      <c r="CR61" s="1842"/>
      <c r="CS61" s="1843"/>
      <c r="CT61" s="1843"/>
      <c r="CU61" s="1844"/>
      <c r="CV61" s="1844"/>
      <c r="CW61" s="1845"/>
      <c r="CX61" s="1844"/>
      <c r="CY61" s="1845"/>
      <c r="CZ61" s="1845"/>
      <c r="DA61" s="1845"/>
      <c r="DB61" s="912"/>
    </row>
    <row r="62" spans="1:106" x14ac:dyDescent="0.3">
      <c r="A62" s="1835"/>
      <c r="B62" s="108" t="s">
        <v>312</v>
      </c>
      <c r="C62" s="906">
        <f>H59*C61</f>
        <v>0</v>
      </c>
      <c r="D62" s="29">
        <f>D61</f>
        <v>0</v>
      </c>
      <c r="E62" s="29">
        <f>C62*D62</f>
        <v>0</v>
      </c>
      <c r="F62" s="1836"/>
      <c r="G62" s="1837"/>
      <c r="H62" s="1838"/>
      <c r="I62" s="1839"/>
      <c r="J62" s="1839"/>
      <c r="K62" s="907">
        <f>P59*K61</f>
        <v>0</v>
      </c>
      <c r="L62" s="902">
        <f>L61</f>
        <v>0</v>
      </c>
      <c r="M62" s="902">
        <f>K62*L62</f>
        <v>0</v>
      </c>
      <c r="N62" s="1840"/>
      <c r="O62" s="1841"/>
      <c r="P62" s="1842"/>
      <c r="Q62" s="1843"/>
      <c r="R62" s="1843"/>
      <c r="S62" s="906">
        <f>X59*S61</f>
        <v>0</v>
      </c>
      <c r="T62" s="29">
        <f>T61</f>
        <v>0</v>
      </c>
      <c r="U62" s="29">
        <f>S62*T62</f>
        <v>0</v>
      </c>
      <c r="V62" s="1836"/>
      <c r="W62" s="1837"/>
      <c r="X62" s="1838"/>
      <c r="Y62" s="1839"/>
      <c r="Z62" s="1839"/>
      <c r="AA62" s="907">
        <f>AF59*AA61</f>
        <v>0</v>
      </c>
      <c r="AB62" s="902">
        <f>AB61</f>
        <v>0</v>
      </c>
      <c r="AC62" s="902">
        <f>AA62*AB62</f>
        <v>0</v>
      </c>
      <c r="AD62" s="1840"/>
      <c r="AE62" s="1841"/>
      <c r="AF62" s="1842"/>
      <c r="AG62" s="1843"/>
      <c r="AH62" s="1843"/>
      <c r="AI62" s="906">
        <f>AN59*AI61</f>
        <v>0</v>
      </c>
      <c r="AJ62" s="29">
        <f>AJ61</f>
        <v>0</v>
      </c>
      <c r="AK62" s="29">
        <f>AI62*AJ62</f>
        <v>0</v>
      </c>
      <c r="AL62" s="1836"/>
      <c r="AM62" s="1837"/>
      <c r="AN62" s="1838"/>
      <c r="AO62" s="1839"/>
      <c r="AP62" s="1839"/>
      <c r="AQ62" s="907">
        <f>AV59*AQ61</f>
        <v>0</v>
      </c>
      <c r="AR62" s="902">
        <f>AR61</f>
        <v>0</v>
      </c>
      <c r="AS62" s="902">
        <f>AQ62*AR62</f>
        <v>0</v>
      </c>
      <c r="AT62" s="1840"/>
      <c r="AU62" s="1841"/>
      <c r="AV62" s="1842"/>
      <c r="AW62" s="1843"/>
      <c r="AX62" s="1843"/>
      <c r="AY62" s="906">
        <f>BD59*AY61</f>
        <v>0</v>
      </c>
      <c r="AZ62" s="29">
        <f>AZ61</f>
        <v>0</v>
      </c>
      <c r="BA62" s="29">
        <f>AY62*AZ62</f>
        <v>0</v>
      </c>
      <c r="BB62" s="1836"/>
      <c r="BC62" s="1837"/>
      <c r="BD62" s="1838"/>
      <c r="BE62" s="1839"/>
      <c r="BF62" s="1839"/>
      <c r="BG62" s="907">
        <f>BL59*BG61</f>
        <v>0</v>
      </c>
      <c r="BH62" s="902">
        <f>BH61</f>
        <v>0</v>
      </c>
      <c r="BI62" s="902">
        <f>BG62*BH62</f>
        <v>0</v>
      </c>
      <c r="BJ62" s="1840"/>
      <c r="BK62" s="1841"/>
      <c r="BL62" s="1842"/>
      <c r="BM62" s="1843"/>
      <c r="BN62" s="1843"/>
      <c r="BO62" s="906">
        <f>BT59*BO61</f>
        <v>0</v>
      </c>
      <c r="BP62" s="29">
        <f>BP61</f>
        <v>0</v>
      </c>
      <c r="BQ62" s="29">
        <f>BO62*BP62</f>
        <v>0</v>
      </c>
      <c r="BR62" s="1836"/>
      <c r="BS62" s="1837"/>
      <c r="BT62" s="1838"/>
      <c r="BU62" s="1839"/>
      <c r="BV62" s="1839"/>
      <c r="BW62" s="907">
        <f>CB59*BW61</f>
        <v>0</v>
      </c>
      <c r="BX62" s="902">
        <f>BX61</f>
        <v>0</v>
      </c>
      <c r="BY62" s="902">
        <f>BW62*BX62</f>
        <v>0</v>
      </c>
      <c r="BZ62" s="1840"/>
      <c r="CA62" s="1841"/>
      <c r="CB62" s="1842"/>
      <c r="CC62" s="1843"/>
      <c r="CD62" s="1843"/>
      <c r="CE62" s="906">
        <f>CJ59*CE61</f>
        <v>0</v>
      </c>
      <c r="CF62" s="29">
        <f>CF61</f>
        <v>0</v>
      </c>
      <c r="CG62" s="29">
        <f>CE62*CF62</f>
        <v>0</v>
      </c>
      <c r="CH62" s="1836"/>
      <c r="CI62" s="1837"/>
      <c r="CJ62" s="1838"/>
      <c r="CK62" s="1839"/>
      <c r="CL62" s="1839"/>
      <c r="CM62" s="907">
        <f>CR59*CM61</f>
        <v>0</v>
      </c>
      <c r="CN62" s="902">
        <f>CN61</f>
        <v>0</v>
      </c>
      <c r="CO62" s="902">
        <f>CM62*CN62</f>
        <v>0</v>
      </c>
      <c r="CP62" s="1840"/>
      <c r="CQ62" s="1841"/>
      <c r="CR62" s="1842"/>
      <c r="CS62" s="1843"/>
      <c r="CT62" s="1843"/>
      <c r="CU62" s="1844"/>
      <c r="CV62" s="1844"/>
      <c r="CW62" s="1845"/>
      <c r="CX62" s="1844"/>
      <c r="CY62" s="1845"/>
      <c r="CZ62" s="1845"/>
      <c r="DA62" s="1845"/>
      <c r="DB62" s="912"/>
    </row>
    <row r="63" spans="1:106" x14ac:dyDescent="0.3">
      <c r="A63" s="1835"/>
      <c r="B63" s="108" t="s">
        <v>254</v>
      </c>
      <c r="C63" s="906">
        <f>C59+C60-C62</f>
        <v>0</v>
      </c>
      <c r="D63" s="29">
        <f>D62</f>
        <v>0</v>
      </c>
      <c r="E63" s="29">
        <f>D63*C63</f>
        <v>0</v>
      </c>
      <c r="F63" s="1836"/>
      <c r="G63" s="1837"/>
      <c r="H63" s="1838"/>
      <c r="I63" s="1839"/>
      <c r="J63" s="1839"/>
      <c r="K63" s="907">
        <f>K59+K60-K62</f>
        <v>0</v>
      </c>
      <c r="L63" s="902">
        <f>L62</f>
        <v>0</v>
      </c>
      <c r="M63" s="902">
        <f>L63*K63</f>
        <v>0</v>
      </c>
      <c r="N63" s="1840"/>
      <c r="O63" s="1841"/>
      <c r="P63" s="1842"/>
      <c r="Q63" s="1843"/>
      <c r="R63" s="1843"/>
      <c r="S63" s="906">
        <f>S59+S60-S62</f>
        <v>0</v>
      </c>
      <c r="T63" s="29">
        <f>T62</f>
        <v>0</v>
      </c>
      <c r="U63" s="29">
        <f>T63*S63</f>
        <v>0</v>
      </c>
      <c r="V63" s="1836"/>
      <c r="W63" s="1837"/>
      <c r="X63" s="1838"/>
      <c r="Y63" s="1839"/>
      <c r="Z63" s="1839"/>
      <c r="AA63" s="907">
        <f>AA59+AA60-AA62</f>
        <v>0</v>
      </c>
      <c r="AB63" s="902">
        <f>AB62</f>
        <v>0</v>
      </c>
      <c r="AC63" s="902">
        <f>AB63*AA63</f>
        <v>0</v>
      </c>
      <c r="AD63" s="1840"/>
      <c r="AE63" s="1841"/>
      <c r="AF63" s="1842"/>
      <c r="AG63" s="1843"/>
      <c r="AH63" s="1843"/>
      <c r="AI63" s="906">
        <f>AI59+AI60-AI62</f>
        <v>0</v>
      </c>
      <c r="AJ63" s="29">
        <f>AJ62</f>
        <v>0</v>
      </c>
      <c r="AK63" s="29">
        <f>AJ63*AI63</f>
        <v>0</v>
      </c>
      <c r="AL63" s="1836"/>
      <c r="AM63" s="1837"/>
      <c r="AN63" s="1838"/>
      <c r="AO63" s="1839"/>
      <c r="AP63" s="1839"/>
      <c r="AQ63" s="907">
        <f>AQ59+AQ60-AQ62</f>
        <v>0</v>
      </c>
      <c r="AR63" s="902">
        <f>AR62</f>
        <v>0</v>
      </c>
      <c r="AS63" s="902">
        <f>AR63*AQ63</f>
        <v>0</v>
      </c>
      <c r="AT63" s="1840"/>
      <c r="AU63" s="1841"/>
      <c r="AV63" s="1842"/>
      <c r="AW63" s="1843"/>
      <c r="AX63" s="1843"/>
      <c r="AY63" s="906">
        <f>AY59+AY60-AY62</f>
        <v>0</v>
      </c>
      <c r="AZ63" s="29">
        <f>AZ62</f>
        <v>0</v>
      </c>
      <c r="BA63" s="29">
        <f>AZ63*AY63</f>
        <v>0</v>
      </c>
      <c r="BB63" s="1836"/>
      <c r="BC63" s="1837"/>
      <c r="BD63" s="1838"/>
      <c r="BE63" s="1839"/>
      <c r="BF63" s="1839"/>
      <c r="BG63" s="907">
        <f>BG59+BG60-BG62</f>
        <v>0</v>
      </c>
      <c r="BH63" s="902">
        <f>BH62</f>
        <v>0</v>
      </c>
      <c r="BI63" s="902">
        <f>BH63*BG63</f>
        <v>0</v>
      </c>
      <c r="BJ63" s="1840"/>
      <c r="BK63" s="1841"/>
      <c r="BL63" s="1842"/>
      <c r="BM63" s="1843"/>
      <c r="BN63" s="1843"/>
      <c r="BO63" s="906">
        <f>BO59+BO60-BO62</f>
        <v>0</v>
      </c>
      <c r="BP63" s="29">
        <f>BP62</f>
        <v>0</v>
      </c>
      <c r="BQ63" s="29">
        <f>BP63*BO63</f>
        <v>0</v>
      </c>
      <c r="BR63" s="1836"/>
      <c r="BS63" s="1837"/>
      <c r="BT63" s="1838"/>
      <c r="BU63" s="1839"/>
      <c r="BV63" s="1839"/>
      <c r="BW63" s="907">
        <f>BW59+BW60-BW62</f>
        <v>0</v>
      </c>
      <c r="BX63" s="902">
        <f>BX62</f>
        <v>0</v>
      </c>
      <c r="BY63" s="902">
        <f>BX63*BW63</f>
        <v>0</v>
      </c>
      <c r="BZ63" s="1840"/>
      <c r="CA63" s="1841"/>
      <c r="CB63" s="1842"/>
      <c r="CC63" s="1843"/>
      <c r="CD63" s="1843"/>
      <c r="CE63" s="906">
        <f>CE59+CE60-CE62</f>
        <v>0</v>
      </c>
      <c r="CF63" s="29">
        <f>CF62</f>
        <v>0</v>
      </c>
      <c r="CG63" s="29">
        <f>CF63*CE63</f>
        <v>0</v>
      </c>
      <c r="CH63" s="1836"/>
      <c r="CI63" s="1837"/>
      <c r="CJ63" s="1838"/>
      <c r="CK63" s="1839"/>
      <c r="CL63" s="1839"/>
      <c r="CM63" s="907">
        <f>CM59+CM60-CM62</f>
        <v>0</v>
      </c>
      <c r="CN63" s="902">
        <f>CN62</f>
        <v>0</v>
      </c>
      <c r="CO63" s="902">
        <f>CN63*CM63</f>
        <v>0</v>
      </c>
      <c r="CP63" s="1840"/>
      <c r="CQ63" s="1841"/>
      <c r="CR63" s="1842"/>
      <c r="CS63" s="1843"/>
      <c r="CT63" s="1843"/>
      <c r="CU63" s="1844"/>
      <c r="CV63" s="1844"/>
      <c r="CW63" s="1845"/>
      <c r="CX63" s="1844"/>
      <c r="CY63" s="1845"/>
      <c r="CZ63" s="1845"/>
      <c r="DA63" s="1845"/>
      <c r="DB63" s="912"/>
    </row>
    <row r="64" spans="1:106" x14ac:dyDescent="0.3">
      <c r="A64" s="1835" t="str">
        <f>TRIBUTS!K10</f>
        <v>OCTUBRE</v>
      </c>
      <c r="B64" s="108" t="s">
        <v>255</v>
      </c>
      <c r="C64" s="906">
        <f>C63</f>
        <v>0</v>
      </c>
      <c r="D64" s="29">
        <f>D63</f>
        <v>0</v>
      </c>
      <c r="E64" s="29">
        <f>C64*D64</f>
        <v>0</v>
      </c>
      <c r="F64" s="1836">
        <f>E65*$I$3</f>
        <v>0</v>
      </c>
      <c r="G64" s="1837">
        <f>G59</f>
        <v>0</v>
      </c>
      <c r="H64" s="1838">
        <f>H59</f>
        <v>0</v>
      </c>
      <c r="I64" s="1839">
        <f>E67/(1-G64)</f>
        <v>0</v>
      </c>
      <c r="J64" s="1839">
        <f>I64*$F$3</f>
        <v>0</v>
      </c>
      <c r="K64" s="907">
        <f>K63</f>
        <v>0</v>
      </c>
      <c r="L64" s="902">
        <f>L63</f>
        <v>0</v>
      </c>
      <c r="M64" s="902">
        <f>K64*L64</f>
        <v>0</v>
      </c>
      <c r="N64" s="1840">
        <f>M65*$I$4</f>
        <v>0</v>
      </c>
      <c r="O64" s="1841">
        <f>O59</f>
        <v>0</v>
      </c>
      <c r="P64" s="1842">
        <f>P59</f>
        <v>0</v>
      </c>
      <c r="Q64" s="1843">
        <f>M67/(1-O64)</f>
        <v>0</v>
      </c>
      <c r="R64" s="1843">
        <f>Q64*$F$4</f>
        <v>0</v>
      </c>
      <c r="S64" s="906">
        <f>S63</f>
        <v>0</v>
      </c>
      <c r="T64" s="29">
        <f>T63</f>
        <v>0</v>
      </c>
      <c r="U64" s="29">
        <f>S64*T64</f>
        <v>0</v>
      </c>
      <c r="V64" s="1836">
        <f>U65*$I$5</f>
        <v>0</v>
      </c>
      <c r="W64" s="1837">
        <f>W59</f>
        <v>0</v>
      </c>
      <c r="X64" s="1838">
        <f>X59</f>
        <v>0</v>
      </c>
      <c r="Y64" s="1839">
        <f>U67/(1-W64)</f>
        <v>0</v>
      </c>
      <c r="Z64" s="1839">
        <f>Y64*$F$5</f>
        <v>0</v>
      </c>
      <c r="AA64" s="907">
        <f>AA63</f>
        <v>0</v>
      </c>
      <c r="AB64" s="902">
        <f>AB63</f>
        <v>0</v>
      </c>
      <c r="AC64" s="902">
        <f>AA64*AB64</f>
        <v>0</v>
      </c>
      <c r="AD64" s="1840">
        <f>AC65*$I$6</f>
        <v>0</v>
      </c>
      <c r="AE64" s="1841">
        <f>AE59</f>
        <v>0</v>
      </c>
      <c r="AF64" s="1842">
        <f>AF59</f>
        <v>0</v>
      </c>
      <c r="AG64" s="1843">
        <f>AC67/(1-AE64)</f>
        <v>0</v>
      </c>
      <c r="AH64" s="1843">
        <f>AG64*$F$6</f>
        <v>0</v>
      </c>
      <c r="AI64" s="906">
        <f>AI63</f>
        <v>0</v>
      </c>
      <c r="AJ64" s="29">
        <f>AJ63</f>
        <v>0</v>
      </c>
      <c r="AK64" s="29">
        <f>AI64*AJ64</f>
        <v>0</v>
      </c>
      <c r="AL64" s="1836">
        <f>AK65*$I$7</f>
        <v>0</v>
      </c>
      <c r="AM64" s="1837">
        <f>AM59</f>
        <v>0</v>
      </c>
      <c r="AN64" s="1838">
        <f>AN59</f>
        <v>0</v>
      </c>
      <c r="AO64" s="1839">
        <f>AK67/(1-AM64)</f>
        <v>0</v>
      </c>
      <c r="AP64" s="1839">
        <f>AO64*$F$7</f>
        <v>0</v>
      </c>
      <c r="AQ64" s="907">
        <f>AQ63</f>
        <v>0</v>
      </c>
      <c r="AR64" s="902">
        <f>AR63</f>
        <v>0</v>
      </c>
      <c r="AS64" s="902">
        <f>AQ64*AR64</f>
        <v>0</v>
      </c>
      <c r="AT64" s="1840">
        <f>AS65*$I$8</f>
        <v>0</v>
      </c>
      <c r="AU64" s="1841">
        <f>AU59</f>
        <v>0</v>
      </c>
      <c r="AV64" s="1842">
        <f>AV59</f>
        <v>0</v>
      </c>
      <c r="AW64" s="1843">
        <f>AS67/(1-AU64)</f>
        <v>0</v>
      </c>
      <c r="AX64" s="1843">
        <f>AW64*$F$8</f>
        <v>0</v>
      </c>
      <c r="AY64" s="906">
        <f>AY63</f>
        <v>0</v>
      </c>
      <c r="AZ64" s="29">
        <f>AZ63</f>
        <v>0</v>
      </c>
      <c r="BA64" s="29">
        <f>AY64*AZ64</f>
        <v>0</v>
      </c>
      <c r="BB64" s="1836">
        <f>BA65*$I$9</f>
        <v>0</v>
      </c>
      <c r="BC64" s="1837">
        <f>BC59</f>
        <v>0</v>
      </c>
      <c r="BD64" s="1838">
        <f>BD59</f>
        <v>0</v>
      </c>
      <c r="BE64" s="1839">
        <f>BA67/(1-BC64)</f>
        <v>0</v>
      </c>
      <c r="BF64" s="1839">
        <f>BE64*$F$9</f>
        <v>0</v>
      </c>
      <c r="BG64" s="907">
        <f>BG63</f>
        <v>0</v>
      </c>
      <c r="BH64" s="902">
        <f>BH63</f>
        <v>0</v>
      </c>
      <c r="BI64" s="902">
        <f>BG64*BH64</f>
        <v>0</v>
      </c>
      <c r="BJ64" s="1840">
        <f>BI65*$I$10</f>
        <v>0</v>
      </c>
      <c r="BK64" s="1841">
        <f>BK59</f>
        <v>0</v>
      </c>
      <c r="BL64" s="1842">
        <f>BL59</f>
        <v>0</v>
      </c>
      <c r="BM64" s="1843">
        <f>BI67/(1-BK64)</f>
        <v>0</v>
      </c>
      <c r="BN64" s="1843">
        <f>BM64*$F$10</f>
        <v>0</v>
      </c>
      <c r="BO64" s="906">
        <f>BO63</f>
        <v>0</v>
      </c>
      <c r="BP64" s="29">
        <f>BP63</f>
        <v>0</v>
      </c>
      <c r="BQ64" s="29">
        <f>BO64*BP64</f>
        <v>0</v>
      </c>
      <c r="BR64" s="1836">
        <f>BQ65*$I$11</f>
        <v>0</v>
      </c>
      <c r="BS64" s="1837">
        <f>BS59</f>
        <v>0</v>
      </c>
      <c r="BT64" s="1838">
        <f>BT59</f>
        <v>0</v>
      </c>
      <c r="BU64" s="1839">
        <f>BQ67/(1-BS64)</f>
        <v>0</v>
      </c>
      <c r="BV64" s="1839">
        <f>BU64*$F$11</f>
        <v>0</v>
      </c>
      <c r="BW64" s="907">
        <f>BW63</f>
        <v>0</v>
      </c>
      <c r="BX64" s="902">
        <f>BX63</f>
        <v>0</v>
      </c>
      <c r="BY64" s="902">
        <f>BW64*BX64</f>
        <v>0</v>
      </c>
      <c r="BZ64" s="1840">
        <f>BY65*$I$12</f>
        <v>0</v>
      </c>
      <c r="CA64" s="1841">
        <f>CA59</f>
        <v>0</v>
      </c>
      <c r="CB64" s="1842">
        <f>CB59</f>
        <v>0</v>
      </c>
      <c r="CC64" s="1843">
        <f>BY67/(1-CA64)</f>
        <v>0</v>
      </c>
      <c r="CD64" s="1843">
        <f>CC64*$F$12</f>
        <v>0</v>
      </c>
      <c r="CE64" s="906">
        <f>CE63</f>
        <v>0</v>
      </c>
      <c r="CF64" s="29">
        <f>CF63</f>
        <v>0</v>
      </c>
      <c r="CG64" s="29">
        <f>CE64*CF64</f>
        <v>0</v>
      </c>
      <c r="CH64" s="1836">
        <f>CG65*$I$13</f>
        <v>0</v>
      </c>
      <c r="CI64" s="1837">
        <f>CI59</f>
        <v>0</v>
      </c>
      <c r="CJ64" s="1838">
        <f>CJ59</f>
        <v>0</v>
      </c>
      <c r="CK64" s="1839">
        <f>CG67/(1-CI64)</f>
        <v>0</v>
      </c>
      <c r="CL64" s="1839">
        <f>CK64*$F$13</f>
        <v>0</v>
      </c>
      <c r="CM64" s="907">
        <f>CM63</f>
        <v>0</v>
      </c>
      <c r="CN64" s="902">
        <f>CN63</f>
        <v>0</v>
      </c>
      <c r="CO64" s="902">
        <f>CM64*CN64</f>
        <v>0</v>
      </c>
      <c r="CP64" s="1840">
        <f>CO65*$I$14</f>
        <v>0</v>
      </c>
      <c r="CQ64" s="1841">
        <f>CQ59</f>
        <v>0</v>
      </c>
      <c r="CR64" s="1842">
        <f>CR59</f>
        <v>0</v>
      </c>
      <c r="CS64" s="1843">
        <f>CO67/(1-CQ64)</f>
        <v>0</v>
      </c>
      <c r="CT64" s="1843">
        <f>CS64*$F$14</f>
        <v>0</v>
      </c>
      <c r="CU64" s="1844">
        <f>E65+M65+U65+AC65+AK65+AS65+BA65+BI65+BQ65+BY65+CG65+CO65</f>
        <v>0</v>
      </c>
      <c r="CV64" s="1844">
        <f>CP64+CH64+BZ64+BR64+BJ64+BB64+AT64+AL64+AD64+V64+N64+F64</f>
        <v>0</v>
      </c>
      <c r="CW64" s="1845">
        <f>I64+Q64+Y64+AG64+AO64+AW64+BE64+BM64+BU64+CC64+CK64+CS64</f>
        <v>0</v>
      </c>
      <c r="CX64" s="1844">
        <f>CT64+CL64+CD64+BV64+BN64+BF64+AX64+AP64+AH64+Z64+R64+J64</f>
        <v>0</v>
      </c>
      <c r="CY64" s="1845">
        <f>CZ59</f>
        <v>0</v>
      </c>
      <c r="CZ64" s="1845">
        <f>E68+M68+U68+AC68+AK68+AS68+BA68+BI68+BQ68+BY68+CG68+CO68</f>
        <v>0</v>
      </c>
      <c r="DA64" s="1845">
        <f>CZ64-CY64</f>
        <v>0</v>
      </c>
      <c r="DB64" s="914"/>
    </row>
    <row r="65" spans="1:106" x14ac:dyDescent="0.3">
      <c r="A65" s="1835"/>
      <c r="B65" s="108" t="s">
        <v>310</v>
      </c>
      <c r="C65" s="898">
        <f>C60</f>
        <v>0</v>
      </c>
      <c r="D65" s="899">
        <f>D60</f>
        <v>0</v>
      </c>
      <c r="E65" s="29">
        <f>C65*D65</f>
        <v>0</v>
      </c>
      <c r="F65" s="1836"/>
      <c r="G65" s="1837"/>
      <c r="H65" s="1838"/>
      <c r="I65" s="1839"/>
      <c r="J65" s="1839"/>
      <c r="K65" s="900">
        <f>K60</f>
        <v>0</v>
      </c>
      <c r="L65" s="901">
        <f>L60</f>
        <v>0</v>
      </c>
      <c r="M65" s="902">
        <f>K65*L65</f>
        <v>0</v>
      </c>
      <c r="N65" s="1840"/>
      <c r="O65" s="1841"/>
      <c r="P65" s="1842"/>
      <c r="Q65" s="1843"/>
      <c r="R65" s="1843"/>
      <c r="S65" s="898">
        <f>S60</f>
        <v>0</v>
      </c>
      <c r="T65" s="899">
        <f>T60</f>
        <v>0</v>
      </c>
      <c r="U65" s="29">
        <f>S65*T65</f>
        <v>0</v>
      </c>
      <c r="V65" s="1836"/>
      <c r="W65" s="1837"/>
      <c r="X65" s="1838"/>
      <c r="Y65" s="1839"/>
      <c r="Z65" s="1839"/>
      <c r="AA65" s="900">
        <f>AA60</f>
        <v>0</v>
      </c>
      <c r="AB65" s="901">
        <f>AB60</f>
        <v>0</v>
      </c>
      <c r="AC65" s="902">
        <f>AA65*AB65</f>
        <v>0</v>
      </c>
      <c r="AD65" s="1840"/>
      <c r="AE65" s="1841"/>
      <c r="AF65" s="1842"/>
      <c r="AG65" s="1843"/>
      <c r="AH65" s="1843"/>
      <c r="AI65" s="898">
        <f>AI60</f>
        <v>0</v>
      </c>
      <c r="AJ65" s="899">
        <f>AJ60</f>
        <v>0</v>
      </c>
      <c r="AK65" s="29">
        <f>AI65*AJ65</f>
        <v>0</v>
      </c>
      <c r="AL65" s="1836"/>
      <c r="AM65" s="1837"/>
      <c r="AN65" s="1838"/>
      <c r="AO65" s="1839"/>
      <c r="AP65" s="1839"/>
      <c r="AQ65" s="900">
        <f>AQ60</f>
        <v>0</v>
      </c>
      <c r="AR65" s="901">
        <f>AR60</f>
        <v>0</v>
      </c>
      <c r="AS65" s="902">
        <f>AQ65*AR65</f>
        <v>0</v>
      </c>
      <c r="AT65" s="1840"/>
      <c r="AU65" s="1841"/>
      <c r="AV65" s="1842"/>
      <c r="AW65" s="1843"/>
      <c r="AX65" s="1843"/>
      <c r="AY65" s="898">
        <f>AY60</f>
        <v>0</v>
      </c>
      <c r="AZ65" s="899">
        <f>AZ60</f>
        <v>0</v>
      </c>
      <c r="BA65" s="29">
        <f>AY65*AZ65</f>
        <v>0</v>
      </c>
      <c r="BB65" s="1836"/>
      <c r="BC65" s="1837"/>
      <c r="BD65" s="1838"/>
      <c r="BE65" s="1839"/>
      <c r="BF65" s="1839"/>
      <c r="BG65" s="900">
        <f>BG60</f>
        <v>0</v>
      </c>
      <c r="BH65" s="901">
        <f>BH60</f>
        <v>0</v>
      </c>
      <c r="BI65" s="902">
        <f>BG65*BH65</f>
        <v>0</v>
      </c>
      <c r="BJ65" s="1840"/>
      <c r="BK65" s="1841"/>
      <c r="BL65" s="1842"/>
      <c r="BM65" s="1843"/>
      <c r="BN65" s="1843"/>
      <c r="BO65" s="898">
        <f>BO60</f>
        <v>0</v>
      </c>
      <c r="BP65" s="899">
        <f>BP60</f>
        <v>0</v>
      </c>
      <c r="BQ65" s="29">
        <f>BO65*BP65</f>
        <v>0</v>
      </c>
      <c r="BR65" s="1836"/>
      <c r="BS65" s="1837"/>
      <c r="BT65" s="1838"/>
      <c r="BU65" s="1839"/>
      <c r="BV65" s="1839"/>
      <c r="BW65" s="900">
        <f>BW60</f>
        <v>0</v>
      </c>
      <c r="BX65" s="901">
        <f>BX60</f>
        <v>0</v>
      </c>
      <c r="BY65" s="902">
        <f>BW65*BX65</f>
        <v>0</v>
      </c>
      <c r="BZ65" s="1840"/>
      <c r="CA65" s="1841"/>
      <c r="CB65" s="1842"/>
      <c r="CC65" s="1843"/>
      <c r="CD65" s="1843"/>
      <c r="CE65" s="898">
        <f>CE60</f>
        <v>0</v>
      </c>
      <c r="CF65" s="899">
        <f>CF60</f>
        <v>0</v>
      </c>
      <c r="CG65" s="29">
        <f>CE65*CF65</f>
        <v>0</v>
      </c>
      <c r="CH65" s="1836"/>
      <c r="CI65" s="1837"/>
      <c r="CJ65" s="1838"/>
      <c r="CK65" s="1839"/>
      <c r="CL65" s="1839"/>
      <c r="CM65" s="900">
        <f>CM60</f>
        <v>0</v>
      </c>
      <c r="CN65" s="901">
        <f>CN60</f>
        <v>0</v>
      </c>
      <c r="CO65" s="902">
        <f>CM65*CN65</f>
        <v>0</v>
      </c>
      <c r="CP65" s="1840"/>
      <c r="CQ65" s="1841"/>
      <c r="CR65" s="1842"/>
      <c r="CS65" s="1843"/>
      <c r="CT65" s="1843"/>
      <c r="CU65" s="1844"/>
      <c r="CV65" s="1844"/>
      <c r="CW65" s="1845"/>
      <c r="CX65" s="1844"/>
      <c r="CY65" s="1845"/>
      <c r="CZ65" s="1845"/>
      <c r="DA65" s="1845"/>
      <c r="DB65" s="912"/>
    </row>
    <row r="66" spans="1:106" ht="12.75" hidden="1" customHeight="1" x14ac:dyDescent="0.3">
      <c r="A66" s="1835"/>
      <c r="B66" s="108" t="s">
        <v>315</v>
      </c>
      <c r="C66" s="906">
        <f>C65+C64</f>
        <v>0</v>
      </c>
      <c r="D66" s="29">
        <f>IF(C66=0,0,E66/C66)</f>
        <v>0</v>
      </c>
      <c r="E66" s="29">
        <f>E65+E64</f>
        <v>0</v>
      </c>
      <c r="F66" s="1836"/>
      <c r="G66" s="1837"/>
      <c r="H66" s="1838"/>
      <c r="I66" s="1839"/>
      <c r="J66" s="1839"/>
      <c r="K66" s="907">
        <f>K65+K64</f>
        <v>0</v>
      </c>
      <c r="L66" s="902">
        <f>IF(K66=0,0,M66/K66)</f>
        <v>0</v>
      </c>
      <c r="M66" s="902">
        <f>M65+M64</f>
        <v>0</v>
      </c>
      <c r="N66" s="1840"/>
      <c r="O66" s="1841"/>
      <c r="P66" s="1842"/>
      <c r="Q66" s="1843"/>
      <c r="R66" s="1843"/>
      <c r="S66" s="906">
        <f>S65+S64</f>
        <v>0</v>
      </c>
      <c r="T66" s="29">
        <f>IF(S66=0,0,U66/S66)</f>
        <v>0</v>
      </c>
      <c r="U66" s="29">
        <f>U65+U64</f>
        <v>0</v>
      </c>
      <c r="V66" s="1836"/>
      <c r="W66" s="1837"/>
      <c r="X66" s="1838"/>
      <c r="Y66" s="1839"/>
      <c r="Z66" s="1839"/>
      <c r="AA66" s="907">
        <f>AA65+AA64</f>
        <v>0</v>
      </c>
      <c r="AB66" s="902">
        <f>IF(AA66=0,0,AC66/AA66)</f>
        <v>0</v>
      </c>
      <c r="AC66" s="902">
        <f>AC65+AC64</f>
        <v>0</v>
      </c>
      <c r="AD66" s="1840"/>
      <c r="AE66" s="1841"/>
      <c r="AF66" s="1842"/>
      <c r="AG66" s="1843"/>
      <c r="AH66" s="1843"/>
      <c r="AI66" s="906">
        <f>AI65+AI64</f>
        <v>0</v>
      </c>
      <c r="AJ66" s="29">
        <f>IF(AI66=0,0,AK66/AI66)</f>
        <v>0</v>
      </c>
      <c r="AK66" s="29">
        <f>AK65+AK64</f>
        <v>0</v>
      </c>
      <c r="AL66" s="1836"/>
      <c r="AM66" s="1837"/>
      <c r="AN66" s="1838"/>
      <c r="AO66" s="1839"/>
      <c r="AP66" s="1839"/>
      <c r="AQ66" s="907">
        <f>AQ65+AQ64</f>
        <v>0</v>
      </c>
      <c r="AR66" s="902">
        <f>IF(AQ66=0,0,AS66/AQ66)</f>
        <v>0</v>
      </c>
      <c r="AS66" s="902">
        <f>AS65+AS64</f>
        <v>0</v>
      </c>
      <c r="AT66" s="1840"/>
      <c r="AU66" s="1841"/>
      <c r="AV66" s="1842"/>
      <c r="AW66" s="1843"/>
      <c r="AX66" s="1843"/>
      <c r="AY66" s="906">
        <f>AY65+AY64</f>
        <v>0</v>
      </c>
      <c r="AZ66" s="29">
        <f>IF(AY66=0,0,BA66/AY66)</f>
        <v>0</v>
      </c>
      <c r="BA66" s="29">
        <f>BA65+BA64</f>
        <v>0</v>
      </c>
      <c r="BB66" s="1836"/>
      <c r="BC66" s="1837"/>
      <c r="BD66" s="1838"/>
      <c r="BE66" s="1839"/>
      <c r="BF66" s="1839"/>
      <c r="BG66" s="907">
        <f>BG65+BG64</f>
        <v>0</v>
      </c>
      <c r="BH66" s="902">
        <f>IF(BG66=0,0,BI66/BG66)</f>
        <v>0</v>
      </c>
      <c r="BI66" s="902">
        <f>BI65+BI64</f>
        <v>0</v>
      </c>
      <c r="BJ66" s="1840"/>
      <c r="BK66" s="1841"/>
      <c r="BL66" s="1842"/>
      <c r="BM66" s="1843"/>
      <c r="BN66" s="1843"/>
      <c r="BO66" s="906">
        <f>BO65+BO64</f>
        <v>0</v>
      </c>
      <c r="BP66" s="29">
        <f>IF(BO66=0,0,BQ66/BO66)</f>
        <v>0</v>
      </c>
      <c r="BQ66" s="29">
        <f>BQ65+BQ64</f>
        <v>0</v>
      </c>
      <c r="BR66" s="1836"/>
      <c r="BS66" s="1837"/>
      <c r="BT66" s="1838"/>
      <c r="BU66" s="1839"/>
      <c r="BV66" s="1839"/>
      <c r="BW66" s="907">
        <f>BW65+BW64</f>
        <v>0</v>
      </c>
      <c r="BX66" s="902">
        <f>IF(BW66=0,0,BY66/BW66)</f>
        <v>0</v>
      </c>
      <c r="BY66" s="902">
        <f>BY65+BY64</f>
        <v>0</v>
      </c>
      <c r="BZ66" s="1840"/>
      <c r="CA66" s="1841"/>
      <c r="CB66" s="1842"/>
      <c r="CC66" s="1843"/>
      <c r="CD66" s="1843"/>
      <c r="CE66" s="906">
        <f>CE65+CE64</f>
        <v>0</v>
      </c>
      <c r="CF66" s="29">
        <f>IF(CE66=0,0,CG66/CE66)</f>
        <v>0</v>
      </c>
      <c r="CG66" s="29">
        <f>CG65+CG64</f>
        <v>0</v>
      </c>
      <c r="CH66" s="1836"/>
      <c r="CI66" s="1837"/>
      <c r="CJ66" s="1838"/>
      <c r="CK66" s="1839"/>
      <c r="CL66" s="1839"/>
      <c r="CM66" s="907">
        <f>CM65+CM64</f>
        <v>0</v>
      </c>
      <c r="CN66" s="902">
        <f>IF(CM66=0,0,CO66/CM66)</f>
        <v>0</v>
      </c>
      <c r="CO66" s="902">
        <f>CO65+CO64</f>
        <v>0</v>
      </c>
      <c r="CP66" s="1840"/>
      <c r="CQ66" s="1841"/>
      <c r="CR66" s="1842"/>
      <c r="CS66" s="1843"/>
      <c r="CT66" s="1843"/>
      <c r="CU66" s="1844"/>
      <c r="CV66" s="1844"/>
      <c r="CW66" s="1845"/>
      <c r="CX66" s="1844"/>
      <c r="CY66" s="1845"/>
      <c r="CZ66" s="1845"/>
      <c r="DA66" s="1845"/>
      <c r="DB66" s="912"/>
    </row>
    <row r="67" spans="1:106" x14ac:dyDescent="0.3">
      <c r="A67" s="1835"/>
      <c r="B67" s="108" t="s">
        <v>312</v>
      </c>
      <c r="C67" s="906">
        <f>H64*C66</f>
        <v>0</v>
      </c>
      <c r="D67" s="29">
        <f>D66</f>
        <v>0</v>
      </c>
      <c r="E67" s="29">
        <f>C67*D67</f>
        <v>0</v>
      </c>
      <c r="F67" s="1836"/>
      <c r="G67" s="1837"/>
      <c r="H67" s="1838"/>
      <c r="I67" s="1839"/>
      <c r="J67" s="1839"/>
      <c r="K67" s="907">
        <f>P64*K66</f>
        <v>0</v>
      </c>
      <c r="L67" s="902">
        <f>L66</f>
        <v>0</v>
      </c>
      <c r="M67" s="902">
        <f>K67*L67</f>
        <v>0</v>
      </c>
      <c r="N67" s="1840"/>
      <c r="O67" s="1841"/>
      <c r="P67" s="1842"/>
      <c r="Q67" s="1843"/>
      <c r="R67" s="1843"/>
      <c r="S67" s="906">
        <f>X64*S66</f>
        <v>0</v>
      </c>
      <c r="T67" s="29">
        <f>T66</f>
        <v>0</v>
      </c>
      <c r="U67" s="29">
        <f>S67*T67</f>
        <v>0</v>
      </c>
      <c r="V67" s="1836"/>
      <c r="W67" s="1837"/>
      <c r="X67" s="1838"/>
      <c r="Y67" s="1839"/>
      <c r="Z67" s="1839"/>
      <c r="AA67" s="907">
        <f>AF64*AA66</f>
        <v>0</v>
      </c>
      <c r="AB67" s="902">
        <f>AB66</f>
        <v>0</v>
      </c>
      <c r="AC67" s="902">
        <f>AA67*AB67</f>
        <v>0</v>
      </c>
      <c r="AD67" s="1840"/>
      <c r="AE67" s="1841"/>
      <c r="AF67" s="1842"/>
      <c r="AG67" s="1843"/>
      <c r="AH67" s="1843"/>
      <c r="AI67" s="906">
        <f>AN64*AI66</f>
        <v>0</v>
      </c>
      <c r="AJ67" s="29">
        <f>AJ66</f>
        <v>0</v>
      </c>
      <c r="AK67" s="29">
        <f>AI67*AJ67</f>
        <v>0</v>
      </c>
      <c r="AL67" s="1836"/>
      <c r="AM67" s="1837"/>
      <c r="AN67" s="1838"/>
      <c r="AO67" s="1839"/>
      <c r="AP67" s="1839"/>
      <c r="AQ67" s="907">
        <f>AV64*AQ66</f>
        <v>0</v>
      </c>
      <c r="AR67" s="902">
        <f>AR66</f>
        <v>0</v>
      </c>
      <c r="AS67" s="902">
        <f>AQ67*AR67</f>
        <v>0</v>
      </c>
      <c r="AT67" s="1840"/>
      <c r="AU67" s="1841"/>
      <c r="AV67" s="1842"/>
      <c r="AW67" s="1843"/>
      <c r="AX67" s="1843"/>
      <c r="AY67" s="906">
        <f>BD64*AY66</f>
        <v>0</v>
      </c>
      <c r="AZ67" s="29">
        <f>AZ66</f>
        <v>0</v>
      </c>
      <c r="BA67" s="29">
        <f>AY67*AZ67</f>
        <v>0</v>
      </c>
      <c r="BB67" s="1836"/>
      <c r="BC67" s="1837"/>
      <c r="BD67" s="1838"/>
      <c r="BE67" s="1839"/>
      <c r="BF67" s="1839"/>
      <c r="BG67" s="907">
        <f>BL64*BG66</f>
        <v>0</v>
      </c>
      <c r="BH67" s="902">
        <f>BH66</f>
        <v>0</v>
      </c>
      <c r="BI67" s="902">
        <f>BG67*BH67</f>
        <v>0</v>
      </c>
      <c r="BJ67" s="1840"/>
      <c r="BK67" s="1841"/>
      <c r="BL67" s="1842"/>
      <c r="BM67" s="1843"/>
      <c r="BN67" s="1843"/>
      <c r="BO67" s="906">
        <f>BT64*BO66</f>
        <v>0</v>
      </c>
      <c r="BP67" s="29">
        <f>BP66</f>
        <v>0</v>
      </c>
      <c r="BQ67" s="29">
        <f>BO67*BP67</f>
        <v>0</v>
      </c>
      <c r="BR67" s="1836"/>
      <c r="BS67" s="1837"/>
      <c r="BT67" s="1838"/>
      <c r="BU67" s="1839"/>
      <c r="BV67" s="1839"/>
      <c r="BW67" s="907">
        <f>CB64*BW66</f>
        <v>0</v>
      </c>
      <c r="BX67" s="902">
        <f>BX66</f>
        <v>0</v>
      </c>
      <c r="BY67" s="902">
        <f>BW67*BX67</f>
        <v>0</v>
      </c>
      <c r="BZ67" s="1840"/>
      <c r="CA67" s="1841"/>
      <c r="CB67" s="1842"/>
      <c r="CC67" s="1843"/>
      <c r="CD67" s="1843"/>
      <c r="CE67" s="906">
        <f>CJ64*CE66</f>
        <v>0</v>
      </c>
      <c r="CF67" s="29">
        <f>CF66</f>
        <v>0</v>
      </c>
      <c r="CG67" s="29">
        <f>CE67*CF67</f>
        <v>0</v>
      </c>
      <c r="CH67" s="1836"/>
      <c r="CI67" s="1837"/>
      <c r="CJ67" s="1838"/>
      <c r="CK67" s="1839"/>
      <c r="CL67" s="1839"/>
      <c r="CM67" s="907">
        <f>CR64*CM66</f>
        <v>0</v>
      </c>
      <c r="CN67" s="902">
        <f>CN66</f>
        <v>0</v>
      </c>
      <c r="CO67" s="902">
        <f>CM67*CN67</f>
        <v>0</v>
      </c>
      <c r="CP67" s="1840"/>
      <c r="CQ67" s="1841"/>
      <c r="CR67" s="1842"/>
      <c r="CS67" s="1843"/>
      <c r="CT67" s="1843"/>
      <c r="CU67" s="1844"/>
      <c r="CV67" s="1844"/>
      <c r="CW67" s="1845"/>
      <c r="CX67" s="1844"/>
      <c r="CY67" s="1845"/>
      <c r="CZ67" s="1845"/>
      <c r="DA67" s="1845"/>
      <c r="DB67" s="912"/>
    </row>
    <row r="68" spans="1:106" x14ac:dyDescent="0.3">
      <c r="A68" s="1835"/>
      <c r="B68" s="108" t="s">
        <v>254</v>
      </c>
      <c r="C68" s="906">
        <f>C64+C65-C67</f>
        <v>0</v>
      </c>
      <c r="D68" s="29">
        <f>D67</f>
        <v>0</v>
      </c>
      <c r="E68" s="29">
        <f>D68*C68</f>
        <v>0</v>
      </c>
      <c r="F68" s="1836"/>
      <c r="G68" s="1837"/>
      <c r="H68" s="1838"/>
      <c r="I68" s="1839"/>
      <c r="J68" s="1839"/>
      <c r="K68" s="907">
        <f>K64+K65-K67</f>
        <v>0</v>
      </c>
      <c r="L68" s="902">
        <f>L67</f>
        <v>0</v>
      </c>
      <c r="M68" s="902">
        <f>L68*K68</f>
        <v>0</v>
      </c>
      <c r="N68" s="1840"/>
      <c r="O68" s="1841"/>
      <c r="P68" s="1842"/>
      <c r="Q68" s="1843"/>
      <c r="R68" s="1843"/>
      <c r="S68" s="906">
        <f>S64+S65-S67</f>
        <v>0</v>
      </c>
      <c r="T68" s="29">
        <f>T67</f>
        <v>0</v>
      </c>
      <c r="U68" s="29">
        <f>T68*S68</f>
        <v>0</v>
      </c>
      <c r="V68" s="1836"/>
      <c r="W68" s="1837"/>
      <c r="X68" s="1838"/>
      <c r="Y68" s="1839"/>
      <c r="Z68" s="1839"/>
      <c r="AA68" s="907">
        <f>AA64+AA65-AA67</f>
        <v>0</v>
      </c>
      <c r="AB68" s="902">
        <f>AB67</f>
        <v>0</v>
      </c>
      <c r="AC68" s="902">
        <f>AB68*AA68</f>
        <v>0</v>
      </c>
      <c r="AD68" s="1840"/>
      <c r="AE68" s="1841"/>
      <c r="AF68" s="1842"/>
      <c r="AG68" s="1843"/>
      <c r="AH68" s="1843"/>
      <c r="AI68" s="906">
        <f>AI64+AI65-AI67</f>
        <v>0</v>
      </c>
      <c r="AJ68" s="29">
        <f>AJ67</f>
        <v>0</v>
      </c>
      <c r="AK68" s="29">
        <f>AJ68*AI68</f>
        <v>0</v>
      </c>
      <c r="AL68" s="1836"/>
      <c r="AM68" s="1837"/>
      <c r="AN68" s="1838"/>
      <c r="AO68" s="1839"/>
      <c r="AP68" s="1839"/>
      <c r="AQ68" s="907">
        <f>AQ64+AQ65-AQ67</f>
        <v>0</v>
      </c>
      <c r="AR68" s="902">
        <f>AR67</f>
        <v>0</v>
      </c>
      <c r="AS68" s="902">
        <f>AR68*AQ68</f>
        <v>0</v>
      </c>
      <c r="AT68" s="1840"/>
      <c r="AU68" s="1841"/>
      <c r="AV68" s="1842"/>
      <c r="AW68" s="1843"/>
      <c r="AX68" s="1843"/>
      <c r="AY68" s="906">
        <f>AY64+AY65-AY67</f>
        <v>0</v>
      </c>
      <c r="AZ68" s="29">
        <f>AZ67</f>
        <v>0</v>
      </c>
      <c r="BA68" s="29">
        <f>AZ68*AY68</f>
        <v>0</v>
      </c>
      <c r="BB68" s="1836"/>
      <c r="BC68" s="1837"/>
      <c r="BD68" s="1838"/>
      <c r="BE68" s="1839"/>
      <c r="BF68" s="1839"/>
      <c r="BG68" s="907">
        <f>BG64+BG65-BG67</f>
        <v>0</v>
      </c>
      <c r="BH68" s="902">
        <f>BH67</f>
        <v>0</v>
      </c>
      <c r="BI68" s="902">
        <f>BH68*BG68</f>
        <v>0</v>
      </c>
      <c r="BJ68" s="1840"/>
      <c r="BK68" s="1841"/>
      <c r="BL68" s="1842"/>
      <c r="BM68" s="1843"/>
      <c r="BN68" s="1843"/>
      <c r="BO68" s="906">
        <f>BO64+BO65-BO67</f>
        <v>0</v>
      </c>
      <c r="BP68" s="29">
        <f>BP67</f>
        <v>0</v>
      </c>
      <c r="BQ68" s="29">
        <f>BP68*BO68</f>
        <v>0</v>
      </c>
      <c r="BR68" s="1836"/>
      <c r="BS68" s="1837"/>
      <c r="BT68" s="1838"/>
      <c r="BU68" s="1839"/>
      <c r="BV68" s="1839"/>
      <c r="BW68" s="907">
        <f>BW64+BW65-BW67</f>
        <v>0</v>
      </c>
      <c r="BX68" s="902">
        <f>BX67</f>
        <v>0</v>
      </c>
      <c r="BY68" s="902">
        <f>BX68*BW68</f>
        <v>0</v>
      </c>
      <c r="BZ68" s="1840"/>
      <c r="CA68" s="1841"/>
      <c r="CB68" s="1842"/>
      <c r="CC68" s="1843"/>
      <c r="CD68" s="1843"/>
      <c r="CE68" s="906">
        <f>CE64+CE65-CE67</f>
        <v>0</v>
      </c>
      <c r="CF68" s="29">
        <f>CF67</f>
        <v>0</v>
      </c>
      <c r="CG68" s="29">
        <f>CF68*CE68</f>
        <v>0</v>
      </c>
      <c r="CH68" s="1836"/>
      <c r="CI68" s="1837"/>
      <c r="CJ68" s="1838"/>
      <c r="CK68" s="1839"/>
      <c r="CL68" s="1839"/>
      <c r="CM68" s="907">
        <f>CM64+CM65-CM67</f>
        <v>0</v>
      </c>
      <c r="CN68" s="902">
        <f>CN67</f>
        <v>0</v>
      </c>
      <c r="CO68" s="902">
        <f>CN68*CM68</f>
        <v>0</v>
      </c>
      <c r="CP68" s="1840"/>
      <c r="CQ68" s="1841"/>
      <c r="CR68" s="1842"/>
      <c r="CS68" s="1843"/>
      <c r="CT68" s="1843"/>
      <c r="CU68" s="1844"/>
      <c r="CV68" s="1844"/>
      <c r="CW68" s="1845"/>
      <c r="CX68" s="1844"/>
      <c r="CY68" s="1845"/>
      <c r="CZ68" s="1845"/>
      <c r="DA68" s="1845"/>
      <c r="DB68" s="912"/>
    </row>
    <row r="69" spans="1:106" x14ac:dyDescent="0.3">
      <c r="A69" s="1835" t="str">
        <f>TRIBUTS!K11</f>
        <v>NOVEMBRE</v>
      </c>
      <c r="B69" s="108" t="s">
        <v>255</v>
      </c>
      <c r="C69" s="906">
        <f>C68</f>
        <v>0</v>
      </c>
      <c r="D69" s="29">
        <f>D68</f>
        <v>0</v>
      </c>
      <c r="E69" s="29">
        <f>C69*D69</f>
        <v>0</v>
      </c>
      <c r="F69" s="1836">
        <f>E70*$I$3</f>
        <v>0</v>
      </c>
      <c r="G69" s="1837">
        <f>G64</f>
        <v>0</v>
      </c>
      <c r="H69" s="1838">
        <f>H64</f>
        <v>0</v>
      </c>
      <c r="I69" s="1839">
        <f>E72/(1-G69)</f>
        <v>0</v>
      </c>
      <c r="J69" s="1839">
        <f>I69*$F$3</f>
        <v>0</v>
      </c>
      <c r="K69" s="907">
        <f>K68</f>
        <v>0</v>
      </c>
      <c r="L69" s="902">
        <f>L68</f>
        <v>0</v>
      </c>
      <c r="M69" s="902">
        <f>K69*L69</f>
        <v>0</v>
      </c>
      <c r="N69" s="1840">
        <f>M70*$I$4</f>
        <v>0</v>
      </c>
      <c r="O69" s="1841">
        <f>O64</f>
        <v>0</v>
      </c>
      <c r="P69" s="1842">
        <f>P64</f>
        <v>0</v>
      </c>
      <c r="Q69" s="1843">
        <f>M72/(1-O69)</f>
        <v>0</v>
      </c>
      <c r="R69" s="1843">
        <f>Q69*$F$4</f>
        <v>0</v>
      </c>
      <c r="S69" s="906">
        <f>S68</f>
        <v>0</v>
      </c>
      <c r="T69" s="29">
        <f>T68</f>
        <v>0</v>
      </c>
      <c r="U69" s="29">
        <f>S69*T69</f>
        <v>0</v>
      </c>
      <c r="V69" s="1836">
        <f>U70*$I$5</f>
        <v>0</v>
      </c>
      <c r="W69" s="1837">
        <f>W64</f>
        <v>0</v>
      </c>
      <c r="X69" s="1838">
        <f>X64</f>
        <v>0</v>
      </c>
      <c r="Y69" s="1839">
        <f>U72/(1-W69)</f>
        <v>0</v>
      </c>
      <c r="Z69" s="1839">
        <f>Y69*$F$5</f>
        <v>0</v>
      </c>
      <c r="AA69" s="907">
        <f>AA68</f>
        <v>0</v>
      </c>
      <c r="AB69" s="902">
        <f>AB68</f>
        <v>0</v>
      </c>
      <c r="AC69" s="902">
        <f>AA69*AB69</f>
        <v>0</v>
      </c>
      <c r="AD69" s="1840">
        <f>AC70*$I$6</f>
        <v>0</v>
      </c>
      <c r="AE69" s="1841">
        <f>AE64</f>
        <v>0</v>
      </c>
      <c r="AF69" s="1842">
        <f>AF64</f>
        <v>0</v>
      </c>
      <c r="AG69" s="1843">
        <f>AC72/(1-AE69)</f>
        <v>0</v>
      </c>
      <c r="AH69" s="1843">
        <f>AG69*$F$6</f>
        <v>0</v>
      </c>
      <c r="AI69" s="906">
        <f>AI68</f>
        <v>0</v>
      </c>
      <c r="AJ69" s="29">
        <f>AJ68</f>
        <v>0</v>
      </c>
      <c r="AK69" s="29">
        <f>AI69*AJ69</f>
        <v>0</v>
      </c>
      <c r="AL69" s="1836">
        <f>AK70*$I$7</f>
        <v>0</v>
      </c>
      <c r="AM69" s="1837">
        <f>AM64</f>
        <v>0</v>
      </c>
      <c r="AN69" s="1838">
        <f>AN64</f>
        <v>0</v>
      </c>
      <c r="AO69" s="1839">
        <f>AK72/(1-AM69)</f>
        <v>0</v>
      </c>
      <c r="AP69" s="1839">
        <f>AO69*$F$7</f>
        <v>0</v>
      </c>
      <c r="AQ69" s="907">
        <f>AQ68</f>
        <v>0</v>
      </c>
      <c r="AR69" s="902">
        <f>AR68</f>
        <v>0</v>
      </c>
      <c r="AS69" s="902">
        <f>AQ69*AR69</f>
        <v>0</v>
      </c>
      <c r="AT69" s="1840">
        <f>AS70*$I$8</f>
        <v>0</v>
      </c>
      <c r="AU69" s="1841">
        <f>AU64</f>
        <v>0</v>
      </c>
      <c r="AV69" s="1842">
        <f>AV64</f>
        <v>0</v>
      </c>
      <c r="AW69" s="1843">
        <f>AS72/(1-AU69)</f>
        <v>0</v>
      </c>
      <c r="AX69" s="1843">
        <f>AW69*$F$8</f>
        <v>0</v>
      </c>
      <c r="AY69" s="906">
        <f>AY68</f>
        <v>0</v>
      </c>
      <c r="AZ69" s="29">
        <f>AZ68</f>
        <v>0</v>
      </c>
      <c r="BA69" s="29">
        <f>AY69*AZ69</f>
        <v>0</v>
      </c>
      <c r="BB69" s="1836">
        <f>BA70*$I$9</f>
        <v>0</v>
      </c>
      <c r="BC69" s="1837">
        <f>BC64</f>
        <v>0</v>
      </c>
      <c r="BD69" s="1838">
        <f>BD64</f>
        <v>0</v>
      </c>
      <c r="BE69" s="1839">
        <f>BA72/(1-BC69)</f>
        <v>0</v>
      </c>
      <c r="BF69" s="1839">
        <f>BE69*$F$9</f>
        <v>0</v>
      </c>
      <c r="BG69" s="907">
        <f>BG68</f>
        <v>0</v>
      </c>
      <c r="BH69" s="902">
        <f>BH68</f>
        <v>0</v>
      </c>
      <c r="BI69" s="902">
        <f>BG69*BH69</f>
        <v>0</v>
      </c>
      <c r="BJ69" s="1840">
        <f>BI70*$I$10</f>
        <v>0</v>
      </c>
      <c r="BK69" s="1841">
        <f>BK64</f>
        <v>0</v>
      </c>
      <c r="BL69" s="1842">
        <f>BL64</f>
        <v>0</v>
      </c>
      <c r="BM69" s="1843">
        <f>BI72/(1-BK69)</f>
        <v>0</v>
      </c>
      <c r="BN69" s="1843">
        <f>BM69*$F$10</f>
        <v>0</v>
      </c>
      <c r="BO69" s="906">
        <f>BO68</f>
        <v>0</v>
      </c>
      <c r="BP69" s="29">
        <f>BP68</f>
        <v>0</v>
      </c>
      <c r="BQ69" s="29">
        <f>BO69*BP69</f>
        <v>0</v>
      </c>
      <c r="BR69" s="1836">
        <f>BQ70*$I$11</f>
        <v>0</v>
      </c>
      <c r="BS69" s="1837">
        <f>BS64</f>
        <v>0</v>
      </c>
      <c r="BT69" s="1838">
        <f>BT64</f>
        <v>0</v>
      </c>
      <c r="BU69" s="1839">
        <f>BQ72/(1-BS69)</f>
        <v>0</v>
      </c>
      <c r="BV69" s="1839">
        <f>BU69*$F$11</f>
        <v>0</v>
      </c>
      <c r="BW69" s="907">
        <f>BW68</f>
        <v>0</v>
      </c>
      <c r="BX69" s="902">
        <f>BX68</f>
        <v>0</v>
      </c>
      <c r="BY69" s="902">
        <f>BW69*BX69</f>
        <v>0</v>
      </c>
      <c r="BZ69" s="1840">
        <f>BY70*$I$12</f>
        <v>0</v>
      </c>
      <c r="CA69" s="1841">
        <f>CA64</f>
        <v>0</v>
      </c>
      <c r="CB69" s="1842">
        <f>CB64</f>
        <v>0</v>
      </c>
      <c r="CC69" s="1843">
        <f>BY72/(1-CA69)</f>
        <v>0</v>
      </c>
      <c r="CD69" s="1843">
        <f>CC69*$F$12</f>
        <v>0</v>
      </c>
      <c r="CE69" s="906">
        <f>CE68</f>
        <v>0</v>
      </c>
      <c r="CF69" s="29">
        <f>CF68</f>
        <v>0</v>
      </c>
      <c r="CG69" s="29">
        <f>CE69*CF69</f>
        <v>0</v>
      </c>
      <c r="CH69" s="1836">
        <f>CG70*$I$13</f>
        <v>0</v>
      </c>
      <c r="CI69" s="1837">
        <f>CI64</f>
        <v>0</v>
      </c>
      <c r="CJ69" s="1838">
        <f>CJ64</f>
        <v>0</v>
      </c>
      <c r="CK69" s="1839">
        <f>CG72/(1-CI69)</f>
        <v>0</v>
      </c>
      <c r="CL69" s="1839">
        <f>CK69*$F$13</f>
        <v>0</v>
      </c>
      <c r="CM69" s="907">
        <f>CM68</f>
        <v>0</v>
      </c>
      <c r="CN69" s="902">
        <f>CN68</f>
        <v>0</v>
      </c>
      <c r="CO69" s="902">
        <f>CM69*CN69</f>
        <v>0</v>
      </c>
      <c r="CP69" s="1840">
        <f>CO70*$I$14</f>
        <v>0</v>
      </c>
      <c r="CQ69" s="1841">
        <f>CQ64</f>
        <v>0</v>
      </c>
      <c r="CR69" s="1842">
        <f>CR64</f>
        <v>0</v>
      </c>
      <c r="CS69" s="1843">
        <f>CO72/(1-CQ69)</f>
        <v>0</v>
      </c>
      <c r="CT69" s="1843">
        <f>CS69*$F$14</f>
        <v>0</v>
      </c>
      <c r="CU69" s="1844">
        <f>E70+M70+U70+AC70+AK70+AS70+BA70+BI70+BQ70+BY70+CG70+CO70</f>
        <v>0</v>
      </c>
      <c r="CV69" s="1844">
        <f>CP69+CH69+BZ69+BR69+BJ69+BB69+AT69+AL69+AD69+V69+N69+F69</f>
        <v>0</v>
      </c>
      <c r="CW69" s="1845">
        <f>I69+Q69+Y69+AG69+AO69+AW69+BE69+BM69+BU69+CC69+CK69+CS69</f>
        <v>0</v>
      </c>
      <c r="CX69" s="1844">
        <f>CT69+CL69+CD69+BV69+BN69+BF69+AX69+AP69+AH69+Z69+R69+J69</f>
        <v>0</v>
      </c>
      <c r="CY69" s="1845">
        <f>CZ64</f>
        <v>0</v>
      </c>
      <c r="CZ69" s="1845">
        <f>E73+M73+U73+AC73+AK73+AS73+BA73+BI73+BQ73+BY73+CG73+CO73</f>
        <v>0</v>
      </c>
      <c r="DA69" s="1845">
        <f>CZ69-CY69</f>
        <v>0</v>
      </c>
      <c r="DB69" s="914"/>
    </row>
    <row r="70" spans="1:106" x14ac:dyDescent="0.3">
      <c r="A70" s="1835"/>
      <c r="B70" s="108" t="s">
        <v>310</v>
      </c>
      <c r="C70" s="898">
        <f>C65</f>
        <v>0</v>
      </c>
      <c r="D70" s="899">
        <f>D65</f>
        <v>0</v>
      </c>
      <c r="E70" s="29">
        <f>C70*D70</f>
        <v>0</v>
      </c>
      <c r="F70" s="1836"/>
      <c r="G70" s="1837"/>
      <c r="H70" s="1838"/>
      <c r="I70" s="1839"/>
      <c r="J70" s="1839"/>
      <c r="K70" s="900">
        <f>K65</f>
        <v>0</v>
      </c>
      <c r="L70" s="901">
        <f>L65</f>
        <v>0</v>
      </c>
      <c r="M70" s="902">
        <f>K70*L70</f>
        <v>0</v>
      </c>
      <c r="N70" s="1840"/>
      <c r="O70" s="1841"/>
      <c r="P70" s="1842"/>
      <c r="Q70" s="1843"/>
      <c r="R70" s="1843"/>
      <c r="S70" s="898">
        <f>S65</f>
        <v>0</v>
      </c>
      <c r="T70" s="899">
        <f>T65</f>
        <v>0</v>
      </c>
      <c r="U70" s="29">
        <f>S70*T70</f>
        <v>0</v>
      </c>
      <c r="V70" s="1836"/>
      <c r="W70" s="1837"/>
      <c r="X70" s="1838"/>
      <c r="Y70" s="1839"/>
      <c r="Z70" s="1839"/>
      <c r="AA70" s="900">
        <f>AA65</f>
        <v>0</v>
      </c>
      <c r="AB70" s="901">
        <f>AB65</f>
        <v>0</v>
      </c>
      <c r="AC70" s="902">
        <f>AA70*AB70</f>
        <v>0</v>
      </c>
      <c r="AD70" s="1840"/>
      <c r="AE70" s="1841"/>
      <c r="AF70" s="1842"/>
      <c r="AG70" s="1843"/>
      <c r="AH70" s="1843"/>
      <c r="AI70" s="898">
        <f>AI65</f>
        <v>0</v>
      </c>
      <c r="AJ70" s="899">
        <f>AJ65</f>
        <v>0</v>
      </c>
      <c r="AK70" s="29">
        <f>AI70*AJ70</f>
        <v>0</v>
      </c>
      <c r="AL70" s="1836"/>
      <c r="AM70" s="1837"/>
      <c r="AN70" s="1838"/>
      <c r="AO70" s="1839"/>
      <c r="AP70" s="1839"/>
      <c r="AQ70" s="900">
        <f>AQ65</f>
        <v>0</v>
      </c>
      <c r="AR70" s="901">
        <f>AR65</f>
        <v>0</v>
      </c>
      <c r="AS70" s="902">
        <f>AQ70*AR70</f>
        <v>0</v>
      </c>
      <c r="AT70" s="1840"/>
      <c r="AU70" s="1841"/>
      <c r="AV70" s="1842"/>
      <c r="AW70" s="1843"/>
      <c r="AX70" s="1843"/>
      <c r="AY70" s="898">
        <f>AY65</f>
        <v>0</v>
      </c>
      <c r="AZ70" s="899">
        <f>AZ65</f>
        <v>0</v>
      </c>
      <c r="BA70" s="29">
        <f>AY70*AZ70</f>
        <v>0</v>
      </c>
      <c r="BB70" s="1836"/>
      <c r="BC70" s="1837"/>
      <c r="BD70" s="1838"/>
      <c r="BE70" s="1839"/>
      <c r="BF70" s="1839"/>
      <c r="BG70" s="900">
        <f>BG65</f>
        <v>0</v>
      </c>
      <c r="BH70" s="901">
        <f>BH65</f>
        <v>0</v>
      </c>
      <c r="BI70" s="902">
        <f>BG70*BH70</f>
        <v>0</v>
      </c>
      <c r="BJ70" s="1840"/>
      <c r="BK70" s="1841"/>
      <c r="BL70" s="1842"/>
      <c r="BM70" s="1843"/>
      <c r="BN70" s="1843"/>
      <c r="BO70" s="898">
        <f>BO65</f>
        <v>0</v>
      </c>
      <c r="BP70" s="899">
        <f>BP65</f>
        <v>0</v>
      </c>
      <c r="BQ70" s="29">
        <f>BO70*BP70</f>
        <v>0</v>
      </c>
      <c r="BR70" s="1836"/>
      <c r="BS70" s="1837"/>
      <c r="BT70" s="1838"/>
      <c r="BU70" s="1839"/>
      <c r="BV70" s="1839"/>
      <c r="BW70" s="900">
        <f>BW65</f>
        <v>0</v>
      </c>
      <c r="BX70" s="901">
        <f>BX65</f>
        <v>0</v>
      </c>
      <c r="BY70" s="902">
        <f>BW70*BX70</f>
        <v>0</v>
      </c>
      <c r="BZ70" s="1840"/>
      <c r="CA70" s="1841"/>
      <c r="CB70" s="1842"/>
      <c r="CC70" s="1843"/>
      <c r="CD70" s="1843"/>
      <c r="CE70" s="898">
        <f>CE65</f>
        <v>0</v>
      </c>
      <c r="CF70" s="899">
        <f>CF65</f>
        <v>0</v>
      </c>
      <c r="CG70" s="29">
        <f>CE70*CF70</f>
        <v>0</v>
      </c>
      <c r="CH70" s="1836"/>
      <c r="CI70" s="1837"/>
      <c r="CJ70" s="1838"/>
      <c r="CK70" s="1839"/>
      <c r="CL70" s="1839"/>
      <c r="CM70" s="900">
        <f>CM65</f>
        <v>0</v>
      </c>
      <c r="CN70" s="901">
        <f>CN65</f>
        <v>0</v>
      </c>
      <c r="CO70" s="902">
        <f>CM70*CN70</f>
        <v>0</v>
      </c>
      <c r="CP70" s="1840"/>
      <c r="CQ70" s="1841"/>
      <c r="CR70" s="1842"/>
      <c r="CS70" s="1843"/>
      <c r="CT70" s="1843"/>
      <c r="CU70" s="1844"/>
      <c r="CV70" s="1844"/>
      <c r="CW70" s="1845"/>
      <c r="CX70" s="1844"/>
      <c r="CY70" s="1845"/>
      <c r="CZ70" s="1845"/>
      <c r="DA70" s="1845"/>
      <c r="DB70" s="912"/>
    </row>
    <row r="71" spans="1:106" ht="12.75" hidden="1" customHeight="1" x14ac:dyDescent="0.3">
      <c r="A71" s="1835"/>
      <c r="B71" s="108" t="s">
        <v>315</v>
      </c>
      <c r="C71" s="906">
        <f>C70+C69</f>
        <v>0</v>
      </c>
      <c r="D71" s="29">
        <f>IF(C71=0,0,E71/C71)</f>
        <v>0</v>
      </c>
      <c r="E71" s="29">
        <f>E70+E69</f>
        <v>0</v>
      </c>
      <c r="F71" s="1836"/>
      <c r="G71" s="1837"/>
      <c r="H71" s="1838"/>
      <c r="I71" s="1839"/>
      <c r="J71" s="1839"/>
      <c r="K71" s="907">
        <f>K70+K69</f>
        <v>0</v>
      </c>
      <c r="L71" s="902">
        <f>IF(K71=0,0,M71/K71)</f>
        <v>0</v>
      </c>
      <c r="M71" s="902">
        <f>M70+M69</f>
        <v>0</v>
      </c>
      <c r="N71" s="1840"/>
      <c r="O71" s="1841"/>
      <c r="P71" s="1842"/>
      <c r="Q71" s="1843"/>
      <c r="R71" s="1843"/>
      <c r="S71" s="906">
        <f>S70+S69</f>
        <v>0</v>
      </c>
      <c r="T71" s="29">
        <f>IF(S71=0,0,U71/S71)</f>
        <v>0</v>
      </c>
      <c r="U71" s="29">
        <f>U70+U69</f>
        <v>0</v>
      </c>
      <c r="V71" s="1836"/>
      <c r="W71" s="1837"/>
      <c r="X71" s="1838"/>
      <c r="Y71" s="1839"/>
      <c r="Z71" s="1839"/>
      <c r="AA71" s="907">
        <f>AA70+AA69</f>
        <v>0</v>
      </c>
      <c r="AB71" s="902">
        <f>IF(AA71=0,0,AC71/AA71)</f>
        <v>0</v>
      </c>
      <c r="AC71" s="902">
        <f>AC70+AC69</f>
        <v>0</v>
      </c>
      <c r="AD71" s="1840"/>
      <c r="AE71" s="1841"/>
      <c r="AF71" s="1842"/>
      <c r="AG71" s="1843"/>
      <c r="AH71" s="1843"/>
      <c r="AI71" s="906">
        <f>AI70+AI69</f>
        <v>0</v>
      </c>
      <c r="AJ71" s="29">
        <f>IF(AI71=0,0,AK71/AI71)</f>
        <v>0</v>
      </c>
      <c r="AK71" s="29">
        <f>AK70+AK69</f>
        <v>0</v>
      </c>
      <c r="AL71" s="1836"/>
      <c r="AM71" s="1837"/>
      <c r="AN71" s="1838"/>
      <c r="AO71" s="1839"/>
      <c r="AP71" s="1839"/>
      <c r="AQ71" s="907">
        <f>AQ70+AQ69</f>
        <v>0</v>
      </c>
      <c r="AR71" s="902">
        <f>IF(AQ71=0,0,AS71/AQ71)</f>
        <v>0</v>
      </c>
      <c r="AS71" s="902">
        <f>AS70+AS69</f>
        <v>0</v>
      </c>
      <c r="AT71" s="1840"/>
      <c r="AU71" s="1841"/>
      <c r="AV71" s="1842"/>
      <c r="AW71" s="1843"/>
      <c r="AX71" s="1843"/>
      <c r="AY71" s="906">
        <f>AY70+AY69</f>
        <v>0</v>
      </c>
      <c r="AZ71" s="29">
        <f>IF(AY71=0,0,BA71/AY71)</f>
        <v>0</v>
      </c>
      <c r="BA71" s="29">
        <f>BA70+BA69</f>
        <v>0</v>
      </c>
      <c r="BB71" s="1836"/>
      <c r="BC71" s="1837"/>
      <c r="BD71" s="1838"/>
      <c r="BE71" s="1839"/>
      <c r="BF71" s="1839"/>
      <c r="BG71" s="907">
        <f>BG70+BG69</f>
        <v>0</v>
      </c>
      <c r="BH71" s="902">
        <f>IF(BG71=0,0,BI71/BG71)</f>
        <v>0</v>
      </c>
      <c r="BI71" s="902">
        <f>BI70+BI69</f>
        <v>0</v>
      </c>
      <c r="BJ71" s="1840"/>
      <c r="BK71" s="1841"/>
      <c r="BL71" s="1842"/>
      <c r="BM71" s="1843"/>
      <c r="BN71" s="1843"/>
      <c r="BO71" s="906">
        <f>BO70+BO69</f>
        <v>0</v>
      </c>
      <c r="BP71" s="29">
        <f>IF(BO71=0,0,BQ71/BO71)</f>
        <v>0</v>
      </c>
      <c r="BQ71" s="29">
        <f>BQ70+BQ69</f>
        <v>0</v>
      </c>
      <c r="BR71" s="1836"/>
      <c r="BS71" s="1837"/>
      <c r="BT71" s="1838"/>
      <c r="BU71" s="1839"/>
      <c r="BV71" s="1839"/>
      <c r="BW71" s="907">
        <f>BW70+BW69</f>
        <v>0</v>
      </c>
      <c r="BX71" s="902">
        <f>IF(BW71=0,0,BY71/BW71)</f>
        <v>0</v>
      </c>
      <c r="BY71" s="902">
        <f>BY70+BY69</f>
        <v>0</v>
      </c>
      <c r="BZ71" s="1840"/>
      <c r="CA71" s="1841"/>
      <c r="CB71" s="1842"/>
      <c r="CC71" s="1843"/>
      <c r="CD71" s="1843"/>
      <c r="CE71" s="906">
        <f>CE70+CE69</f>
        <v>0</v>
      </c>
      <c r="CF71" s="29">
        <f>IF(CE71=0,0,CG71/CE71)</f>
        <v>0</v>
      </c>
      <c r="CG71" s="29">
        <f>CG70+CG69</f>
        <v>0</v>
      </c>
      <c r="CH71" s="1836"/>
      <c r="CI71" s="1837"/>
      <c r="CJ71" s="1838"/>
      <c r="CK71" s="1839"/>
      <c r="CL71" s="1839"/>
      <c r="CM71" s="907">
        <f>CM70+CM69</f>
        <v>0</v>
      </c>
      <c r="CN71" s="902">
        <f>IF(CM71=0,0,CO71/CM71)</f>
        <v>0</v>
      </c>
      <c r="CO71" s="902">
        <f>CO70+CO69</f>
        <v>0</v>
      </c>
      <c r="CP71" s="1840"/>
      <c r="CQ71" s="1841"/>
      <c r="CR71" s="1842"/>
      <c r="CS71" s="1843"/>
      <c r="CT71" s="1843"/>
      <c r="CU71" s="1844"/>
      <c r="CV71" s="1844"/>
      <c r="CW71" s="1845"/>
      <c r="CX71" s="1844"/>
      <c r="CY71" s="1845"/>
      <c r="CZ71" s="1845"/>
      <c r="DA71" s="1845"/>
      <c r="DB71" s="912"/>
    </row>
    <row r="72" spans="1:106" x14ac:dyDescent="0.3">
      <c r="A72" s="1835"/>
      <c r="B72" s="108" t="s">
        <v>312</v>
      </c>
      <c r="C72" s="906">
        <f>H69*C71</f>
        <v>0</v>
      </c>
      <c r="D72" s="29">
        <f>D71</f>
        <v>0</v>
      </c>
      <c r="E72" s="29">
        <f>C72*D72</f>
        <v>0</v>
      </c>
      <c r="F72" s="1836"/>
      <c r="G72" s="1837"/>
      <c r="H72" s="1838"/>
      <c r="I72" s="1839"/>
      <c r="J72" s="1839"/>
      <c r="K72" s="907">
        <f>P69*K71</f>
        <v>0</v>
      </c>
      <c r="L72" s="902">
        <f>L71</f>
        <v>0</v>
      </c>
      <c r="M72" s="902">
        <f>K72*L72</f>
        <v>0</v>
      </c>
      <c r="N72" s="1840"/>
      <c r="O72" s="1841"/>
      <c r="P72" s="1842"/>
      <c r="Q72" s="1843"/>
      <c r="R72" s="1843"/>
      <c r="S72" s="906">
        <f>X69*S71</f>
        <v>0</v>
      </c>
      <c r="T72" s="29">
        <f>T71</f>
        <v>0</v>
      </c>
      <c r="U72" s="29">
        <f>S72*T72</f>
        <v>0</v>
      </c>
      <c r="V72" s="1836"/>
      <c r="W72" s="1837"/>
      <c r="X72" s="1838"/>
      <c r="Y72" s="1839"/>
      <c r="Z72" s="1839"/>
      <c r="AA72" s="907">
        <f>AF69*AA71</f>
        <v>0</v>
      </c>
      <c r="AB72" s="902">
        <f>AB71</f>
        <v>0</v>
      </c>
      <c r="AC72" s="902">
        <f>AA72*AB72</f>
        <v>0</v>
      </c>
      <c r="AD72" s="1840"/>
      <c r="AE72" s="1841"/>
      <c r="AF72" s="1842"/>
      <c r="AG72" s="1843"/>
      <c r="AH72" s="1843"/>
      <c r="AI72" s="906">
        <f>AN69*AI71</f>
        <v>0</v>
      </c>
      <c r="AJ72" s="29">
        <f>AJ71</f>
        <v>0</v>
      </c>
      <c r="AK72" s="29">
        <f>AI72*AJ72</f>
        <v>0</v>
      </c>
      <c r="AL72" s="1836"/>
      <c r="AM72" s="1837"/>
      <c r="AN72" s="1838"/>
      <c r="AO72" s="1839"/>
      <c r="AP72" s="1839"/>
      <c r="AQ72" s="907">
        <f>AV69*AQ71</f>
        <v>0</v>
      </c>
      <c r="AR72" s="902">
        <f>AR71</f>
        <v>0</v>
      </c>
      <c r="AS72" s="902">
        <f>AQ72*AR72</f>
        <v>0</v>
      </c>
      <c r="AT72" s="1840"/>
      <c r="AU72" s="1841"/>
      <c r="AV72" s="1842"/>
      <c r="AW72" s="1843"/>
      <c r="AX72" s="1843"/>
      <c r="AY72" s="906">
        <f>BD69*AY71</f>
        <v>0</v>
      </c>
      <c r="AZ72" s="29">
        <f>AZ71</f>
        <v>0</v>
      </c>
      <c r="BA72" s="29">
        <f>AY72*AZ72</f>
        <v>0</v>
      </c>
      <c r="BB72" s="1836"/>
      <c r="BC72" s="1837"/>
      <c r="BD72" s="1838"/>
      <c r="BE72" s="1839"/>
      <c r="BF72" s="1839"/>
      <c r="BG72" s="907">
        <f>BL69*BG71</f>
        <v>0</v>
      </c>
      <c r="BH72" s="902">
        <f>BH71</f>
        <v>0</v>
      </c>
      <c r="BI72" s="902">
        <f>BG72*BH72</f>
        <v>0</v>
      </c>
      <c r="BJ72" s="1840"/>
      <c r="BK72" s="1841"/>
      <c r="BL72" s="1842"/>
      <c r="BM72" s="1843"/>
      <c r="BN72" s="1843"/>
      <c r="BO72" s="906">
        <f>BT69*BO71</f>
        <v>0</v>
      </c>
      <c r="BP72" s="29">
        <f>BP71</f>
        <v>0</v>
      </c>
      <c r="BQ72" s="29">
        <f>BO72*BP72</f>
        <v>0</v>
      </c>
      <c r="BR72" s="1836"/>
      <c r="BS72" s="1837"/>
      <c r="BT72" s="1838"/>
      <c r="BU72" s="1839"/>
      <c r="BV72" s="1839"/>
      <c r="BW72" s="907">
        <f>CB69*BW71</f>
        <v>0</v>
      </c>
      <c r="BX72" s="902">
        <f>BX71</f>
        <v>0</v>
      </c>
      <c r="BY72" s="902">
        <f>BW72*BX72</f>
        <v>0</v>
      </c>
      <c r="BZ72" s="1840"/>
      <c r="CA72" s="1841"/>
      <c r="CB72" s="1842"/>
      <c r="CC72" s="1843"/>
      <c r="CD72" s="1843"/>
      <c r="CE72" s="906">
        <f>CJ69*CE71</f>
        <v>0</v>
      </c>
      <c r="CF72" s="29">
        <f>CF71</f>
        <v>0</v>
      </c>
      <c r="CG72" s="29">
        <f>CE72*CF72</f>
        <v>0</v>
      </c>
      <c r="CH72" s="1836"/>
      <c r="CI72" s="1837"/>
      <c r="CJ72" s="1838"/>
      <c r="CK72" s="1839"/>
      <c r="CL72" s="1839"/>
      <c r="CM72" s="907">
        <f>CR69*CM71</f>
        <v>0</v>
      </c>
      <c r="CN72" s="902">
        <f>CN71</f>
        <v>0</v>
      </c>
      <c r="CO72" s="902">
        <f>CM72*CN72</f>
        <v>0</v>
      </c>
      <c r="CP72" s="1840"/>
      <c r="CQ72" s="1841"/>
      <c r="CR72" s="1842"/>
      <c r="CS72" s="1843"/>
      <c r="CT72" s="1843"/>
      <c r="CU72" s="1844"/>
      <c r="CV72" s="1844"/>
      <c r="CW72" s="1845"/>
      <c r="CX72" s="1844"/>
      <c r="CY72" s="1845"/>
      <c r="CZ72" s="1845"/>
      <c r="DA72" s="1845"/>
      <c r="DB72" s="912"/>
    </row>
    <row r="73" spans="1:106" x14ac:dyDescent="0.3">
      <c r="A73" s="1835"/>
      <c r="B73" s="108" t="s">
        <v>254</v>
      </c>
      <c r="C73" s="906">
        <f>C69+C70-C72</f>
        <v>0</v>
      </c>
      <c r="D73" s="29">
        <f>D72</f>
        <v>0</v>
      </c>
      <c r="E73" s="29">
        <f>D73*C73</f>
        <v>0</v>
      </c>
      <c r="F73" s="1836"/>
      <c r="G73" s="1837"/>
      <c r="H73" s="1838"/>
      <c r="I73" s="1839"/>
      <c r="J73" s="1839"/>
      <c r="K73" s="907">
        <f>K69+K70-K72</f>
        <v>0</v>
      </c>
      <c r="L73" s="902">
        <f>L72</f>
        <v>0</v>
      </c>
      <c r="M73" s="902">
        <f>L73*K73</f>
        <v>0</v>
      </c>
      <c r="N73" s="1840"/>
      <c r="O73" s="1841"/>
      <c r="P73" s="1842"/>
      <c r="Q73" s="1843"/>
      <c r="R73" s="1843"/>
      <c r="S73" s="906">
        <f>S69+S70-S72</f>
        <v>0</v>
      </c>
      <c r="T73" s="29">
        <f>T72</f>
        <v>0</v>
      </c>
      <c r="U73" s="29">
        <f>T73*S73</f>
        <v>0</v>
      </c>
      <c r="V73" s="1836"/>
      <c r="W73" s="1837"/>
      <c r="X73" s="1838"/>
      <c r="Y73" s="1839"/>
      <c r="Z73" s="1839"/>
      <c r="AA73" s="907">
        <f>AA69+AA70-AA72</f>
        <v>0</v>
      </c>
      <c r="AB73" s="902">
        <f>AB72</f>
        <v>0</v>
      </c>
      <c r="AC73" s="902">
        <f>AB73*AA73</f>
        <v>0</v>
      </c>
      <c r="AD73" s="1840"/>
      <c r="AE73" s="1841"/>
      <c r="AF73" s="1842"/>
      <c r="AG73" s="1843"/>
      <c r="AH73" s="1843"/>
      <c r="AI73" s="906">
        <f>AI69+AI70-AI72</f>
        <v>0</v>
      </c>
      <c r="AJ73" s="29">
        <f>AJ72</f>
        <v>0</v>
      </c>
      <c r="AK73" s="29">
        <f>AJ73*AI73</f>
        <v>0</v>
      </c>
      <c r="AL73" s="1836"/>
      <c r="AM73" s="1837"/>
      <c r="AN73" s="1838"/>
      <c r="AO73" s="1839"/>
      <c r="AP73" s="1839"/>
      <c r="AQ73" s="907">
        <f>AQ69+AQ70-AQ72</f>
        <v>0</v>
      </c>
      <c r="AR73" s="902">
        <f>AR72</f>
        <v>0</v>
      </c>
      <c r="AS73" s="902">
        <f>AR73*AQ73</f>
        <v>0</v>
      </c>
      <c r="AT73" s="1840"/>
      <c r="AU73" s="1841"/>
      <c r="AV73" s="1842"/>
      <c r="AW73" s="1843"/>
      <c r="AX73" s="1843"/>
      <c r="AY73" s="906">
        <f>AY69+AY70-AY72</f>
        <v>0</v>
      </c>
      <c r="AZ73" s="29">
        <f>AZ72</f>
        <v>0</v>
      </c>
      <c r="BA73" s="29">
        <f>AZ73*AY73</f>
        <v>0</v>
      </c>
      <c r="BB73" s="1836"/>
      <c r="BC73" s="1837"/>
      <c r="BD73" s="1838"/>
      <c r="BE73" s="1839"/>
      <c r="BF73" s="1839"/>
      <c r="BG73" s="907">
        <f>BG69+BG70-BG72</f>
        <v>0</v>
      </c>
      <c r="BH73" s="902">
        <f>BH72</f>
        <v>0</v>
      </c>
      <c r="BI73" s="902">
        <f>BH73*BG73</f>
        <v>0</v>
      </c>
      <c r="BJ73" s="1840"/>
      <c r="BK73" s="1841"/>
      <c r="BL73" s="1842"/>
      <c r="BM73" s="1843"/>
      <c r="BN73" s="1843"/>
      <c r="BO73" s="906">
        <f>BO69+BO70-BO72</f>
        <v>0</v>
      </c>
      <c r="BP73" s="29">
        <f>BP72</f>
        <v>0</v>
      </c>
      <c r="BQ73" s="29">
        <f>BP73*BO73</f>
        <v>0</v>
      </c>
      <c r="BR73" s="1836"/>
      <c r="BS73" s="1837"/>
      <c r="BT73" s="1838"/>
      <c r="BU73" s="1839"/>
      <c r="BV73" s="1839"/>
      <c r="BW73" s="907">
        <f>BW69+BW70-BW72</f>
        <v>0</v>
      </c>
      <c r="BX73" s="902">
        <f>BX72</f>
        <v>0</v>
      </c>
      <c r="BY73" s="902">
        <f>BX73*BW73</f>
        <v>0</v>
      </c>
      <c r="BZ73" s="1840"/>
      <c r="CA73" s="1841"/>
      <c r="CB73" s="1842"/>
      <c r="CC73" s="1843"/>
      <c r="CD73" s="1843"/>
      <c r="CE73" s="906">
        <f>CE69+CE70-CE72</f>
        <v>0</v>
      </c>
      <c r="CF73" s="29">
        <f>CF72</f>
        <v>0</v>
      </c>
      <c r="CG73" s="29">
        <f>CF73*CE73</f>
        <v>0</v>
      </c>
      <c r="CH73" s="1836"/>
      <c r="CI73" s="1837"/>
      <c r="CJ73" s="1838"/>
      <c r="CK73" s="1839"/>
      <c r="CL73" s="1839"/>
      <c r="CM73" s="907">
        <f>CM69+CM70-CM72</f>
        <v>0</v>
      </c>
      <c r="CN73" s="902">
        <f>CN72</f>
        <v>0</v>
      </c>
      <c r="CO73" s="902">
        <f>CN73*CM73</f>
        <v>0</v>
      </c>
      <c r="CP73" s="1840"/>
      <c r="CQ73" s="1841"/>
      <c r="CR73" s="1842"/>
      <c r="CS73" s="1843"/>
      <c r="CT73" s="1843"/>
      <c r="CU73" s="1844"/>
      <c r="CV73" s="1844"/>
      <c r="CW73" s="1845"/>
      <c r="CX73" s="1844"/>
      <c r="CY73" s="1845"/>
      <c r="CZ73" s="1845"/>
      <c r="DA73" s="1845"/>
      <c r="DB73" s="912"/>
    </row>
    <row r="74" spans="1:106" x14ac:dyDescent="0.3">
      <c r="A74" s="1835" t="str">
        <f>TRIBUTS!K12</f>
        <v>DESEMBRE</v>
      </c>
      <c r="B74" s="108" t="s">
        <v>255</v>
      </c>
      <c r="C74" s="906">
        <f>C73</f>
        <v>0</v>
      </c>
      <c r="D74" s="29">
        <f>D73</f>
        <v>0</v>
      </c>
      <c r="E74" s="29">
        <f>C74*D74</f>
        <v>0</v>
      </c>
      <c r="F74" s="1836">
        <f>E75*$I$3</f>
        <v>0</v>
      </c>
      <c r="G74" s="1837">
        <f>G69</f>
        <v>0</v>
      </c>
      <c r="H74" s="1838">
        <f>H69</f>
        <v>0</v>
      </c>
      <c r="I74" s="1839">
        <f>E77/(1-G74)</f>
        <v>0</v>
      </c>
      <c r="J74" s="1839">
        <f>I74*$F$3</f>
        <v>0</v>
      </c>
      <c r="K74" s="907">
        <f>K73</f>
        <v>0</v>
      </c>
      <c r="L74" s="902">
        <f>L73</f>
        <v>0</v>
      </c>
      <c r="M74" s="902">
        <f>K74*L74</f>
        <v>0</v>
      </c>
      <c r="N74" s="1840">
        <f>M75*$I$4</f>
        <v>0</v>
      </c>
      <c r="O74" s="1841">
        <f>O69</f>
        <v>0</v>
      </c>
      <c r="P74" s="1842">
        <f>P69</f>
        <v>0</v>
      </c>
      <c r="Q74" s="1843">
        <f>M77/(1-O74)</f>
        <v>0</v>
      </c>
      <c r="R74" s="1843">
        <f>Q74*$F$4</f>
        <v>0</v>
      </c>
      <c r="S74" s="906">
        <f>S73</f>
        <v>0</v>
      </c>
      <c r="T74" s="29">
        <f>T73</f>
        <v>0</v>
      </c>
      <c r="U74" s="29">
        <f>S74*T74</f>
        <v>0</v>
      </c>
      <c r="V74" s="1836">
        <f>U75*$I$5</f>
        <v>0</v>
      </c>
      <c r="W74" s="1837">
        <f>W69</f>
        <v>0</v>
      </c>
      <c r="X74" s="1838">
        <f>X69</f>
        <v>0</v>
      </c>
      <c r="Y74" s="1839">
        <f>U77/(1-W74)</f>
        <v>0</v>
      </c>
      <c r="Z74" s="1839">
        <f>Y74*$F$5</f>
        <v>0</v>
      </c>
      <c r="AA74" s="907">
        <f>AA73</f>
        <v>0</v>
      </c>
      <c r="AB74" s="902">
        <f>AB73</f>
        <v>0</v>
      </c>
      <c r="AC74" s="902">
        <f>AA74*AB74</f>
        <v>0</v>
      </c>
      <c r="AD74" s="1840">
        <f>AC75*$I$6</f>
        <v>0</v>
      </c>
      <c r="AE74" s="1841">
        <f>AE69</f>
        <v>0</v>
      </c>
      <c r="AF74" s="1842">
        <f>AF69</f>
        <v>0</v>
      </c>
      <c r="AG74" s="1843">
        <f>AC77/(1-AE74)</f>
        <v>0</v>
      </c>
      <c r="AH74" s="1843">
        <f>AG74*$F$6</f>
        <v>0</v>
      </c>
      <c r="AI74" s="906">
        <f>AI73</f>
        <v>0</v>
      </c>
      <c r="AJ74" s="29">
        <f>AJ73</f>
        <v>0</v>
      </c>
      <c r="AK74" s="29">
        <f>AI74*AJ74</f>
        <v>0</v>
      </c>
      <c r="AL74" s="1836">
        <f>AK75*$I$7</f>
        <v>0</v>
      </c>
      <c r="AM74" s="1837">
        <f>AM69</f>
        <v>0</v>
      </c>
      <c r="AN74" s="1838">
        <f>AN69</f>
        <v>0</v>
      </c>
      <c r="AO74" s="1839">
        <f>AK77/(1-AM74)</f>
        <v>0</v>
      </c>
      <c r="AP74" s="1839">
        <f>AO74*$F$7</f>
        <v>0</v>
      </c>
      <c r="AQ74" s="907">
        <f>AQ73</f>
        <v>0</v>
      </c>
      <c r="AR74" s="902">
        <f>AR73</f>
        <v>0</v>
      </c>
      <c r="AS74" s="902">
        <f>AQ74*AR74</f>
        <v>0</v>
      </c>
      <c r="AT74" s="1840">
        <f>AS75*$I$8</f>
        <v>0</v>
      </c>
      <c r="AU74" s="1841">
        <f>AU69</f>
        <v>0</v>
      </c>
      <c r="AV74" s="1842">
        <f>AV69</f>
        <v>0</v>
      </c>
      <c r="AW74" s="1843">
        <f>AS77/(1-AU74)</f>
        <v>0</v>
      </c>
      <c r="AX74" s="1843">
        <f>AW74*$F$8</f>
        <v>0</v>
      </c>
      <c r="AY74" s="906">
        <f>AY73</f>
        <v>0</v>
      </c>
      <c r="AZ74" s="29">
        <f>AZ73</f>
        <v>0</v>
      </c>
      <c r="BA74" s="29">
        <f>AY74*AZ74</f>
        <v>0</v>
      </c>
      <c r="BB74" s="1836">
        <f>BA75*$I$9</f>
        <v>0</v>
      </c>
      <c r="BC74" s="1837">
        <f>BC69</f>
        <v>0</v>
      </c>
      <c r="BD74" s="1838">
        <f>BD69</f>
        <v>0</v>
      </c>
      <c r="BE74" s="1839">
        <f>BA77/(1-BC74)</f>
        <v>0</v>
      </c>
      <c r="BF74" s="1839">
        <f>BE74*$F$9</f>
        <v>0</v>
      </c>
      <c r="BG74" s="907">
        <f>BG73</f>
        <v>0</v>
      </c>
      <c r="BH74" s="902">
        <f>BH73</f>
        <v>0</v>
      </c>
      <c r="BI74" s="902">
        <f>BG74*BH74</f>
        <v>0</v>
      </c>
      <c r="BJ74" s="1840">
        <f>BI75*$I$10</f>
        <v>0</v>
      </c>
      <c r="BK74" s="1841">
        <f>BK69</f>
        <v>0</v>
      </c>
      <c r="BL74" s="1842">
        <f>BL69</f>
        <v>0</v>
      </c>
      <c r="BM74" s="1843">
        <f>BI77/(1-BK74)</f>
        <v>0</v>
      </c>
      <c r="BN74" s="1843">
        <f>BM74*$F$10</f>
        <v>0</v>
      </c>
      <c r="BO74" s="906">
        <f>BO73</f>
        <v>0</v>
      </c>
      <c r="BP74" s="29">
        <f>BP73</f>
        <v>0</v>
      </c>
      <c r="BQ74" s="29">
        <f>BO74*BP74</f>
        <v>0</v>
      </c>
      <c r="BR74" s="1836">
        <f>BQ75*$I$11</f>
        <v>0</v>
      </c>
      <c r="BS74" s="1837">
        <f>BS69</f>
        <v>0</v>
      </c>
      <c r="BT74" s="1838">
        <f>BT69</f>
        <v>0</v>
      </c>
      <c r="BU74" s="1839">
        <f>BQ77/(1-BS74)</f>
        <v>0</v>
      </c>
      <c r="BV74" s="1839">
        <f>BU74*$F$11</f>
        <v>0</v>
      </c>
      <c r="BW74" s="907">
        <f>BW73</f>
        <v>0</v>
      </c>
      <c r="BX74" s="902">
        <f>BX73</f>
        <v>0</v>
      </c>
      <c r="BY74" s="902">
        <f>BW74*BX74</f>
        <v>0</v>
      </c>
      <c r="BZ74" s="1840">
        <f>BY75*$I$12</f>
        <v>0</v>
      </c>
      <c r="CA74" s="1841">
        <f>CA69</f>
        <v>0</v>
      </c>
      <c r="CB74" s="1842">
        <f>CB69</f>
        <v>0</v>
      </c>
      <c r="CC74" s="1843">
        <f>BY77/(1-CA74)</f>
        <v>0</v>
      </c>
      <c r="CD74" s="1843">
        <f>CC74*$F$12</f>
        <v>0</v>
      </c>
      <c r="CE74" s="906">
        <f>CE73</f>
        <v>0</v>
      </c>
      <c r="CF74" s="29">
        <f>CF73</f>
        <v>0</v>
      </c>
      <c r="CG74" s="29">
        <f>CE74*CF74</f>
        <v>0</v>
      </c>
      <c r="CH74" s="1836">
        <f>CG75*$I$13</f>
        <v>0</v>
      </c>
      <c r="CI74" s="1837">
        <f>CI69</f>
        <v>0</v>
      </c>
      <c r="CJ74" s="1838">
        <f>CJ69</f>
        <v>0</v>
      </c>
      <c r="CK74" s="1839">
        <f>CG77/(1-CI74)</f>
        <v>0</v>
      </c>
      <c r="CL74" s="1839">
        <f>CK74*$F$13</f>
        <v>0</v>
      </c>
      <c r="CM74" s="907">
        <f>CM73</f>
        <v>0</v>
      </c>
      <c r="CN74" s="902">
        <f>CN73</f>
        <v>0</v>
      </c>
      <c r="CO74" s="902">
        <f>CM74*CN74</f>
        <v>0</v>
      </c>
      <c r="CP74" s="1840">
        <f>CO75*$I$14</f>
        <v>0</v>
      </c>
      <c r="CQ74" s="1841">
        <f>CQ69</f>
        <v>0</v>
      </c>
      <c r="CR74" s="1842">
        <f>CR69</f>
        <v>0</v>
      </c>
      <c r="CS74" s="1843">
        <f>CO77/(1-CQ74)</f>
        <v>0</v>
      </c>
      <c r="CT74" s="1843">
        <f>CS74*$F$14</f>
        <v>0</v>
      </c>
      <c r="CU74" s="1844">
        <f>E75+M75+U75+AC75+AK75+AS75+BA75+BI75+BQ75+BY75+CG75+CO75</f>
        <v>0</v>
      </c>
      <c r="CV74" s="1844">
        <f>CP74+CH74+BZ74+BR74+BJ74+BB74+AT74+AL74+AD74+V74+N74+F74</f>
        <v>0</v>
      </c>
      <c r="CW74" s="1845">
        <f>I74+Q74+Y74+AG74+AO74+AW74+BE74+BM74+BU74+CC74+CK74+CS74</f>
        <v>0</v>
      </c>
      <c r="CX74" s="1844">
        <f>CT74+CL74+CD74+BV74+BN74+BF74+AX74+AP74+AH74+Z74+R74+J74</f>
        <v>0</v>
      </c>
      <c r="CY74" s="1845">
        <f>CZ69</f>
        <v>0</v>
      </c>
      <c r="CZ74" s="1845">
        <f>E78+M78+U78+AC78+AK78+AS78+BA78+BI78+BQ78+BY78+CG78+CO78</f>
        <v>0</v>
      </c>
      <c r="DA74" s="1845">
        <f>CZ74-CY74</f>
        <v>0</v>
      </c>
      <c r="DB74" s="914"/>
    </row>
    <row r="75" spans="1:106" x14ac:dyDescent="0.3">
      <c r="A75" s="1835"/>
      <c r="B75" s="108" t="s">
        <v>310</v>
      </c>
      <c r="C75" s="898">
        <f>C70</f>
        <v>0</v>
      </c>
      <c r="D75" s="899">
        <f>D70</f>
        <v>0</v>
      </c>
      <c r="E75" s="29">
        <f>C75*D75</f>
        <v>0</v>
      </c>
      <c r="F75" s="1836"/>
      <c r="G75" s="1837"/>
      <c r="H75" s="1838"/>
      <c r="I75" s="1839"/>
      <c r="J75" s="1839"/>
      <c r="K75" s="900">
        <f>K70</f>
        <v>0</v>
      </c>
      <c r="L75" s="901">
        <f>L70</f>
        <v>0</v>
      </c>
      <c r="M75" s="902">
        <f>K75*L75</f>
        <v>0</v>
      </c>
      <c r="N75" s="1840"/>
      <c r="O75" s="1841"/>
      <c r="P75" s="1842"/>
      <c r="Q75" s="1843"/>
      <c r="R75" s="1843"/>
      <c r="S75" s="898">
        <f>S70</f>
        <v>0</v>
      </c>
      <c r="T75" s="899">
        <f>T70</f>
        <v>0</v>
      </c>
      <c r="U75" s="29">
        <f>S75*T75</f>
        <v>0</v>
      </c>
      <c r="V75" s="1836"/>
      <c r="W75" s="1837"/>
      <c r="X75" s="1838"/>
      <c r="Y75" s="1839"/>
      <c r="Z75" s="1839"/>
      <c r="AA75" s="900">
        <f>AA70</f>
        <v>0</v>
      </c>
      <c r="AB75" s="901">
        <f>AB70</f>
        <v>0</v>
      </c>
      <c r="AC75" s="902">
        <f>AA75*AB75</f>
        <v>0</v>
      </c>
      <c r="AD75" s="1840"/>
      <c r="AE75" s="1841"/>
      <c r="AF75" s="1842"/>
      <c r="AG75" s="1843"/>
      <c r="AH75" s="1843"/>
      <c r="AI75" s="898">
        <f>AI70</f>
        <v>0</v>
      </c>
      <c r="AJ75" s="899">
        <f>AJ70</f>
        <v>0</v>
      </c>
      <c r="AK75" s="29">
        <f>AI75*AJ75</f>
        <v>0</v>
      </c>
      <c r="AL75" s="1836"/>
      <c r="AM75" s="1837"/>
      <c r="AN75" s="1838"/>
      <c r="AO75" s="1839"/>
      <c r="AP75" s="1839"/>
      <c r="AQ75" s="900">
        <f>AQ70</f>
        <v>0</v>
      </c>
      <c r="AR75" s="901">
        <f>AR70</f>
        <v>0</v>
      </c>
      <c r="AS75" s="902">
        <f>AQ75*AR75</f>
        <v>0</v>
      </c>
      <c r="AT75" s="1840"/>
      <c r="AU75" s="1841"/>
      <c r="AV75" s="1842"/>
      <c r="AW75" s="1843"/>
      <c r="AX75" s="1843"/>
      <c r="AY75" s="898">
        <f>AY70</f>
        <v>0</v>
      </c>
      <c r="AZ75" s="899">
        <f>AZ70</f>
        <v>0</v>
      </c>
      <c r="BA75" s="29">
        <f>AY75*AZ75</f>
        <v>0</v>
      </c>
      <c r="BB75" s="1836"/>
      <c r="BC75" s="1837"/>
      <c r="BD75" s="1838"/>
      <c r="BE75" s="1839"/>
      <c r="BF75" s="1839"/>
      <c r="BG75" s="900">
        <f>BG70</f>
        <v>0</v>
      </c>
      <c r="BH75" s="901">
        <f>BH70</f>
        <v>0</v>
      </c>
      <c r="BI75" s="902">
        <f>BG75*BH75</f>
        <v>0</v>
      </c>
      <c r="BJ75" s="1840"/>
      <c r="BK75" s="1841"/>
      <c r="BL75" s="1842"/>
      <c r="BM75" s="1843"/>
      <c r="BN75" s="1843"/>
      <c r="BO75" s="898">
        <f>BO70</f>
        <v>0</v>
      </c>
      <c r="BP75" s="899">
        <f>BP70</f>
        <v>0</v>
      </c>
      <c r="BQ75" s="29">
        <f>BO75*BP75</f>
        <v>0</v>
      </c>
      <c r="BR75" s="1836"/>
      <c r="BS75" s="1837"/>
      <c r="BT75" s="1838"/>
      <c r="BU75" s="1839"/>
      <c r="BV75" s="1839"/>
      <c r="BW75" s="900">
        <f>BW70</f>
        <v>0</v>
      </c>
      <c r="BX75" s="901">
        <f>BX70</f>
        <v>0</v>
      </c>
      <c r="BY75" s="902">
        <f>BW75*BX75</f>
        <v>0</v>
      </c>
      <c r="BZ75" s="1840"/>
      <c r="CA75" s="1841"/>
      <c r="CB75" s="1842"/>
      <c r="CC75" s="1843"/>
      <c r="CD75" s="1843"/>
      <c r="CE75" s="898">
        <f>CE70</f>
        <v>0</v>
      </c>
      <c r="CF75" s="899">
        <f>CF70</f>
        <v>0</v>
      </c>
      <c r="CG75" s="29">
        <f>CE75*CF75</f>
        <v>0</v>
      </c>
      <c r="CH75" s="1836"/>
      <c r="CI75" s="1837"/>
      <c r="CJ75" s="1838"/>
      <c r="CK75" s="1839"/>
      <c r="CL75" s="1839"/>
      <c r="CM75" s="900">
        <f>CM70</f>
        <v>0</v>
      </c>
      <c r="CN75" s="901">
        <f>CN70</f>
        <v>0</v>
      </c>
      <c r="CO75" s="902">
        <f>CM75*CN75</f>
        <v>0</v>
      </c>
      <c r="CP75" s="1840"/>
      <c r="CQ75" s="1841"/>
      <c r="CR75" s="1842"/>
      <c r="CS75" s="1843"/>
      <c r="CT75" s="1843"/>
      <c r="CU75" s="1844"/>
      <c r="CV75" s="1844"/>
      <c r="CW75" s="1845"/>
      <c r="CX75" s="1844"/>
      <c r="CY75" s="1845"/>
      <c r="CZ75" s="1845"/>
      <c r="DA75" s="1845"/>
      <c r="DB75" s="912"/>
    </row>
    <row r="76" spans="1:106" ht="12.75" hidden="1" customHeight="1" x14ac:dyDescent="0.3">
      <c r="A76" s="1835"/>
      <c r="B76" s="108" t="s">
        <v>315</v>
      </c>
      <c r="C76" s="906">
        <f>C75+C74</f>
        <v>0</v>
      </c>
      <c r="D76" s="29">
        <f>IF(C76=0,0,E76/C76)</f>
        <v>0</v>
      </c>
      <c r="E76" s="29">
        <f>E75+E74</f>
        <v>0</v>
      </c>
      <c r="F76" s="1836"/>
      <c r="G76" s="1837"/>
      <c r="H76" s="1838"/>
      <c r="I76" s="1839"/>
      <c r="J76" s="1839"/>
      <c r="K76" s="907">
        <f>K75+K74</f>
        <v>0</v>
      </c>
      <c r="L76" s="902">
        <f>IF(K76=0,0,M76/K76)</f>
        <v>0</v>
      </c>
      <c r="M76" s="902">
        <f>M75+M74</f>
        <v>0</v>
      </c>
      <c r="N76" s="1840"/>
      <c r="O76" s="1841"/>
      <c r="P76" s="1842"/>
      <c r="Q76" s="1843"/>
      <c r="R76" s="1843"/>
      <c r="S76" s="906">
        <f>S75+S74</f>
        <v>0</v>
      </c>
      <c r="T76" s="29">
        <f>IF(S76=0,0,U76/S76)</f>
        <v>0</v>
      </c>
      <c r="U76" s="29">
        <f>U75+U74</f>
        <v>0</v>
      </c>
      <c r="V76" s="1836"/>
      <c r="W76" s="1837"/>
      <c r="X76" s="1838"/>
      <c r="Y76" s="1839"/>
      <c r="Z76" s="1839"/>
      <c r="AA76" s="907">
        <f>AA75+AA74</f>
        <v>0</v>
      </c>
      <c r="AB76" s="902">
        <f>IF(AA76=0,0,AC76/AA76)</f>
        <v>0</v>
      </c>
      <c r="AC76" s="902">
        <f>AC75+AC74</f>
        <v>0</v>
      </c>
      <c r="AD76" s="1840"/>
      <c r="AE76" s="1841"/>
      <c r="AF76" s="1842"/>
      <c r="AG76" s="1843"/>
      <c r="AH76" s="1843"/>
      <c r="AI76" s="906">
        <f>AI75+AI74</f>
        <v>0</v>
      </c>
      <c r="AJ76" s="29">
        <f>IF(AI76=0,0,AK76/AI76)</f>
        <v>0</v>
      </c>
      <c r="AK76" s="29">
        <f>AK75+AK74</f>
        <v>0</v>
      </c>
      <c r="AL76" s="1836"/>
      <c r="AM76" s="1837"/>
      <c r="AN76" s="1838"/>
      <c r="AO76" s="1839"/>
      <c r="AP76" s="1839"/>
      <c r="AQ76" s="907">
        <f>AQ75+AQ74</f>
        <v>0</v>
      </c>
      <c r="AR76" s="902">
        <f>IF(AQ76=0,0,AS76/AQ76)</f>
        <v>0</v>
      </c>
      <c r="AS76" s="902">
        <f>AS75+AS74</f>
        <v>0</v>
      </c>
      <c r="AT76" s="1840"/>
      <c r="AU76" s="1841"/>
      <c r="AV76" s="1842"/>
      <c r="AW76" s="1843"/>
      <c r="AX76" s="1843"/>
      <c r="AY76" s="906">
        <f>AY75+AY74</f>
        <v>0</v>
      </c>
      <c r="AZ76" s="29">
        <f>IF(AY76=0,0,BA76/AY76)</f>
        <v>0</v>
      </c>
      <c r="BA76" s="29">
        <f>BA75+BA74</f>
        <v>0</v>
      </c>
      <c r="BB76" s="1836"/>
      <c r="BC76" s="1837"/>
      <c r="BD76" s="1838"/>
      <c r="BE76" s="1839"/>
      <c r="BF76" s="1839"/>
      <c r="BG76" s="907">
        <f>BG75+BG74</f>
        <v>0</v>
      </c>
      <c r="BH76" s="902">
        <f>IF(BG76=0,0,BI76/BG76)</f>
        <v>0</v>
      </c>
      <c r="BI76" s="902">
        <f>BI75+BI74</f>
        <v>0</v>
      </c>
      <c r="BJ76" s="1840"/>
      <c r="BK76" s="1841"/>
      <c r="BL76" s="1842"/>
      <c r="BM76" s="1843"/>
      <c r="BN76" s="1843"/>
      <c r="BO76" s="906">
        <f>BO75+BO74</f>
        <v>0</v>
      </c>
      <c r="BP76" s="29">
        <f>IF(BO76=0,0,BQ76/BO76)</f>
        <v>0</v>
      </c>
      <c r="BQ76" s="29">
        <f>BQ75+BQ74</f>
        <v>0</v>
      </c>
      <c r="BR76" s="1836"/>
      <c r="BS76" s="1837"/>
      <c r="BT76" s="1838"/>
      <c r="BU76" s="1839"/>
      <c r="BV76" s="1839"/>
      <c r="BW76" s="907">
        <f>BW75+BW74</f>
        <v>0</v>
      </c>
      <c r="BX76" s="902">
        <f>IF(BW76=0,0,BY76/BW76)</f>
        <v>0</v>
      </c>
      <c r="BY76" s="902">
        <f>BY75+BY74</f>
        <v>0</v>
      </c>
      <c r="BZ76" s="1840"/>
      <c r="CA76" s="1841"/>
      <c r="CB76" s="1842"/>
      <c r="CC76" s="1843"/>
      <c r="CD76" s="1843"/>
      <c r="CE76" s="906">
        <f>CE75+CE74</f>
        <v>0</v>
      </c>
      <c r="CF76" s="29">
        <f>IF(CE76=0,0,CG76/CE76)</f>
        <v>0</v>
      </c>
      <c r="CG76" s="29">
        <f>CG75+CG74</f>
        <v>0</v>
      </c>
      <c r="CH76" s="1836"/>
      <c r="CI76" s="1837"/>
      <c r="CJ76" s="1838"/>
      <c r="CK76" s="1839"/>
      <c r="CL76" s="1839"/>
      <c r="CM76" s="907">
        <f>CM75+CM74</f>
        <v>0</v>
      </c>
      <c r="CN76" s="902">
        <f>IF(CM76=0,0,CO76/CM76)</f>
        <v>0</v>
      </c>
      <c r="CO76" s="902">
        <f>CO75+CO74</f>
        <v>0</v>
      </c>
      <c r="CP76" s="1840"/>
      <c r="CQ76" s="1841"/>
      <c r="CR76" s="1842"/>
      <c r="CS76" s="1843"/>
      <c r="CT76" s="1843"/>
      <c r="CU76" s="1844"/>
      <c r="CV76" s="1844"/>
      <c r="CW76" s="1845"/>
      <c r="CX76" s="1844"/>
      <c r="CY76" s="1845"/>
      <c r="CZ76" s="1845"/>
      <c r="DA76" s="1845"/>
      <c r="DB76" s="912"/>
    </row>
    <row r="77" spans="1:106" x14ac:dyDescent="0.3">
      <c r="A77" s="1835"/>
      <c r="B77" s="108" t="s">
        <v>312</v>
      </c>
      <c r="C77" s="906">
        <f>H74*C76</f>
        <v>0</v>
      </c>
      <c r="D77" s="29">
        <f>D76</f>
        <v>0</v>
      </c>
      <c r="E77" s="29">
        <f>C77*D77</f>
        <v>0</v>
      </c>
      <c r="F77" s="1836"/>
      <c r="G77" s="1837"/>
      <c r="H77" s="1838"/>
      <c r="I77" s="1839"/>
      <c r="J77" s="1839"/>
      <c r="K77" s="907">
        <f>P74*K76</f>
        <v>0</v>
      </c>
      <c r="L77" s="902">
        <f>L76</f>
        <v>0</v>
      </c>
      <c r="M77" s="902">
        <f>K77*L77</f>
        <v>0</v>
      </c>
      <c r="N77" s="1840"/>
      <c r="O77" s="1841"/>
      <c r="P77" s="1842"/>
      <c r="Q77" s="1843"/>
      <c r="R77" s="1843"/>
      <c r="S77" s="906">
        <f>X74*S76</f>
        <v>0</v>
      </c>
      <c r="T77" s="29">
        <f>T76</f>
        <v>0</v>
      </c>
      <c r="U77" s="29">
        <f>S77*T77</f>
        <v>0</v>
      </c>
      <c r="V77" s="1836"/>
      <c r="W77" s="1837"/>
      <c r="X77" s="1838"/>
      <c r="Y77" s="1839"/>
      <c r="Z77" s="1839"/>
      <c r="AA77" s="907">
        <f>AF74*AA76</f>
        <v>0</v>
      </c>
      <c r="AB77" s="902">
        <f>AB76</f>
        <v>0</v>
      </c>
      <c r="AC77" s="902">
        <f>AA77*AB77</f>
        <v>0</v>
      </c>
      <c r="AD77" s="1840"/>
      <c r="AE77" s="1841"/>
      <c r="AF77" s="1842"/>
      <c r="AG77" s="1843"/>
      <c r="AH77" s="1843"/>
      <c r="AI77" s="906">
        <f>AN74*AI76</f>
        <v>0</v>
      </c>
      <c r="AJ77" s="29">
        <f>AJ76</f>
        <v>0</v>
      </c>
      <c r="AK77" s="29">
        <f>AI77*AJ77</f>
        <v>0</v>
      </c>
      <c r="AL77" s="1836"/>
      <c r="AM77" s="1837"/>
      <c r="AN77" s="1838"/>
      <c r="AO77" s="1839"/>
      <c r="AP77" s="1839"/>
      <c r="AQ77" s="907">
        <f>AV74*AQ76</f>
        <v>0</v>
      </c>
      <c r="AR77" s="902">
        <f>AR76</f>
        <v>0</v>
      </c>
      <c r="AS77" s="902">
        <f>AQ77*AR77</f>
        <v>0</v>
      </c>
      <c r="AT77" s="1840"/>
      <c r="AU77" s="1841"/>
      <c r="AV77" s="1842"/>
      <c r="AW77" s="1843"/>
      <c r="AX77" s="1843"/>
      <c r="AY77" s="906">
        <f>BD74*AY76</f>
        <v>0</v>
      </c>
      <c r="AZ77" s="29">
        <f>AZ76</f>
        <v>0</v>
      </c>
      <c r="BA77" s="29">
        <f>AY77*AZ77</f>
        <v>0</v>
      </c>
      <c r="BB77" s="1836"/>
      <c r="BC77" s="1837"/>
      <c r="BD77" s="1838"/>
      <c r="BE77" s="1839"/>
      <c r="BF77" s="1839"/>
      <c r="BG77" s="907">
        <f>BL74*BG76</f>
        <v>0</v>
      </c>
      <c r="BH77" s="902">
        <f>BH76</f>
        <v>0</v>
      </c>
      <c r="BI77" s="902">
        <f>BG77*BH77</f>
        <v>0</v>
      </c>
      <c r="BJ77" s="1840"/>
      <c r="BK77" s="1841"/>
      <c r="BL77" s="1842"/>
      <c r="BM77" s="1843"/>
      <c r="BN77" s="1843"/>
      <c r="BO77" s="906">
        <f>BT74*BO76</f>
        <v>0</v>
      </c>
      <c r="BP77" s="29">
        <f>BP76</f>
        <v>0</v>
      </c>
      <c r="BQ77" s="29">
        <f>BO77*BP77</f>
        <v>0</v>
      </c>
      <c r="BR77" s="1836"/>
      <c r="BS77" s="1837"/>
      <c r="BT77" s="1838"/>
      <c r="BU77" s="1839"/>
      <c r="BV77" s="1839"/>
      <c r="BW77" s="907">
        <f>CB74*BW76</f>
        <v>0</v>
      </c>
      <c r="BX77" s="902">
        <f>BX76</f>
        <v>0</v>
      </c>
      <c r="BY77" s="902">
        <f>BW77*BX77</f>
        <v>0</v>
      </c>
      <c r="BZ77" s="1840"/>
      <c r="CA77" s="1841"/>
      <c r="CB77" s="1842"/>
      <c r="CC77" s="1843"/>
      <c r="CD77" s="1843"/>
      <c r="CE77" s="906">
        <f>CJ74*CE76</f>
        <v>0</v>
      </c>
      <c r="CF77" s="29">
        <f>CF76</f>
        <v>0</v>
      </c>
      <c r="CG77" s="29">
        <f>CE77*CF77</f>
        <v>0</v>
      </c>
      <c r="CH77" s="1836"/>
      <c r="CI77" s="1837"/>
      <c r="CJ77" s="1838"/>
      <c r="CK77" s="1839"/>
      <c r="CL77" s="1839"/>
      <c r="CM77" s="907">
        <f>CR74*CM76</f>
        <v>0</v>
      </c>
      <c r="CN77" s="902">
        <f>CN76</f>
        <v>0</v>
      </c>
      <c r="CO77" s="902">
        <f>CM77*CN77</f>
        <v>0</v>
      </c>
      <c r="CP77" s="1840"/>
      <c r="CQ77" s="1841"/>
      <c r="CR77" s="1842"/>
      <c r="CS77" s="1843"/>
      <c r="CT77" s="1843"/>
      <c r="CU77" s="1844"/>
      <c r="CV77" s="1844"/>
      <c r="CW77" s="1845"/>
      <c r="CX77" s="1844"/>
      <c r="CY77" s="1845"/>
      <c r="CZ77" s="1845"/>
      <c r="DA77" s="1845"/>
      <c r="DB77" s="912"/>
    </row>
    <row r="78" spans="1:106" x14ac:dyDescent="0.3">
      <c r="A78" s="1835"/>
      <c r="B78" s="108" t="s">
        <v>254</v>
      </c>
      <c r="C78" s="906">
        <f>C74+C75-C77</f>
        <v>0</v>
      </c>
      <c r="D78" s="29">
        <f>D77</f>
        <v>0</v>
      </c>
      <c r="E78" s="29">
        <f>D78*C78</f>
        <v>0</v>
      </c>
      <c r="F78" s="1836"/>
      <c r="G78" s="1837"/>
      <c r="H78" s="1838"/>
      <c r="I78" s="1839"/>
      <c r="J78" s="1839"/>
      <c r="K78" s="907">
        <f>K74+K75-K77</f>
        <v>0</v>
      </c>
      <c r="L78" s="902">
        <f>L77</f>
        <v>0</v>
      </c>
      <c r="M78" s="902">
        <f>L78*K78</f>
        <v>0</v>
      </c>
      <c r="N78" s="1840"/>
      <c r="O78" s="1841"/>
      <c r="P78" s="1842"/>
      <c r="Q78" s="1843"/>
      <c r="R78" s="1843"/>
      <c r="S78" s="906">
        <f>S74+S75-S77</f>
        <v>0</v>
      </c>
      <c r="T78" s="29">
        <f>T77</f>
        <v>0</v>
      </c>
      <c r="U78" s="29">
        <f>T78*S78</f>
        <v>0</v>
      </c>
      <c r="V78" s="1836"/>
      <c r="W78" s="1837"/>
      <c r="X78" s="1838"/>
      <c r="Y78" s="1839"/>
      <c r="Z78" s="1839"/>
      <c r="AA78" s="907">
        <f>AA74+AA75-AA77</f>
        <v>0</v>
      </c>
      <c r="AB78" s="902">
        <f>AB77</f>
        <v>0</v>
      </c>
      <c r="AC78" s="902">
        <f>AB78*AA78</f>
        <v>0</v>
      </c>
      <c r="AD78" s="1840"/>
      <c r="AE78" s="1841"/>
      <c r="AF78" s="1842"/>
      <c r="AG78" s="1843"/>
      <c r="AH78" s="1843"/>
      <c r="AI78" s="906">
        <f>AI74+AI75-AI77</f>
        <v>0</v>
      </c>
      <c r="AJ78" s="29">
        <f>AJ77</f>
        <v>0</v>
      </c>
      <c r="AK78" s="29">
        <f>AJ78*AI78</f>
        <v>0</v>
      </c>
      <c r="AL78" s="1836"/>
      <c r="AM78" s="1837"/>
      <c r="AN78" s="1838"/>
      <c r="AO78" s="1839"/>
      <c r="AP78" s="1839"/>
      <c r="AQ78" s="907">
        <f>AQ74+AQ75-AQ77</f>
        <v>0</v>
      </c>
      <c r="AR78" s="902">
        <f>AR77</f>
        <v>0</v>
      </c>
      <c r="AS78" s="902">
        <f>AR78*AQ78</f>
        <v>0</v>
      </c>
      <c r="AT78" s="1840"/>
      <c r="AU78" s="1841"/>
      <c r="AV78" s="1842"/>
      <c r="AW78" s="1843"/>
      <c r="AX78" s="1843"/>
      <c r="AY78" s="906">
        <f>AY74+AY75-AY77</f>
        <v>0</v>
      </c>
      <c r="AZ78" s="29">
        <f>AZ77</f>
        <v>0</v>
      </c>
      <c r="BA78" s="29">
        <f>AZ78*AY78</f>
        <v>0</v>
      </c>
      <c r="BB78" s="1836"/>
      <c r="BC78" s="1837"/>
      <c r="BD78" s="1838"/>
      <c r="BE78" s="1839"/>
      <c r="BF78" s="1839"/>
      <c r="BG78" s="907">
        <f>BG74+BG75-BG77</f>
        <v>0</v>
      </c>
      <c r="BH78" s="902">
        <f>BH77</f>
        <v>0</v>
      </c>
      <c r="BI78" s="902">
        <f>BH78*BG78</f>
        <v>0</v>
      </c>
      <c r="BJ78" s="1840"/>
      <c r="BK78" s="1841"/>
      <c r="BL78" s="1842"/>
      <c r="BM78" s="1843"/>
      <c r="BN78" s="1843"/>
      <c r="BO78" s="906">
        <f>BO74+BO75-BO77</f>
        <v>0</v>
      </c>
      <c r="BP78" s="29">
        <f>BP77</f>
        <v>0</v>
      </c>
      <c r="BQ78" s="29">
        <f>BP78*BO78</f>
        <v>0</v>
      </c>
      <c r="BR78" s="1836"/>
      <c r="BS78" s="1837"/>
      <c r="BT78" s="1838"/>
      <c r="BU78" s="1839"/>
      <c r="BV78" s="1839"/>
      <c r="BW78" s="907">
        <f>BW74+BW75-BW77</f>
        <v>0</v>
      </c>
      <c r="BX78" s="902">
        <f>BX77</f>
        <v>0</v>
      </c>
      <c r="BY78" s="902">
        <f>BX78*BW78</f>
        <v>0</v>
      </c>
      <c r="BZ78" s="1840"/>
      <c r="CA78" s="1841"/>
      <c r="CB78" s="1842"/>
      <c r="CC78" s="1843"/>
      <c r="CD78" s="1843"/>
      <c r="CE78" s="906">
        <f>CE74+CE75-CE77</f>
        <v>0</v>
      </c>
      <c r="CF78" s="29">
        <f>CF77</f>
        <v>0</v>
      </c>
      <c r="CG78" s="29">
        <f>CF78*CE78</f>
        <v>0</v>
      </c>
      <c r="CH78" s="1836"/>
      <c r="CI78" s="1837"/>
      <c r="CJ78" s="1838"/>
      <c r="CK78" s="1839"/>
      <c r="CL78" s="1839"/>
      <c r="CM78" s="907">
        <f>CM74+CM75-CM77</f>
        <v>0</v>
      </c>
      <c r="CN78" s="902">
        <f>CN77</f>
        <v>0</v>
      </c>
      <c r="CO78" s="902">
        <f>CN78*CM78</f>
        <v>0</v>
      </c>
      <c r="CP78" s="1840"/>
      <c r="CQ78" s="1841"/>
      <c r="CR78" s="1842"/>
      <c r="CS78" s="1843"/>
      <c r="CT78" s="1843"/>
      <c r="CU78" s="1844"/>
      <c r="CV78" s="1844"/>
      <c r="CW78" s="1845"/>
      <c r="CX78" s="1844"/>
      <c r="CY78" s="1845"/>
      <c r="CZ78" s="1845"/>
      <c r="DA78" s="1845"/>
      <c r="DB78" s="912"/>
    </row>
    <row r="79" spans="1:106" ht="12.75" customHeight="1" x14ac:dyDescent="0.3">
      <c r="A79" s="1846" t="s">
        <v>317</v>
      </c>
      <c r="B79" s="915" t="s">
        <v>310</v>
      </c>
      <c r="C79" s="916">
        <f>C21+C25+C30+C35+C40+C45+C50+C55+C60+C65+C70+C75</f>
        <v>0</v>
      </c>
      <c r="D79" s="905">
        <f>IF(C79=0,0,E79/C79)</f>
        <v>0</v>
      </c>
      <c r="E79" s="905">
        <f>E21+E25+E30+E35+E40+E45+E50+E55+E60+E65+E70+E75</f>
        <v>0</v>
      </c>
      <c r="F79" s="1847">
        <f>SUM(F21:F78)</f>
        <v>0</v>
      </c>
      <c r="G79" s="1848">
        <f>IF(I79=0,0,(I79-E80)/I79)</f>
        <v>0</v>
      </c>
      <c r="H79" s="1848">
        <f>IF(E79=0,0,E80/E79)</f>
        <v>0</v>
      </c>
      <c r="I79" s="1844">
        <f>SUM(I21:I78)</f>
        <v>0</v>
      </c>
      <c r="J79" s="1844">
        <f>SUM(J21:J78)</f>
        <v>0</v>
      </c>
      <c r="K79" s="917">
        <f>K21+K25+K30+K35+K40+K45+K50+K55+K60+K65+K70+K75</f>
        <v>0</v>
      </c>
      <c r="L79" s="918">
        <f>IF(K79=0,0,M79/K79)</f>
        <v>0</v>
      </c>
      <c r="M79" s="918">
        <f>M21+M25+M30+M35+M40+M45+M50+M55+M60+M65+M70+M75</f>
        <v>0</v>
      </c>
      <c r="N79" s="1849">
        <f>SUM(N21:N78)</f>
        <v>0</v>
      </c>
      <c r="O79" s="1850">
        <f>IF(Q79=0,0,(Q79-M80)/Q79)</f>
        <v>0</v>
      </c>
      <c r="P79" s="1850">
        <f>IF(M79=0,0,M80/M79)</f>
        <v>0</v>
      </c>
      <c r="Q79" s="1851">
        <f>SUM(Q21:Q78)</f>
        <v>0</v>
      </c>
      <c r="R79" s="1851">
        <f>SUM(R21:R78)</f>
        <v>0</v>
      </c>
      <c r="S79" s="916">
        <f>S21+S25+S30+S35+S40+S45+S50+S55+S60+S65+S70+S75</f>
        <v>0</v>
      </c>
      <c r="T79" s="905">
        <f>IF(S79=0,0,U79/S79)</f>
        <v>0</v>
      </c>
      <c r="U79" s="905">
        <f>U21+U25+U30+U35+U40+U45+U50+U55+U60+U65+U70+U75</f>
        <v>0</v>
      </c>
      <c r="V79" s="1847">
        <f>SUM(V21:V78)</f>
        <v>0</v>
      </c>
      <c r="W79" s="1848">
        <f>IF(Y79=0,0,(Y79-U80)/Y79)</f>
        <v>0</v>
      </c>
      <c r="X79" s="1848">
        <f>IF(U79=0,0,U80/U79)</f>
        <v>0</v>
      </c>
      <c r="Y79" s="1844">
        <f>SUM(Y21:Y78)</f>
        <v>0</v>
      </c>
      <c r="Z79" s="1844">
        <f>SUM(Z21:Z78)</f>
        <v>0</v>
      </c>
      <c r="AA79" s="917">
        <f>AA21+AA25+AA30+AA35+AA40+AA45+AA50+AA55+AA60+AA65+AA70+AA75</f>
        <v>0</v>
      </c>
      <c r="AB79" s="918">
        <f>IF(AA79=0,0,AC79/AA79)</f>
        <v>0</v>
      </c>
      <c r="AC79" s="918">
        <f>AC21+AC25+AC30+AC35+AC40+AC45+AC50+AC55+AC60+AC65+AC70+AC75</f>
        <v>0</v>
      </c>
      <c r="AD79" s="1849">
        <f>SUM(AD21:AD78)</f>
        <v>0</v>
      </c>
      <c r="AE79" s="1850">
        <f>IF(AG79=0,0,(AG79-AC80)/AG79)</f>
        <v>0</v>
      </c>
      <c r="AF79" s="1850">
        <f>IF(AC79=0,0,AC80/AC79)</f>
        <v>0</v>
      </c>
      <c r="AG79" s="1851">
        <f>SUM(AG21:AG78)</f>
        <v>0</v>
      </c>
      <c r="AH79" s="1851">
        <f>SUM(AH21:AH78)</f>
        <v>0</v>
      </c>
      <c r="AI79" s="916">
        <f>AI21+AI25+AI30+AI35+AI40+AI45+AI50+AI55+AI60+AI65+AI70+AI75</f>
        <v>0</v>
      </c>
      <c r="AJ79" s="905">
        <f>IF(AI79=0,0,AK79/AI79)</f>
        <v>0</v>
      </c>
      <c r="AK79" s="905">
        <f>AK21+AK25+AK30+AK35+AK40+AK45+AK50+AK55+AK60+AK65+AK70+AK75</f>
        <v>0</v>
      </c>
      <c r="AL79" s="1847">
        <f>SUM(AL21:AL78)</f>
        <v>0</v>
      </c>
      <c r="AM79" s="1848">
        <f>IF(AO79=0,0,(AO79-AK80)/AO79)</f>
        <v>0</v>
      </c>
      <c r="AN79" s="1848">
        <f>IF(AK79=0,0,AK80/AK79)</f>
        <v>0</v>
      </c>
      <c r="AO79" s="1844">
        <f>SUM(AO21:AO78)</f>
        <v>0</v>
      </c>
      <c r="AP79" s="1844">
        <f>SUM(AP21:AP78)</f>
        <v>0</v>
      </c>
      <c r="AQ79" s="917">
        <f>AQ21+AQ25+AQ30+AQ35+AQ40+AQ45+AQ50+AQ55+AQ60+AQ65+AQ70+AQ75</f>
        <v>0</v>
      </c>
      <c r="AR79" s="918">
        <f>IF(AQ79=0,0,AS79/AQ79)</f>
        <v>0</v>
      </c>
      <c r="AS79" s="918">
        <f>AS21+AS25+AS30+AS35+AS40+AS45+AS50+AS55+AS60+AS65+AS70+AS75</f>
        <v>0</v>
      </c>
      <c r="AT79" s="1849">
        <f>SUM(AT21:AT78)</f>
        <v>0</v>
      </c>
      <c r="AU79" s="1850">
        <f>IF(AW79=0,0,(AW79-AS80)/AW79)</f>
        <v>0</v>
      </c>
      <c r="AV79" s="1850">
        <f>IF(AS79=0,0,AS80/AS79)</f>
        <v>0</v>
      </c>
      <c r="AW79" s="1851">
        <f>SUM(AW21:AW78)</f>
        <v>0</v>
      </c>
      <c r="AX79" s="1851">
        <f>SUM(AX21:AX78)</f>
        <v>0</v>
      </c>
      <c r="AY79" s="916">
        <f>AY21+AY25+AY30+AY35+AY40+AY45+AY50+AY55+AY60+AY65+AY70+AY75</f>
        <v>0</v>
      </c>
      <c r="AZ79" s="905">
        <f>IF(AY79=0,0,BA79/AY79)</f>
        <v>0</v>
      </c>
      <c r="BA79" s="905">
        <f>BA21+BA25+BA30+BA35+BA40+BA45+BA50+BA55+BA60+BA65+BA70+BA75</f>
        <v>0</v>
      </c>
      <c r="BB79" s="1847">
        <f>SUM(BB21:BB78)</f>
        <v>0</v>
      </c>
      <c r="BC79" s="1848">
        <f>IF(BE79=0,0,(BE79-BA80)/BE79)</f>
        <v>0</v>
      </c>
      <c r="BD79" s="1848">
        <f>IF(BA79=0,0,BA80/BA79)</f>
        <v>0</v>
      </c>
      <c r="BE79" s="1844">
        <f>SUM(BE21:BE78)</f>
        <v>0</v>
      </c>
      <c r="BF79" s="1844">
        <f>SUM(BF21:BF78)</f>
        <v>0</v>
      </c>
      <c r="BG79" s="917">
        <f>BG21+BG25+BG30+BG35+BG40+BG45+BG50+BG55+BG60+BG65+BG70+BG75</f>
        <v>0</v>
      </c>
      <c r="BH79" s="918">
        <f>IF(BG79=0,0,BI79/BG79)</f>
        <v>0</v>
      </c>
      <c r="BI79" s="918">
        <f>BI21+BI25+BI30+BI35+BI40+BI45+BI50+BI55+BI60+BI65+BI70+BI75</f>
        <v>0</v>
      </c>
      <c r="BJ79" s="1849">
        <f>SUM(BJ21:BJ78)</f>
        <v>0</v>
      </c>
      <c r="BK79" s="1850">
        <f>IF(BM79=0,0,(BM79-BI80)/BM79)</f>
        <v>0</v>
      </c>
      <c r="BL79" s="1850">
        <f>IF(BI79=0,0,BI80/BI79)</f>
        <v>0</v>
      </c>
      <c r="BM79" s="1851">
        <f>SUM(BM21:BM78)</f>
        <v>0</v>
      </c>
      <c r="BN79" s="1851">
        <f>SUM(BN21:BN78)</f>
        <v>0</v>
      </c>
      <c r="BO79" s="916">
        <f>BO21+BO25+BO30+BO35+BO40+BO45+BO50+BO55+BO60+BO65+BO70+BO75</f>
        <v>0</v>
      </c>
      <c r="BP79" s="905">
        <f>IF(BO79=0,0,BQ79/BO79)</f>
        <v>0</v>
      </c>
      <c r="BQ79" s="905">
        <f>BQ21+BQ25+BQ30+BQ35+BQ40+BQ45+BQ50+BQ55+BQ60+BQ65+BQ70+BQ75</f>
        <v>0</v>
      </c>
      <c r="BR79" s="1847">
        <f>SUM(BR21:BR78)</f>
        <v>0</v>
      </c>
      <c r="BS79" s="1848">
        <f>IF(BU79=0,0,(BU79-BQ80)/BU79)</f>
        <v>0</v>
      </c>
      <c r="BT79" s="1848">
        <f>IF(BQ79=0,0,BQ80/BQ79)</f>
        <v>0</v>
      </c>
      <c r="BU79" s="1844">
        <f>SUM(BU21:BU78)</f>
        <v>0</v>
      </c>
      <c r="BV79" s="1844">
        <f>SUM(BV21:BV78)</f>
        <v>0</v>
      </c>
      <c r="BW79" s="917">
        <f>BW21+BW25+BW30+BW35+BW40+BW45+BW50+BW55+BW60+BW65+BW70+BW75</f>
        <v>0</v>
      </c>
      <c r="BX79" s="918">
        <f>IF(BW79=0,0,BY79/BW79)</f>
        <v>0</v>
      </c>
      <c r="BY79" s="918">
        <f>BY21+BY25+BY30+BY35+BY40+BY45+BY50+BY55+BY60+BY65+BY70+BY75</f>
        <v>0</v>
      </c>
      <c r="BZ79" s="1849">
        <f>SUM(BZ21:BZ78)</f>
        <v>0</v>
      </c>
      <c r="CA79" s="1850">
        <f>IF(CC79=0,0,(CC79-BY80)/CC79)</f>
        <v>0</v>
      </c>
      <c r="CB79" s="1850">
        <f>IF(BY79=0,0,BY80/BY79)</f>
        <v>0</v>
      </c>
      <c r="CC79" s="1851">
        <f>SUM(CC21:CC78)</f>
        <v>0</v>
      </c>
      <c r="CD79" s="1851">
        <f>SUM(CD21:CD78)</f>
        <v>0</v>
      </c>
      <c r="CE79" s="916">
        <f>CE21+CE25+CE30+CE35+CE40+CE45+CE50+CE55+CE60+CE65+CE70+CE75</f>
        <v>0</v>
      </c>
      <c r="CF79" s="905">
        <f>IF(CE79=0,0,CG79/CE79)</f>
        <v>0</v>
      </c>
      <c r="CG79" s="905">
        <f>CG21+CG25+CG30+CG35+CG40+CG45+CG50+CG55+CG60+CG65+CG70+CG75</f>
        <v>0</v>
      </c>
      <c r="CH79" s="1847">
        <f>SUM(CH21:CH78)</f>
        <v>0</v>
      </c>
      <c r="CI79" s="1848">
        <f>IF(CK79=0,0,(CK79-CG80)/CK79)</f>
        <v>0</v>
      </c>
      <c r="CJ79" s="1848">
        <f>IF(CG79=0,0,CG80/CG79)</f>
        <v>0</v>
      </c>
      <c r="CK79" s="1844">
        <f>SUM(CK21:CK78)</f>
        <v>0</v>
      </c>
      <c r="CL79" s="1844">
        <f>SUM(CL21:CL78)</f>
        <v>0</v>
      </c>
      <c r="CM79" s="917">
        <f>CM21+CM25+CM30+CM35+CM40+CM45+CM50+CM55+CM60+CM65+CM70+CM75</f>
        <v>0</v>
      </c>
      <c r="CN79" s="918">
        <f>IF(CM79=0,0,CO79/CM79)</f>
        <v>0</v>
      </c>
      <c r="CO79" s="918">
        <f>CO21+CO25+CO30+CO35+CO40+CO45+CO50+CO55+CO60+CO65+CO70+CO75</f>
        <v>0</v>
      </c>
      <c r="CP79" s="1849">
        <f>SUM(CP21:CP78)</f>
        <v>0</v>
      </c>
      <c r="CQ79" s="1850">
        <f>IF(CS79=0,0,(CS79-CO80)/CS79)</f>
        <v>0</v>
      </c>
      <c r="CR79" s="1850">
        <f>IF(CO79=0,0,CO80/CO79)</f>
        <v>0</v>
      </c>
      <c r="CS79" s="1851">
        <f t="shared" ref="CS79:CX79" si="3">SUM(CS21:CS78)</f>
        <v>0</v>
      </c>
      <c r="CT79" s="1851">
        <f t="shared" si="3"/>
        <v>0</v>
      </c>
      <c r="CU79" s="1852">
        <f t="shared" si="3"/>
        <v>0</v>
      </c>
      <c r="CV79" s="1852">
        <f t="shared" si="3"/>
        <v>0</v>
      </c>
      <c r="CW79" s="1852">
        <f t="shared" si="3"/>
        <v>0</v>
      </c>
      <c r="CX79" s="1852">
        <f t="shared" si="3"/>
        <v>0</v>
      </c>
      <c r="CY79" s="1852">
        <f>CY21</f>
        <v>0</v>
      </c>
      <c r="CZ79" s="1852">
        <f>CZ74</f>
        <v>0</v>
      </c>
      <c r="DA79" s="1852">
        <f>CZ79-CY79</f>
        <v>0</v>
      </c>
      <c r="DB79" s="919"/>
    </row>
    <row r="80" spans="1:106" x14ac:dyDescent="0.3">
      <c r="A80" s="1846"/>
      <c r="B80" s="915" t="s">
        <v>312</v>
      </c>
      <c r="C80" s="916">
        <f>C22+C27+C32+C37+C42+C47+C52+C57+C62+C67+C72+C77</f>
        <v>0</v>
      </c>
      <c r="D80" s="905">
        <f>IF(C80=0,0,E80/C80)</f>
        <v>0</v>
      </c>
      <c r="E80" s="905">
        <f>E22+E27+E32+E37+E42+E47+E52+E57+E62+E67+E72+E77</f>
        <v>0</v>
      </c>
      <c r="F80" s="1847"/>
      <c r="G80" s="1848"/>
      <c r="H80" s="1848"/>
      <c r="I80" s="1844"/>
      <c r="J80" s="1844"/>
      <c r="K80" s="917">
        <f>K22+K27+K32+K37+K42+K47+K52+K57+K62+K67+K72+K77</f>
        <v>0</v>
      </c>
      <c r="L80" s="918">
        <f>IF(K80=0,0,M80/K80)</f>
        <v>0</v>
      </c>
      <c r="M80" s="918">
        <f>M22+M27+M32+M37+M42+M47+M52+M57+M62+M67+M72+M77</f>
        <v>0</v>
      </c>
      <c r="N80" s="1849"/>
      <c r="O80" s="1850"/>
      <c r="P80" s="1850"/>
      <c r="Q80" s="1851"/>
      <c r="R80" s="1851"/>
      <c r="S80" s="916">
        <f>S22+S27+S32+S37+S42+S47+S52+S57+S62+S67+S72+S77</f>
        <v>0</v>
      </c>
      <c r="T80" s="905">
        <f>IF(S80=0,0,U80/S80)</f>
        <v>0</v>
      </c>
      <c r="U80" s="905">
        <f>U22+U27+U32+U37+U42+U47+U52+U57+U62+U67+U72+U77</f>
        <v>0</v>
      </c>
      <c r="V80" s="1847"/>
      <c r="W80" s="1848"/>
      <c r="X80" s="1848"/>
      <c r="Y80" s="1844"/>
      <c r="Z80" s="1844"/>
      <c r="AA80" s="917">
        <f>AA22+AA27+AA32+AA37+AA42+AA47+AA52+AA57+AA62+AA67+AA72+AA77</f>
        <v>0</v>
      </c>
      <c r="AB80" s="918">
        <f>IF(AA80=0,0,AC80/AA80)</f>
        <v>0</v>
      </c>
      <c r="AC80" s="918">
        <f>AC22+AC27+AC32+AC37+AC42+AC47+AC52+AC57+AC62+AC67+AC72+AC77</f>
        <v>0</v>
      </c>
      <c r="AD80" s="1849"/>
      <c r="AE80" s="1850"/>
      <c r="AF80" s="1850"/>
      <c r="AG80" s="1851"/>
      <c r="AH80" s="1851"/>
      <c r="AI80" s="916">
        <f>AI22+AI27+AI32+AI37+AI42+AI47+AI52+AI57+AI62+AI67+AI72+AI77</f>
        <v>0</v>
      </c>
      <c r="AJ80" s="905">
        <f>IF(AI80=0,0,AK80/AI80)</f>
        <v>0</v>
      </c>
      <c r="AK80" s="905">
        <f>AK22+AK27+AK32+AK37+AK42+AK47+AK52+AK57+AK62+AK67+AK72+AK77</f>
        <v>0</v>
      </c>
      <c r="AL80" s="1847"/>
      <c r="AM80" s="1848"/>
      <c r="AN80" s="1848"/>
      <c r="AO80" s="1844"/>
      <c r="AP80" s="1844"/>
      <c r="AQ80" s="917">
        <f>AQ22+AQ27+AQ32+AQ37+AQ42+AQ47+AQ52+AQ57+AQ62+AQ67+AQ72+AQ77</f>
        <v>0</v>
      </c>
      <c r="AR80" s="918">
        <f>IF(AQ80=0,0,AS80/AQ80)</f>
        <v>0</v>
      </c>
      <c r="AS80" s="918">
        <f>AS22+AS27+AS32+AS37+AS42+AS47+AS52+AS57+AS62+AS67+AS72+AS77</f>
        <v>0</v>
      </c>
      <c r="AT80" s="1849"/>
      <c r="AU80" s="1850"/>
      <c r="AV80" s="1850"/>
      <c r="AW80" s="1851"/>
      <c r="AX80" s="1851"/>
      <c r="AY80" s="916">
        <f>AY22+AY27+AY32+AY37+AY42+AY47+AY52+AY57+AY62+AY67+AY72+AY77</f>
        <v>0</v>
      </c>
      <c r="AZ80" s="905">
        <f>IF(AY80=0,0,BA80/AY80)</f>
        <v>0</v>
      </c>
      <c r="BA80" s="905">
        <f>BA22+BA27+BA32+BA37+BA42+BA47+BA52+BA57+BA62+BA67+BA72+BA77</f>
        <v>0</v>
      </c>
      <c r="BB80" s="1847"/>
      <c r="BC80" s="1848"/>
      <c r="BD80" s="1848"/>
      <c r="BE80" s="1844"/>
      <c r="BF80" s="1844"/>
      <c r="BG80" s="917">
        <f>BG22+BG27+BG32+BG37+BG42+BG47+BG52+BG57+BG62+BG67+BG72+BG77</f>
        <v>0</v>
      </c>
      <c r="BH80" s="918">
        <f>IF(BG80=0,0,BI80/BG80)</f>
        <v>0</v>
      </c>
      <c r="BI80" s="918">
        <f>BI22+BI27+BI32+BI37+BI42+BI47+BI52+BI57+BI62+BI67+BI72+BI77</f>
        <v>0</v>
      </c>
      <c r="BJ80" s="1849"/>
      <c r="BK80" s="1850"/>
      <c r="BL80" s="1850"/>
      <c r="BM80" s="1851"/>
      <c r="BN80" s="1851"/>
      <c r="BO80" s="916">
        <f>BO22+BO27+BO32+BO37+BO42+BO47+BO52+BO57+BO62+BO67+BO72+BO77</f>
        <v>0</v>
      </c>
      <c r="BP80" s="905">
        <f>IF(BO80=0,0,BQ80/BO80)</f>
        <v>0</v>
      </c>
      <c r="BQ80" s="905">
        <f>BQ22+BQ27+BQ32+BQ37+BQ42+BQ47+BQ52+BQ57+BQ62+BQ67+BQ72+BQ77</f>
        <v>0</v>
      </c>
      <c r="BR80" s="1847"/>
      <c r="BS80" s="1848"/>
      <c r="BT80" s="1848"/>
      <c r="BU80" s="1844"/>
      <c r="BV80" s="1844"/>
      <c r="BW80" s="917">
        <f>BW22+BW27+BW32+BW37+BW42+BW47+BW52+BW57+BW62+BW67+BW72+BW77</f>
        <v>0</v>
      </c>
      <c r="BX80" s="918">
        <f>IF(BW80=0,0,BY80/BW80)</f>
        <v>0</v>
      </c>
      <c r="BY80" s="918">
        <f>BY22+BY27+BY32+BY37+BY42+BY47+BY52+BY57+BY62+BY67+BY72+BY77</f>
        <v>0</v>
      </c>
      <c r="BZ80" s="1849"/>
      <c r="CA80" s="1850"/>
      <c r="CB80" s="1850"/>
      <c r="CC80" s="1851"/>
      <c r="CD80" s="1851"/>
      <c r="CE80" s="916">
        <f>CE22+CE27+CE32+CE37+CE42+CE47+CE52+CE57+CE62+CE67+CE72+CE77</f>
        <v>0</v>
      </c>
      <c r="CF80" s="905">
        <f>IF(CE80=0,0,CG80/CE80)</f>
        <v>0</v>
      </c>
      <c r="CG80" s="905">
        <f>CG22+CG27+CG32+CG37+CG42+CG47+CG52+CG57+CG62+CG67+CG72+CG77</f>
        <v>0</v>
      </c>
      <c r="CH80" s="1847"/>
      <c r="CI80" s="1848"/>
      <c r="CJ80" s="1848"/>
      <c r="CK80" s="1844"/>
      <c r="CL80" s="1844"/>
      <c r="CM80" s="917">
        <f>CM22+CM27+CM32+CM37+CM42+CM47+CM52+CM57+CM62+CM67+CM72+CM77</f>
        <v>0</v>
      </c>
      <c r="CN80" s="918">
        <f>IF(CM80=0,0,CO80/CM80)</f>
        <v>0</v>
      </c>
      <c r="CO80" s="918">
        <f>CO22+CO27+CO32+CO37+CO42+CO47+CO52+CO57+CO62+CO67+CO72+CO77</f>
        <v>0</v>
      </c>
      <c r="CP80" s="1849"/>
      <c r="CQ80" s="1850"/>
      <c r="CR80" s="1850"/>
      <c r="CS80" s="1851"/>
      <c r="CT80" s="1851"/>
      <c r="CU80" s="1852"/>
      <c r="CV80" s="1852"/>
      <c r="CW80" s="1852"/>
      <c r="CX80" s="1852"/>
      <c r="CY80" s="1852"/>
      <c r="CZ80" s="1852"/>
      <c r="DA80" s="1852"/>
      <c r="DB80" s="912"/>
    </row>
    <row r="81" spans="1:119" x14ac:dyDescent="0.3">
      <c r="A81" s="1846"/>
      <c r="B81" s="915" t="s">
        <v>254</v>
      </c>
      <c r="C81" s="916">
        <f>C79-C80</f>
        <v>0</v>
      </c>
      <c r="D81" s="905">
        <f>IF(C81=0,0,E81/C81)</f>
        <v>0</v>
      </c>
      <c r="E81" s="905">
        <f>E79-E80</f>
        <v>0</v>
      </c>
      <c r="F81" s="1847"/>
      <c r="G81" s="1848"/>
      <c r="H81" s="1848"/>
      <c r="I81" s="1844"/>
      <c r="J81" s="1844"/>
      <c r="K81" s="917">
        <f>K79-K80</f>
        <v>0</v>
      </c>
      <c r="L81" s="918">
        <f>IF(K81=0,0,M81/K81)</f>
        <v>0</v>
      </c>
      <c r="M81" s="918">
        <f>M79-M80</f>
        <v>0</v>
      </c>
      <c r="N81" s="1849"/>
      <c r="O81" s="1850"/>
      <c r="P81" s="1850"/>
      <c r="Q81" s="1851"/>
      <c r="R81" s="1851"/>
      <c r="S81" s="916">
        <f>S79-S80</f>
        <v>0</v>
      </c>
      <c r="T81" s="905">
        <f>IF(S81=0,0,U81/S81)</f>
        <v>0</v>
      </c>
      <c r="U81" s="905">
        <f>U79-U80</f>
        <v>0</v>
      </c>
      <c r="V81" s="1847"/>
      <c r="W81" s="1848"/>
      <c r="X81" s="1848"/>
      <c r="Y81" s="1844"/>
      <c r="Z81" s="1844"/>
      <c r="AA81" s="917">
        <f>AA79-AA80</f>
        <v>0</v>
      </c>
      <c r="AB81" s="918">
        <f>IF(AA81=0,0,AC81/AA81)</f>
        <v>0</v>
      </c>
      <c r="AC81" s="918">
        <f>AC79-AC80</f>
        <v>0</v>
      </c>
      <c r="AD81" s="1849"/>
      <c r="AE81" s="1850"/>
      <c r="AF81" s="1850"/>
      <c r="AG81" s="1851"/>
      <c r="AH81" s="1851"/>
      <c r="AI81" s="916">
        <f>AI79-AI80</f>
        <v>0</v>
      </c>
      <c r="AJ81" s="905">
        <f>IF(AI81=0,0,AK81/AI81)</f>
        <v>0</v>
      </c>
      <c r="AK81" s="905">
        <f>AK79-AK80</f>
        <v>0</v>
      </c>
      <c r="AL81" s="1847"/>
      <c r="AM81" s="1848"/>
      <c r="AN81" s="1848"/>
      <c r="AO81" s="1844"/>
      <c r="AP81" s="1844"/>
      <c r="AQ81" s="917">
        <f>AQ79-AQ80</f>
        <v>0</v>
      </c>
      <c r="AR81" s="918">
        <f>IF(AQ81=0,0,AS81/AQ81)</f>
        <v>0</v>
      </c>
      <c r="AS81" s="918">
        <f>AS79-AS80</f>
        <v>0</v>
      </c>
      <c r="AT81" s="1849"/>
      <c r="AU81" s="1850"/>
      <c r="AV81" s="1850"/>
      <c r="AW81" s="1851"/>
      <c r="AX81" s="1851"/>
      <c r="AY81" s="916">
        <f>AY79-AY80</f>
        <v>0</v>
      </c>
      <c r="AZ81" s="905">
        <f>IF(AY81=0,0,BA81/AY81)</f>
        <v>0</v>
      </c>
      <c r="BA81" s="905">
        <f>BA79-BA80</f>
        <v>0</v>
      </c>
      <c r="BB81" s="1847"/>
      <c r="BC81" s="1848"/>
      <c r="BD81" s="1848"/>
      <c r="BE81" s="1844"/>
      <c r="BF81" s="1844"/>
      <c r="BG81" s="917">
        <f>BG79-BG80</f>
        <v>0</v>
      </c>
      <c r="BH81" s="918">
        <f>IF(BG81=0,0,BI81/BG81)</f>
        <v>0</v>
      </c>
      <c r="BI81" s="918">
        <f>BI79-BI80</f>
        <v>0</v>
      </c>
      <c r="BJ81" s="1849"/>
      <c r="BK81" s="1850"/>
      <c r="BL81" s="1850"/>
      <c r="BM81" s="1851"/>
      <c r="BN81" s="1851"/>
      <c r="BO81" s="916">
        <f>BO79-BO80</f>
        <v>0</v>
      </c>
      <c r="BP81" s="905">
        <f>IF(BO81=0,0,BQ81/BO81)</f>
        <v>0</v>
      </c>
      <c r="BQ81" s="905">
        <f>BQ79-BQ80</f>
        <v>0</v>
      </c>
      <c r="BR81" s="1847"/>
      <c r="BS81" s="1848"/>
      <c r="BT81" s="1848"/>
      <c r="BU81" s="1844"/>
      <c r="BV81" s="1844"/>
      <c r="BW81" s="917">
        <f>BW79-BW80</f>
        <v>0</v>
      </c>
      <c r="BX81" s="918">
        <f>IF(BW81=0,0,BY81/BW81)</f>
        <v>0</v>
      </c>
      <c r="BY81" s="918">
        <f>BY79-BY80</f>
        <v>0</v>
      </c>
      <c r="BZ81" s="1849"/>
      <c r="CA81" s="1850"/>
      <c r="CB81" s="1850"/>
      <c r="CC81" s="1851"/>
      <c r="CD81" s="1851"/>
      <c r="CE81" s="916">
        <f>CE79-CE80</f>
        <v>0</v>
      </c>
      <c r="CF81" s="905">
        <f>IF(CE81=0,0,CG81/CE81)</f>
        <v>0</v>
      </c>
      <c r="CG81" s="905">
        <f>CG79-CG80</f>
        <v>0</v>
      </c>
      <c r="CH81" s="1847"/>
      <c r="CI81" s="1848"/>
      <c r="CJ81" s="1848"/>
      <c r="CK81" s="1844"/>
      <c r="CL81" s="1844"/>
      <c r="CM81" s="917">
        <f>CM79-CM80</f>
        <v>0</v>
      </c>
      <c r="CN81" s="918">
        <f>IF(CM81=0,0,CO81/CM81)</f>
        <v>0</v>
      </c>
      <c r="CO81" s="918">
        <f>CO79-CO80</f>
        <v>0</v>
      </c>
      <c r="CP81" s="1849"/>
      <c r="CQ81" s="1850"/>
      <c r="CR81" s="1850"/>
      <c r="CS81" s="1851"/>
      <c r="CT81" s="1851"/>
      <c r="CU81" s="1852"/>
      <c r="CV81" s="1852"/>
      <c r="CW81" s="1852"/>
      <c r="CX81" s="1852"/>
      <c r="CY81" s="1852"/>
      <c r="CZ81" s="1852"/>
      <c r="DA81" s="1852"/>
      <c r="DB81" s="912"/>
    </row>
    <row r="82" spans="1:119" ht="12.5" x14ac:dyDescent="0.25">
      <c r="B82" s="21"/>
      <c r="O82" s="876"/>
      <c r="P82" s="876"/>
      <c r="W82" s="876"/>
      <c r="X82" s="876"/>
      <c r="AE82" s="876"/>
      <c r="AF82" s="876"/>
      <c r="AM82" s="876"/>
      <c r="AN82" s="876"/>
      <c r="AU82" s="876"/>
      <c r="AV82" s="876"/>
      <c r="BC82" s="876"/>
      <c r="BD82" s="876"/>
      <c r="BK82" s="876"/>
      <c r="BL82" s="876"/>
      <c r="BS82" s="876"/>
      <c r="BT82" s="876"/>
      <c r="CA82" s="876"/>
      <c r="CB82" s="876"/>
      <c r="CI82" s="876"/>
      <c r="CJ82" s="876"/>
      <c r="CQ82" s="876"/>
      <c r="CR82" s="876"/>
    </row>
    <row r="83" spans="1:119" ht="12.5" x14ac:dyDescent="0.25">
      <c r="A83" s="21"/>
      <c r="B83" s="21"/>
      <c r="O83" s="876"/>
      <c r="P83" s="876"/>
      <c r="W83" s="876"/>
      <c r="X83" s="876"/>
      <c r="AE83" s="876"/>
      <c r="AF83" s="876"/>
      <c r="AM83" s="876"/>
      <c r="AN83" s="876"/>
      <c r="AU83" s="876"/>
      <c r="AV83" s="876"/>
      <c r="BC83" s="876"/>
      <c r="BD83" s="876"/>
      <c r="BK83" s="876"/>
      <c r="BL83" s="876"/>
      <c r="BS83" s="876"/>
      <c r="BT83" s="876"/>
      <c r="CA83" s="876"/>
      <c r="CB83" s="876"/>
      <c r="CI83" s="876"/>
      <c r="CJ83" s="876"/>
      <c r="CQ83" s="876"/>
      <c r="CR83" s="876"/>
    </row>
    <row r="84" spans="1:119" x14ac:dyDescent="0.3">
      <c r="O84" s="876"/>
      <c r="P84" s="876"/>
      <c r="W84" s="876"/>
      <c r="X84" s="876"/>
      <c r="AE84" s="876"/>
      <c r="AF84" s="876"/>
      <c r="AM84" s="876"/>
      <c r="AN84" s="876"/>
      <c r="AU84" s="876"/>
      <c r="AV84" s="876"/>
      <c r="BC84" s="876"/>
      <c r="BD84" s="876"/>
      <c r="BK84" s="876"/>
      <c r="BL84" s="876"/>
      <c r="BS84" s="876"/>
      <c r="BT84" s="876"/>
      <c r="CA84" s="876"/>
      <c r="CB84" s="876"/>
      <c r="CI84" s="876"/>
      <c r="CJ84" s="876"/>
      <c r="CQ84" s="876"/>
      <c r="CR84" s="876"/>
    </row>
    <row r="85" spans="1:119" x14ac:dyDescent="0.3">
      <c r="C85" s="1853" t="str">
        <f>C18</f>
        <v>A</v>
      </c>
      <c r="D85" s="1853"/>
      <c r="E85" s="1853"/>
      <c r="F85" s="1853"/>
      <c r="G85" s="1853"/>
      <c r="H85" s="1853"/>
      <c r="I85" s="1853"/>
      <c r="J85" s="1853"/>
      <c r="K85" s="1832" t="str">
        <f>K18</f>
        <v>B</v>
      </c>
      <c r="L85" s="1832"/>
      <c r="M85" s="1832"/>
      <c r="N85" s="1832"/>
      <c r="O85" s="1832"/>
      <c r="P85" s="1832"/>
      <c r="Q85" s="1832"/>
      <c r="R85" s="1832"/>
      <c r="S85" s="1853" t="str">
        <f>S18</f>
        <v>C</v>
      </c>
      <c r="T85" s="1853"/>
      <c r="U85" s="1853"/>
      <c r="V85" s="1853"/>
      <c r="W85" s="1853"/>
      <c r="X85" s="1853"/>
      <c r="Y85" s="1853"/>
      <c r="Z85" s="1853"/>
      <c r="AA85" s="1832" t="str">
        <f>AA18</f>
        <v>D</v>
      </c>
      <c r="AB85" s="1832"/>
      <c r="AC85" s="1832"/>
      <c r="AD85" s="1832"/>
      <c r="AE85" s="1832"/>
      <c r="AF85" s="1832"/>
      <c r="AG85" s="1832"/>
      <c r="AH85" s="1832"/>
      <c r="AI85" s="1853" t="str">
        <f>AI18</f>
        <v>E</v>
      </c>
      <c r="AJ85" s="1853"/>
      <c r="AK85" s="1853"/>
      <c r="AL85" s="1853"/>
      <c r="AM85" s="1853"/>
      <c r="AN85" s="1853"/>
      <c r="AO85" s="1853"/>
      <c r="AP85" s="1853"/>
      <c r="AQ85" s="1832" t="str">
        <f>AQ18</f>
        <v>F</v>
      </c>
      <c r="AR85" s="1832"/>
      <c r="AS85" s="1832"/>
      <c r="AT85" s="1832"/>
      <c r="AU85" s="1832"/>
      <c r="AV85" s="1832"/>
      <c r="AW85" s="1832"/>
      <c r="AX85" s="1832"/>
      <c r="AY85" s="1853" t="str">
        <f>AY18</f>
        <v>G</v>
      </c>
      <c r="AZ85" s="1853"/>
      <c r="BA85" s="1853"/>
      <c r="BB85" s="1853"/>
      <c r="BC85" s="1853"/>
      <c r="BD85" s="1853"/>
      <c r="BE85" s="1853"/>
      <c r="BF85" s="1853"/>
      <c r="BG85" s="1832" t="str">
        <f>BG18</f>
        <v>H</v>
      </c>
      <c r="BH85" s="1832"/>
      <c r="BI85" s="1832"/>
      <c r="BJ85" s="1832"/>
      <c r="BK85" s="1832"/>
      <c r="BL85" s="1832"/>
      <c r="BM85" s="1832"/>
      <c r="BN85" s="1832"/>
      <c r="BO85" s="1853" t="str">
        <f>BO18</f>
        <v>I</v>
      </c>
      <c r="BP85" s="1853"/>
      <c r="BQ85" s="1853"/>
      <c r="BR85" s="1853"/>
      <c r="BS85" s="1853"/>
      <c r="BT85" s="1853"/>
      <c r="BU85" s="1853"/>
      <c r="BV85" s="1853"/>
      <c r="BW85" s="1832" t="str">
        <f>BW18</f>
        <v>J</v>
      </c>
      <c r="BX85" s="1832"/>
      <c r="BY85" s="1832"/>
      <c r="BZ85" s="1832"/>
      <c r="CA85" s="1832"/>
      <c r="CB85" s="1832"/>
      <c r="CC85" s="1832"/>
      <c r="CD85" s="1832"/>
      <c r="CE85" s="1853" t="str">
        <f>CE18</f>
        <v>K</v>
      </c>
      <c r="CF85" s="1853"/>
      <c r="CG85" s="1853"/>
      <c r="CH85" s="1853"/>
      <c r="CI85" s="1853"/>
      <c r="CJ85" s="1853"/>
      <c r="CK85" s="1853"/>
      <c r="CL85" s="1853"/>
      <c r="CM85" s="1832" t="str">
        <f>CM18</f>
        <v>L</v>
      </c>
      <c r="CN85" s="1832"/>
      <c r="CO85" s="1832"/>
      <c r="CP85" s="1832"/>
      <c r="CQ85" s="1832"/>
      <c r="CR85" s="1832"/>
      <c r="CS85" s="1832"/>
      <c r="CT85" s="1832"/>
      <c r="CU85" s="1833" t="s">
        <v>245</v>
      </c>
      <c r="CV85" s="1833"/>
      <c r="CW85" s="1833"/>
      <c r="CX85" s="1833"/>
      <c r="CY85" s="1833"/>
      <c r="CZ85" s="1833"/>
      <c r="DA85" s="1833"/>
      <c r="DB85" s="26"/>
    </row>
    <row r="86" spans="1:119" ht="26" x14ac:dyDescent="0.3">
      <c r="C86" s="921" t="str">
        <f>C19</f>
        <v>COMPRES (unitats)</v>
      </c>
      <c r="D86" s="921" t="str">
        <f t="shared" ref="D86:BO86" si="4">D19</f>
        <v>PREU UNITARI</v>
      </c>
      <c r="E86" s="921" t="str">
        <f t="shared" si="4"/>
        <v>IMPORT COMPRES</v>
      </c>
      <c r="F86" s="885" t="str">
        <f t="shared" si="4"/>
        <v>IVA SUPORTAT</v>
      </c>
      <c r="G86" s="922" t="str">
        <f t="shared" si="4"/>
        <v>Marge comercial</v>
      </c>
      <c r="H86" s="922" t="str">
        <f t="shared" si="4"/>
        <v>VENDES (%Stock)</v>
      </c>
      <c r="I86" s="921" t="str">
        <f t="shared" si="4"/>
        <v>IMPORT VENDES</v>
      </c>
      <c r="J86" s="921" t="str">
        <f t="shared" si="4"/>
        <v>IVA REPERCUTIT</v>
      </c>
      <c r="K86" s="923" t="str">
        <f t="shared" si="4"/>
        <v>COMPRES (unitats)</v>
      </c>
      <c r="L86" s="923" t="str">
        <f t="shared" si="4"/>
        <v>PREU UNITARI</v>
      </c>
      <c r="M86" s="923" t="str">
        <f t="shared" si="4"/>
        <v>IMPORT COMPRES</v>
      </c>
      <c r="N86" s="923" t="str">
        <f t="shared" si="4"/>
        <v>IVA SUPORTAT</v>
      </c>
      <c r="O86" s="924" t="str">
        <f t="shared" si="4"/>
        <v>Marge comercial</v>
      </c>
      <c r="P86" s="924" t="str">
        <f t="shared" si="4"/>
        <v>VENDES (%Stock)</v>
      </c>
      <c r="Q86" s="923" t="str">
        <f t="shared" si="4"/>
        <v>IMPORT VENDES</v>
      </c>
      <c r="R86" s="923" t="str">
        <f t="shared" si="4"/>
        <v>IVA REPERCUTIT</v>
      </c>
      <c r="S86" s="921" t="str">
        <f t="shared" si="4"/>
        <v>COMPRES (unitats)</v>
      </c>
      <c r="T86" s="921" t="str">
        <f t="shared" si="4"/>
        <v>PREU UNITARI</v>
      </c>
      <c r="U86" s="921" t="str">
        <f t="shared" si="4"/>
        <v>IMPORT COMPRES</v>
      </c>
      <c r="V86" s="885" t="str">
        <f t="shared" si="4"/>
        <v>IVA SUPORTAT</v>
      </c>
      <c r="W86" s="922" t="str">
        <f t="shared" si="4"/>
        <v>Marge comercial</v>
      </c>
      <c r="X86" s="922" t="str">
        <f t="shared" si="4"/>
        <v>VENDES (%Stock)</v>
      </c>
      <c r="Y86" s="921" t="str">
        <f t="shared" si="4"/>
        <v>IMPORT VENDES</v>
      </c>
      <c r="Z86" s="921" t="str">
        <f t="shared" si="4"/>
        <v>IVA REPERCUTIT</v>
      </c>
      <c r="AA86" s="923" t="str">
        <f t="shared" si="4"/>
        <v>COMPRES (unitats)</v>
      </c>
      <c r="AB86" s="923" t="str">
        <f t="shared" si="4"/>
        <v>PREU UNITARI</v>
      </c>
      <c r="AC86" s="923" t="str">
        <f t="shared" si="4"/>
        <v>IMPORT COMPRES</v>
      </c>
      <c r="AD86" s="923" t="str">
        <f t="shared" si="4"/>
        <v>IVA SUPORTAT</v>
      </c>
      <c r="AE86" s="924" t="str">
        <f t="shared" si="4"/>
        <v>Marge comercial</v>
      </c>
      <c r="AF86" s="924" t="str">
        <f t="shared" si="4"/>
        <v>VENDES (%Stock)</v>
      </c>
      <c r="AG86" s="923" t="str">
        <f t="shared" si="4"/>
        <v>IMPORT VENDES</v>
      </c>
      <c r="AH86" s="923" t="str">
        <f t="shared" si="4"/>
        <v>IVA REPERCUTIT</v>
      </c>
      <c r="AI86" s="921" t="str">
        <f t="shared" si="4"/>
        <v>COMPRES (unitats)</v>
      </c>
      <c r="AJ86" s="921" t="str">
        <f t="shared" si="4"/>
        <v>PREU UNITARI</v>
      </c>
      <c r="AK86" s="921" t="str">
        <f t="shared" si="4"/>
        <v>IMPORT COMPRES</v>
      </c>
      <c r="AL86" s="885" t="str">
        <f t="shared" si="4"/>
        <v>IVA SUPORTAT</v>
      </c>
      <c r="AM86" s="922" t="str">
        <f t="shared" si="4"/>
        <v>Marge comercial</v>
      </c>
      <c r="AN86" s="922" t="str">
        <f t="shared" si="4"/>
        <v>VENDES (%Stock)</v>
      </c>
      <c r="AO86" s="921" t="str">
        <f t="shared" si="4"/>
        <v>IMPORT VENDES</v>
      </c>
      <c r="AP86" s="921" t="str">
        <f t="shared" si="4"/>
        <v>IVA REPERCUTIT</v>
      </c>
      <c r="AQ86" s="923" t="str">
        <f t="shared" si="4"/>
        <v>COMPRES (unitats)</v>
      </c>
      <c r="AR86" s="923" t="str">
        <f t="shared" si="4"/>
        <v>PREU UNITARI</v>
      </c>
      <c r="AS86" s="923" t="str">
        <f t="shared" si="4"/>
        <v>IMPORT COMPRES</v>
      </c>
      <c r="AT86" s="923" t="str">
        <f t="shared" si="4"/>
        <v>IVA SUPORTAT</v>
      </c>
      <c r="AU86" s="924" t="str">
        <f t="shared" si="4"/>
        <v>Marge comercial</v>
      </c>
      <c r="AV86" s="924" t="str">
        <f t="shared" si="4"/>
        <v>VENDES (%Stock)</v>
      </c>
      <c r="AW86" s="923" t="str">
        <f t="shared" si="4"/>
        <v>IMPORT VENDES</v>
      </c>
      <c r="AX86" s="923" t="str">
        <f t="shared" si="4"/>
        <v>IVA REPERCUTIT</v>
      </c>
      <c r="AY86" s="921" t="str">
        <f t="shared" si="4"/>
        <v>COMPRES (unitats)</v>
      </c>
      <c r="AZ86" s="921" t="str">
        <f t="shared" si="4"/>
        <v>PREU UNITARI</v>
      </c>
      <c r="BA86" s="921" t="str">
        <f t="shared" si="4"/>
        <v>IMPORT COMPRES</v>
      </c>
      <c r="BB86" s="885" t="str">
        <f t="shared" si="4"/>
        <v>IVA SUPORTAT</v>
      </c>
      <c r="BC86" s="922" t="str">
        <f t="shared" si="4"/>
        <v>Marge comercial</v>
      </c>
      <c r="BD86" s="922" t="str">
        <f t="shared" si="4"/>
        <v>VENDES (%Stock)</v>
      </c>
      <c r="BE86" s="921" t="str">
        <f t="shared" si="4"/>
        <v>IMPORT VENDES</v>
      </c>
      <c r="BF86" s="921" t="str">
        <f t="shared" si="4"/>
        <v>IVA REPERCUTIT</v>
      </c>
      <c r="BG86" s="923" t="str">
        <f t="shared" si="4"/>
        <v>COMPRES (unitats)</v>
      </c>
      <c r="BH86" s="923" t="str">
        <f t="shared" si="4"/>
        <v>PREU UNITARI</v>
      </c>
      <c r="BI86" s="923" t="str">
        <f t="shared" si="4"/>
        <v>IMPORT COMPRES</v>
      </c>
      <c r="BJ86" s="923" t="str">
        <f t="shared" si="4"/>
        <v>IVA SUPORTAT</v>
      </c>
      <c r="BK86" s="924" t="str">
        <f t="shared" si="4"/>
        <v>Marge comercial</v>
      </c>
      <c r="BL86" s="924" t="str">
        <f t="shared" si="4"/>
        <v>VENDES (%Stock)</v>
      </c>
      <c r="BM86" s="923" t="str">
        <f t="shared" si="4"/>
        <v>IMPORT VENDES</v>
      </c>
      <c r="BN86" s="923" t="str">
        <f t="shared" si="4"/>
        <v>IVA REPERCUTIT</v>
      </c>
      <c r="BO86" s="921" t="str">
        <f t="shared" si="4"/>
        <v>COMPRES (unitats)</v>
      </c>
      <c r="BP86" s="921" t="str">
        <f t="shared" ref="BP86:DA86" si="5">BP19</f>
        <v>PREU UNITARI</v>
      </c>
      <c r="BQ86" s="921" t="str">
        <f t="shared" si="5"/>
        <v>IMPORT COMPRES</v>
      </c>
      <c r="BR86" s="885" t="str">
        <f t="shared" si="5"/>
        <v>IVA SUPORTAT</v>
      </c>
      <c r="BS86" s="922" t="str">
        <f t="shared" si="5"/>
        <v>Marge comercial</v>
      </c>
      <c r="BT86" s="922" t="str">
        <f t="shared" si="5"/>
        <v>VENDES (%Stock)</v>
      </c>
      <c r="BU86" s="921" t="str">
        <f t="shared" si="5"/>
        <v>IMPORT VENDES</v>
      </c>
      <c r="BV86" s="921" t="str">
        <f t="shared" si="5"/>
        <v>IVA REPERCUTIT</v>
      </c>
      <c r="BW86" s="923" t="str">
        <f t="shared" si="5"/>
        <v>COMPRES (unitats)</v>
      </c>
      <c r="BX86" s="923" t="str">
        <f t="shared" si="5"/>
        <v>PREU UNITARI</v>
      </c>
      <c r="BY86" s="923" t="str">
        <f t="shared" si="5"/>
        <v>IMPORT COMPRES</v>
      </c>
      <c r="BZ86" s="923" t="str">
        <f t="shared" si="5"/>
        <v>IVA SUPORTAT</v>
      </c>
      <c r="CA86" s="924" t="str">
        <f t="shared" si="5"/>
        <v>Marge comercial</v>
      </c>
      <c r="CB86" s="924" t="str">
        <f t="shared" si="5"/>
        <v>VENDES (%Stock)</v>
      </c>
      <c r="CC86" s="923" t="str">
        <f t="shared" si="5"/>
        <v>IMPORT VENDES</v>
      </c>
      <c r="CD86" s="923" t="str">
        <f t="shared" si="5"/>
        <v>IVA REPERCUTIT</v>
      </c>
      <c r="CE86" s="921" t="str">
        <f t="shared" si="5"/>
        <v>COMPRES (unitats)</v>
      </c>
      <c r="CF86" s="921" t="str">
        <f t="shared" si="5"/>
        <v>PREU UNITARI</v>
      </c>
      <c r="CG86" s="921" t="str">
        <f t="shared" si="5"/>
        <v>IMPORT COMPRES</v>
      </c>
      <c r="CH86" s="885" t="str">
        <f t="shared" si="5"/>
        <v>IVA SUPORTAT</v>
      </c>
      <c r="CI86" s="922" t="str">
        <f t="shared" si="5"/>
        <v>Marge comercial</v>
      </c>
      <c r="CJ86" s="922" t="str">
        <f t="shared" si="5"/>
        <v>VENDES (%Stock)</v>
      </c>
      <c r="CK86" s="921" t="str">
        <f t="shared" si="5"/>
        <v>IMPORT VENDES</v>
      </c>
      <c r="CL86" s="921" t="str">
        <f t="shared" si="5"/>
        <v>IVA REPERCUTIT</v>
      </c>
      <c r="CM86" s="923" t="str">
        <f t="shared" si="5"/>
        <v>COMPRES (unitats)</v>
      </c>
      <c r="CN86" s="923" t="str">
        <f t="shared" si="5"/>
        <v>PREU UNITARI</v>
      </c>
      <c r="CO86" s="923" t="str">
        <f t="shared" si="5"/>
        <v>IMPORT COMPRES</v>
      </c>
      <c r="CP86" s="923" t="str">
        <f t="shared" si="5"/>
        <v>IVA SUPORTAT</v>
      </c>
      <c r="CQ86" s="924" t="str">
        <f t="shared" si="5"/>
        <v>Marge comercial</v>
      </c>
      <c r="CR86" s="924" t="str">
        <f t="shared" si="5"/>
        <v>VENDES (%Stock)</v>
      </c>
      <c r="CS86" s="923" t="str">
        <f t="shared" si="5"/>
        <v>IMPORT VENDES</v>
      </c>
      <c r="CT86" s="923" t="str">
        <f t="shared" si="5"/>
        <v>IVA REPERCUTIT</v>
      </c>
      <c r="CU86" s="889" t="str">
        <f t="shared" si="5"/>
        <v>IMPORT COMPRES</v>
      </c>
      <c r="CV86" s="889" t="str">
        <f t="shared" si="5"/>
        <v>IVA SUPORTAT</v>
      </c>
      <c r="CW86" s="889" t="str">
        <f t="shared" si="5"/>
        <v>IMPORT VENDES</v>
      </c>
      <c r="CX86" s="889" t="str">
        <f t="shared" si="5"/>
        <v>IVA REPERCUTIT</v>
      </c>
      <c r="CY86" s="889" t="str">
        <f t="shared" si="5"/>
        <v>STOCK INICIAL</v>
      </c>
      <c r="CZ86" s="889" t="str">
        <f t="shared" si="5"/>
        <v>STOCK FINAL</v>
      </c>
      <c r="DA86" s="889" t="str">
        <f t="shared" si="5"/>
        <v>VARIACIÓ STOCK</v>
      </c>
      <c r="DB86" s="890"/>
    </row>
    <row r="87" spans="1:119" x14ac:dyDescent="0.3">
      <c r="A87" s="1834" t="s">
        <v>47</v>
      </c>
      <c r="B87" s="1834"/>
      <c r="C87" s="891"/>
      <c r="D87" s="891"/>
      <c r="E87" s="891"/>
      <c r="F87" s="891"/>
      <c r="G87" s="893"/>
      <c r="H87" s="893"/>
      <c r="I87" s="891"/>
      <c r="J87" s="891"/>
      <c r="K87" s="894"/>
      <c r="L87" s="894"/>
      <c r="M87" s="894"/>
      <c r="N87" s="894"/>
      <c r="O87" s="896"/>
      <c r="P87" s="896"/>
      <c r="Q87" s="894"/>
      <c r="R87" s="894"/>
      <c r="S87" s="891"/>
      <c r="T87" s="891"/>
      <c r="U87" s="891"/>
      <c r="V87" s="891"/>
      <c r="W87" s="893"/>
      <c r="X87" s="893"/>
      <c r="Y87" s="891"/>
      <c r="Z87" s="891"/>
      <c r="AA87" s="894"/>
      <c r="AB87" s="894"/>
      <c r="AC87" s="894"/>
      <c r="AD87" s="894"/>
      <c r="AE87" s="896"/>
      <c r="AF87" s="896"/>
      <c r="AG87" s="894"/>
      <c r="AH87" s="894"/>
      <c r="AI87" s="891"/>
      <c r="AJ87" s="891"/>
      <c r="AK87" s="891"/>
      <c r="AL87" s="891"/>
      <c r="AM87" s="893"/>
      <c r="AN87" s="893"/>
      <c r="AO87" s="891"/>
      <c r="AP87" s="891"/>
      <c r="AQ87" s="894"/>
      <c r="AR87" s="894"/>
      <c r="AS87" s="894"/>
      <c r="AT87" s="894"/>
      <c r="AU87" s="896"/>
      <c r="AV87" s="896"/>
      <c r="AW87" s="894"/>
      <c r="AX87" s="894"/>
      <c r="AY87" s="891"/>
      <c r="AZ87" s="891"/>
      <c r="BA87" s="891"/>
      <c r="BB87" s="891"/>
      <c r="BC87" s="893"/>
      <c r="BD87" s="893"/>
      <c r="BE87" s="891"/>
      <c r="BF87" s="891"/>
      <c r="BG87" s="894"/>
      <c r="BH87" s="894"/>
      <c r="BI87" s="894"/>
      <c r="BJ87" s="894"/>
      <c r="BK87" s="896"/>
      <c r="BL87" s="896"/>
      <c r="BM87" s="894"/>
      <c r="BN87" s="894"/>
      <c r="BO87" s="891"/>
      <c r="BP87" s="891"/>
      <c r="BQ87" s="891"/>
      <c r="BR87" s="891"/>
      <c r="BS87" s="893"/>
      <c r="BT87" s="893"/>
      <c r="BU87" s="891"/>
      <c r="BV87" s="891"/>
      <c r="BW87" s="894"/>
      <c r="BX87" s="894"/>
      <c r="BY87" s="894"/>
      <c r="BZ87" s="894"/>
      <c r="CA87" s="896"/>
      <c r="CB87" s="896"/>
      <c r="CC87" s="894"/>
      <c r="CD87" s="894"/>
      <c r="CE87" s="891"/>
      <c r="CF87" s="891"/>
      <c r="CG87" s="891"/>
      <c r="CH87" s="891"/>
      <c r="CI87" s="893"/>
      <c r="CJ87" s="893"/>
      <c r="CK87" s="891"/>
      <c r="CL87" s="891"/>
      <c r="CM87" s="894"/>
      <c r="CN87" s="894"/>
      <c r="CO87" s="894"/>
      <c r="CP87" s="894"/>
      <c r="CQ87" s="896"/>
      <c r="CR87" s="896"/>
      <c r="CS87" s="894"/>
      <c r="CT87" s="894"/>
      <c r="CU87" s="891"/>
      <c r="CV87" s="891"/>
      <c r="CW87" s="891"/>
      <c r="CX87" s="891"/>
      <c r="CY87" s="891"/>
      <c r="CZ87" s="891"/>
      <c r="DA87" s="891"/>
      <c r="DB87" s="890"/>
    </row>
    <row r="88" spans="1:119" x14ac:dyDescent="0.3">
      <c r="A88" s="1854" t="s">
        <v>255</v>
      </c>
      <c r="B88" s="1854"/>
      <c r="C88" s="925">
        <f>C81</f>
        <v>0</v>
      </c>
      <c r="D88" s="926">
        <f>D81</f>
        <v>0</v>
      </c>
      <c r="E88" s="926">
        <f>D88*C88</f>
        <v>0</v>
      </c>
      <c r="F88" s="926"/>
      <c r="G88" s="927"/>
      <c r="H88" s="927"/>
      <c r="I88" s="928"/>
      <c r="J88" s="928"/>
      <c r="K88" s="929">
        <f>K81</f>
        <v>0</v>
      </c>
      <c r="L88" s="930">
        <f>L81</f>
        <v>0</v>
      </c>
      <c r="M88" s="930">
        <f>L88*K88</f>
        <v>0</v>
      </c>
      <c r="N88" s="930"/>
      <c r="O88" s="931"/>
      <c r="P88" s="931"/>
      <c r="Q88" s="932"/>
      <c r="R88" s="932"/>
      <c r="S88" s="925">
        <f>S81</f>
        <v>0</v>
      </c>
      <c r="T88" s="926">
        <f>T81</f>
        <v>0</v>
      </c>
      <c r="U88" s="926">
        <f>T88*S88</f>
        <v>0</v>
      </c>
      <c r="V88" s="926"/>
      <c r="W88" s="927"/>
      <c r="X88" s="927"/>
      <c r="Y88" s="928"/>
      <c r="Z88" s="928"/>
      <c r="AA88" s="929">
        <f>AA81</f>
        <v>0</v>
      </c>
      <c r="AB88" s="930">
        <f>AB81</f>
        <v>0</v>
      </c>
      <c r="AC88" s="930">
        <f>AB88*AA88</f>
        <v>0</v>
      </c>
      <c r="AD88" s="930"/>
      <c r="AE88" s="931"/>
      <c r="AF88" s="931"/>
      <c r="AG88" s="932"/>
      <c r="AH88" s="932"/>
      <c r="AI88" s="925">
        <f>AI81</f>
        <v>0</v>
      </c>
      <c r="AJ88" s="926">
        <f>AJ81</f>
        <v>0</v>
      </c>
      <c r="AK88" s="926">
        <f>AJ88*AI88</f>
        <v>0</v>
      </c>
      <c r="AL88" s="926"/>
      <c r="AM88" s="927"/>
      <c r="AN88" s="927"/>
      <c r="AO88" s="928"/>
      <c r="AP88" s="928"/>
      <c r="AQ88" s="929">
        <f>AQ81</f>
        <v>0</v>
      </c>
      <c r="AR88" s="930">
        <f>AR81</f>
        <v>0</v>
      </c>
      <c r="AS88" s="930">
        <f>AR88*AQ88</f>
        <v>0</v>
      </c>
      <c r="AT88" s="930"/>
      <c r="AU88" s="931"/>
      <c r="AV88" s="931"/>
      <c r="AW88" s="932"/>
      <c r="AX88" s="932"/>
      <c r="AY88" s="925">
        <f>AY81</f>
        <v>0</v>
      </c>
      <c r="AZ88" s="926">
        <f>AZ81</f>
        <v>0</v>
      </c>
      <c r="BA88" s="926">
        <f>AZ88*AY88</f>
        <v>0</v>
      </c>
      <c r="BB88" s="926"/>
      <c r="BC88" s="927"/>
      <c r="BD88" s="927"/>
      <c r="BE88" s="928"/>
      <c r="BF88" s="928"/>
      <c r="BG88" s="929">
        <f>BG81</f>
        <v>0</v>
      </c>
      <c r="BH88" s="930">
        <f>BH81</f>
        <v>0</v>
      </c>
      <c r="BI88" s="930">
        <f>BH88*BG88</f>
        <v>0</v>
      </c>
      <c r="BJ88" s="930"/>
      <c r="BK88" s="931"/>
      <c r="BL88" s="931"/>
      <c r="BM88" s="932"/>
      <c r="BN88" s="932"/>
      <c r="BO88" s="925">
        <f>BO81</f>
        <v>0</v>
      </c>
      <c r="BP88" s="926">
        <f>BP81</f>
        <v>0</v>
      </c>
      <c r="BQ88" s="926">
        <f>BP88*BO88</f>
        <v>0</v>
      </c>
      <c r="BR88" s="926"/>
      <c r="BS88" s="927"/>
      <c r="BT88" s="927"/>
      <c r="BU88" s="928"/>
      <c r="BV88" s="928"/>
      <c r="BW88" s="929">
        <f>BW81</f>
        <v>0</v>
      </c>
      <c r="BX88" s="930">
        <f>BX81</f>
        <v>0</v>
      </c>
      <c r="BY88" s="930">
        <f>BX88*BW88</f>
        <v>0</v>
      </c>
      <c r="BZ88" s="930"/>
      <c r="CA88" s="931"/>
      <c r="CB88" s="931"/>
      <c r="CC88" s="932"/>
      <c r="CD88" s="932"/>
      <c r="CE88" s="925">
        <f>CE81</f>
        <v>0</v>
      </c>
      <c r="CF88" s="926">
        <f>CF81</f>
        <v>0</v>
      </c>
      <c r="CG88" s="926">
        <f>CF88*CE88</f>
        <v>0</v>
      </c>
      <c r="CH88" s="926"/>
      <c r="CI88" s="927"/>
      <c r="CJ88" s="927"/>
      <c r="CK88" s="928"/>
      <c r="CL88" s="928"/>
      <c r="CM88" s="929">
        <f>CM81</f>
        <v>0</v>
      </c>
      <c r="CN88" s="930">
        <f>CN81</f>
        <v>0</v>
      </c>
      <c r="CO88" s="930">
        <f>CN88*CM88</f>
        <v>0</v>
      </c>
      <c r="CP88" s="930"/>
      <c r="CQ88" s="931"/>
      <c r="CR88" s="931"/>
      <c r="CS88" s="932"/>
      <c r="CT88" s="932"/>
      <c r="CU88" s="933"/>
      <c r="CV88" s="933"/>
      <c r="CW88" s="934"/>
      <c r="CX88" s="934"/>
      <c r="CY88" s="934"/>
      <c r="CZ88" s="934"/>
      <c r="DA88" s="934"/>
      <c r="DB88" s="897"/>
      <c r="DC88" s="801" t="str">
        <f>DC20</f>
        <v>GENER</v>
      </c>
      <c r="DD88" s="801" t="str">
        <f t="shared" ref="DD88:DN88" si="6">DD20</f>
        <v>FEBRER</v>
      </c>
      <c r="DE88" s="801" t="str">
        <f t="shared" si="6"/>
        <v>MARÇ</v>
      </c>
      <c r="DF88" s="801" t="str">
        <f t="shared" si="6"/>
        <v>ABRIL</v>
      </c>
      <c r="DG88" s="801" t="str">
        <f t="shared" si="6"/>
        <v>MAIG</v>
      </c>
      <c r="DH88" s="801" t="str">
        <f t="shared" si="6"/>
        <v>JUNY</v>
      </c>
      <c r="DI88" s="801" t="str">
        <f t="shared" si="6"/>
        <v>JULIOL</v>
      </c>
      <c r="DJ88" s="801" t="str">
        <f t="shared" si="6"/>
        <v>AGOST</v>
      </c>
      <c r="DK88" s="801" t="str">
        <f t="shared" si="6"/>
        <v>SETEMBRE</v>
      </c>
      <c r="DL88" s="801" t="str">
        <f t="shared" si="6"/>
        <v>OCTUBRE</v>
      </c>
      <c r="DM88" s="801" t="str">
        <f t="shared" si="6"/>
        <v>NOVEMBRE</v>
      </c>
      <c r="DN88" s="801" t="str">
        <f t="shared" si="6"/>
        <v>DESEMBRE</v>
      </c>
      <c r="DO88" s="883" t="s">
        <v>245</v>
      </c>
    </row>
    <row r="89" spans="1:119" x14ac:dyDescent="0.3">
      <c r="A89" s="1835" t="str">
        <f>A21</f>
        <v>GENER</v>
      </c>
      <c r="B89" s="108" t="s">
        <v>310</v>
      </c>
      <c r="C89" s="898">
        <v>0</v>
      </c>
      <c r="D89" s="899">
        <f>D75</f>
        <v>0</v>
      </c>
      <c r="E89" s="29">
        <f>C89*D89</f>
        <v>0</v>
      </c>
      <c r="F89" s="1836">
        <f>E89*$I$3</f>
        <v>0</v>
      </c>
      <c r="G89" s="1837">
        <f>G74</f>
        <v>0</v>
      </c>
      <c r="H89" s="1838">
        <v>0</v>
      </c>
      <c r="I89" s="1839">
        <f>(E88+E89)*H89/(1-G89)</f>
        <v>0</v>
      </c>
      <c r="J89" s="1839">
        <f>I89*$F$3</f>
        <v>0</v>
      </c>
      <c r="K89" s="900">
        <v>0</v>
      </c>
      <c r="L89" s="901">
        <f>L88</f>
        <v>0</v>
      </c>
      <c r="M89" s="902">
        <f>K89*L89</f>
        <v>0</v>
      </c>
      <c r="N89" s="1840">
        <f>M89*$I$4</f>
        <v>0</v>
      </c>
      <c r="O89" s="1841">
        <f>O74</f>
        <v>0</v>
      </c>
      <c r="P89" s="1842">
        <v>0</v>
      </c>
      <c r="Q89" s="1843">
        <f>(M88+M89)*P89/(1-O89)</f>
        <v>0</v>
      </c>
      <c r="R89" s="1843">
        <f>Q89*$F$4</f>
        <v>0</v>
      </c>
      <c r="S89" s="898">
        <v>0</v>
      </c>
      <c r="T89" s="899">
        <f>T88</f>
        <v>0</v>
      </c>
      <c r="U89" s="29">
        <f>S89*T89</f>
        <v>0</v>
      </c>
      <c r="V89" s="1836">
        <f>U89*$I$5</f>
        <v>0</v>
      </c>
      <c r="W89" s="1837">
        <f>W74</f>
        <v>0</v>
      </c>
      <c r="X89" s="1838">
        <v>0</v>
      </c>
      <c r="Y89" s="1839">
        <f>(U88+U89)*X89/(1-W89)</f>
        <v>0</v>
      </c>
      <c r="Z89" s="1839">
        <f>Y89*$F$5</f>
        <v>0</v>
      </c>
      <c r="AA89" s="900">
        <v>0</v>
      </c>
      <c r="AB89" s="901">
        <f>AB88</f>
        <v>0</v>
      </c>
      <c r="AC89" s="902">
        <f>AA89*AB89</f>
        <v>0</v>
      </c>
      <c r="AD89" s="1840">
        <f>AC89*$I$6</f>
        <v>0</v>
      </c>
      <c r="AE89" s="1841">
        <f>AE74</f>
        <v>0</v>
      </c>
      <c r="AF89" s="1842">
        <v>0</v>
      </c>
      <c r="AG89" s="1843">
        <f>(AC88+AC89)*AF89/(1-AE89)</f>
        <v>0</v>
      </c>
      <c r="AH89" s="1843">
        <f>AG89*$F$6</f>
        <v>0</v>
      </c>
      <c r="AI89" s="898">
        <v>0</v>
      </c>
      <c r="AJ89" s="899">
        <f>AJ88</f>
        <v>0</v>
      </c>
      <c r="AK89" s="29">
        <f>AI89*AJ89</f>
        <v>0</v>
      </c>
      <c r="AL89" s="1836">
        <f>AK89*$I$7</f>
        <v>0</v>
      </c>
      <c r="AM89" s="1837">
        <f>AM74</f>
        <v>0</v>
      </c>
      <c r="AN89" s="1838">
        <v>0</v>
      </c>
      <c r="AO89" s="1839">
        <f>(AK88+AK89)*AN89/(1-AM89)</f>
        <v>0</v>
      </c>
      <c r="AP89" s="1839">
        <f>AO89*$F$7</f>
        <v>0</v>
      </c>
      <c r="AQ89" s="900">
        <v>0</v>
      </c>
      <c r="AR89" s="901">
        <f>AR88</f>
        <v>0</v>
      </c>
      <c r="AS89" s="902">
        <f>AQ89*AR89</f>
        <v>0</v>
      </c>
      <c r="AT89" s="1840">
        <f>AS89*$I$8</f>
        <v>0</v>
      </c>
      <c r="AU89" s="1841">
        <f>AU74</f>
        <v>0</v>
      </c>
      <c r="AV89" s="1842">
        <v>0</v>
      </c>
      <c r="AW89" s="1843">
        <f>(AS88+AS89)*AV89/(1-AU89)</f>
        <v>0</v>
      </c>
      <c r="AX89" s="1843">
        <f>AW89*$F$8</f>
        <v>0</v>
      </c>
      <c r="AY89" s="898">
        <v>0</v>
      </c>
      <c r="AZ89" s="899">
        <f>AZ88</f>
        <v>0</v>
      </c>
      <c r="BA89" s="29">
        <f>AY89*AZ89</f>
        <v>0</v>
      </c>
      <c r="BB89" s="1836">
        <f>BA89*$I$9</f>
        <v>0</v>
      </c>
      <c r="BC89" s="1837">
        <f>BC74</f>
        <v>0</v>
      </c>
      <c r="BD89" s="1838">
        <v>0</v>
      </c>
      <c r="BE89" s="1839">
        <f>(BA88+BA89)*BD89/(1-BC89)</f>
        <v>0</v>
      </c>
      <c r="BF89" s="1839">
        <f>BE89*$F$9</f>
        <v>0</v>
      </c>
      <c r="BG89" s="900">
        <v>0</v>
      </c>
      <c r="BH89" s="901">
        <f>BH88</f>
        <v>0</v>
      </c>
      <c r="BI89" s="902">
        <f>BG89*BH89</f>
        <v>0</v>
      </c>
      <c r="BJ89" s="1840">
        <f>BI89*$I$10</f>
        <v>0</v>
      </c>
      <c r="BK89" s="1841">
        <f>BK74</f>
        <v>0</v>
      </c>
      <c r="BL89" s="1842">
        <v>0</v>
      </c>
      <c r="BM89" s="1843">
        <f>(BI88+BI89)*BL89/(1-BK89)</f>
        <v>0</v>
      </c>
      <c r="BN89" s="1843">
        <f>BM89*$F$10</f>
        <v>0</v>
      </c>
      <c r="BO89" s="898">
        <v>0</v>
      </c>
      <c r="BP89" s="899">
        <f>BP88</f>
        <v>0</v>
      </c>
      <c r="BQ89" s="29">
        <f>BO89*BP89</f>
        <v>0</v>
      </c>
      <c r="BR89" s="1836">
        <f>BQ89*$I$11</f>
        <v>0</v>
      </c>
      <c r="BS89" s="1837">
        <f>BS74</f>
        <v>0</v>
      </c>
      <c r="BT89" s="1838">
        <v>0</v>
      </c>
      <c r="BU89" s="1839">
        <f>(BQ88+BQ89)*BT89/(1-BS89)</f>
        <v>0</v>
      </c>
      <c r="BV89" s="1839">
        <f>BU89*$F$11</f>
        <v>0</v>
      </c>
      <c r="BW89" s="900">
        <v>0</v>
      </c>
      <c r="BX89" s="901">
        <f>BX88</f>
        <v>0</v>
      </c>
      <c r="BY89" s="902">
        <f>BW89*BX89</f>
        <v>0</v>
      </c>
      <c r="BZ89" s="1840">
        <f>BY89*$I$12</f>
        <v>0</v>
      </c>
      <c r="CA89" s="1841">
        <f>CA74</f>
        <v>0</v>
      </c>
      <c r="CB89" s="1842">
        <v>0</v>
      </c>
      <c r="CC89" s="1843">
        <f>(BY88+BY89)*CB89/(1-CA89)</f>
        <v>0</v>
      </c>
      <c r="CD89" s="1843">
        <f>CC89*$F$12</f>
        <v>0</v>
      </c>
      <c r="CE89" s="898">
        <v>0</v>
      </c>
      <c r="CF89" s="899">
        <f>CF88</f>
        <v>0</v>
      </c>
      <c r="CG89" s="29">
        <f>CE89*CF89</f>
        <v>0</v>
      </c>
      <c r="CH89" s="1836">
        <f>CG89*$I$13</f>
        <v>0</v>
      </c>
      <c r="CI89" s="1837">
        <f>CI74</f>
        <v>0</v>
      </c>
      <c r="CJ89" s="1838">
        <v>0</v>
      </c>
      <c r="CK89" s="1839">
        <f>(CG88+CG89)*CJ89/(1-CI89)</f>
        <v>0</v>
      </c>
      <c r="CL89" s="1839">
        <f>CK89*$F$13</f>
        <v>0</v>
      </c>
      <c r="CM89" s="900">
        <v>0</v>
      </c>
      <c r="CN89" s="901">
        <f>CN88</f>
        <v>0</v>
      </c>
      <c r="CO89" s="902">
        <f>CM89*CN89</f>
        <v>0</v>
      </c>
      <c r="CP89" s="1840">
        <f>CO89*$I$14</f>
        <v>0</v>
      </c>
      <c r="CQ89" s="1841">
        <f>CQ74</f>
        <v>0</v>
      </c>
      <c r="CR89" s="1842">
        <v>0</v>
      </c>
      <c r="CS89" s="1843">
        <f>(CO88+CO89)*CR89/(1-CQ89)</f>
        <v>0</v>
      </c>
      <c r="CT89" s="1843">
        <f>CS89*$F$14</f>
        <v>0</v>
      </c>
      <c r="CU89" s="1844">
        <f>E89+M89+U89+AC89+AK89+AS89+BA89+BI89+BQ89+BY89+CG89+CO89</f>
        <v>0</v>
      </c>
      <c r="CV89" s="1844">
        <f>F89+N89+V89+AD89+AL89+AT89+BB89+BJ89+BR89+BZ89+CH89+CP89</f>
        <v>0</v>
      </c>
      <c r="CW89" s="1845">
        <f>I89+Q89+Y89+AG89+AO89+AW89+BE89+BM89+BU89+CC89+CK89+CS89</f>
        <v>0</v>
      </c>
      <c r="CX89" s="1844">
        <f>CT89+CL89+CD89+BV89+BN89+BF89+AX89+AP89+AH89+Z89+R89+J89</f>
        <v>0</v>
      </c>
      <c r="CY89" s="1845">
        <f>CZ79</f>
        <v>0</v>
      </c>
      <c r="CZ89" s="1845">
        <f>E91+M91+U91+AC91+AK91+AS91+BA91+BI91+BQ91+BY91+CG91+CO91</f>
        <v>0</v>
      </c>
      <c r="DA89" s="1845">
        <f>CZ89-CY89</f>
        <v>0</v>
      </c>
      <c r="DB89" s="903" t="s">
        <v>58</v>
      </c>
      <c r="DC89" s="794">
        <f>CW89</f>
        <v>0</v>
      </c>
      <c r="DD89" s="794">
        <f>CW92</f>
        <v>0</v>
      </c>
      <c r="DE89" s="794">
        <f>CW97</f>
        <v>0</v>
      </c>
      <c r="DF89" s="794">
        <f>CW102</f>
        <v>0</v>
      </c>
      <c r="DG89" s="794">
        <f>CW107</f>
        <v>0</v>
      </c>
      <c r="DH89" s="794">
        <f>CW112</f>
        <v>0</v>
      </c>
      <c r="DI89" s="794">
        <f>CW117</f>
        <v>0</v>
      </c>
      <c r="DJ89" s="794">
        <f>CW122</f>
        <v>0</v>
      </c>
      <c r="DK89" s="794">
        <f>CW127</f>
        <v>0</v>
      </c>
      <c r="DL89" s="794">
        <f>CW132</f>
        <v>0</v>
      </c>
      <c r="DM89" s="794">
        <f>CW137</f>
        <v>0</v>
      </c>
      <c r="DN89" s="794">
        <f>CW142</f>
        <v>0</v>
      </c>
      <c r="DO89" s="905">
        <f>SUM(DC89:DN89)</f>
        <v>0</v>
      </c>
    </row>
    <row r="90" spans="1:119" x14ac:dyDescent="0.3">
      <c r="A90" s="1835"/>
      <c r="B90" s="108" t="s">
        <v>312</v>
      </c>
      <c r="C90" s="906">
        <f>(C89+C88)*H89</f>
        <v>0</v>
      </c>
      <c r="D90" s="29">
        <f>IF(C90=0,0,E90/C90)</f>
        <v>0</v>
      </c>
      <c r="E90" s="29">
        <f>I89*(1-G89)</f>
        <v>0</v>
      </c>
      <c r="F90" s="1836"/>
      <c r="G90" s="1837"/>
      <c r="H90" s="1838"/>
      <c r="I90" s="1839"/>
      <c r="J90" s="1839"/>
      <c r="K90" s="907">
        <f>(K89+K88)*P89</f>
        <v>0</v>
      </c>
      <c r="L90" s="902">
        <f>IF(K90=0,0,M90/K90)</f>
        <v>0</v>
      </c>
      <c r="M90" s="902">
        <f>Q89*(1-O89)</f>
        <v>0</v>
      </c>
      <c r="N90" s="1840"/>
      <c r="O90" s="1841"/>
      <c r="P90" s="1842"/>
      <c r="Q90" s="1843"/>
      <c r="R90" s="1843"/>
      <c r="S90" s="906">
        <f>(S89+S88)*X89</f>
        <v>0</v>
      </c>
      <c r="T90" s="29">
        <f>IF(S90=0,0,U90/S90)</f>
        <v>0</v>
      </c>
      <c r="U90" s="29">
        <f>Y89*(1-W89)</f>
        <v>0</v>
      </c>
      <c r="V90" s="1836"/>
      <c r="W90" s="1837"/>
      <c r="X90" s="1838"/>
      <c r="Y90" s="1839"/>
      <c r="Z90" s="1839"/>
      <c r="AA90" s="907">
        <f>(AA89+AA88)*AF89</f>
        <v>0</v>
      </c>
      <c r="AB90" s="902">
        <f>IF(AA90=0,0,AC90/AA90)</f>
        <v>0</v>
      </c>
      <c r="AC90" s="902">
        <f>AG89*(1-AE89)</f>
        <v>0</v>
      </c>
      <c r="AD90" s="1840"/>
      <c r="AE90" s="1841"/>
      <c r="AF90" s="1842"/>
      <c r="AG90" s="1843"/>
      <c r="AH90" s="1843"/>
      <c r="AI90" s="906">
        <f>(AI89+AI88)*AN89</f>
        <v>0</v>
      </c>
      <c r="AJ90" s="29">
        <f>IF(AI90=0,0,AK90/AI90)</f>
        <v>0</v>
      </c>
      <c r="AK90" s="29">
        <f>AO89*(1-AM89)</f>
        <v>0</v>
      </c>
      <c r="AL90" s="1836"/>
      <c r="AM90" s="1837"/>
      <c r="AN90" s="1838"/>
      <c r="AO90" s="1839"/>
      <c r="AP90" s="1839"/>
      <c r="AQ90" s="907">
        <f>(AQ89+AQ88)*AV89</f>
        <v>0</v>
      </c>
      <c r="AR90" s="902">
        <f>IF(AQ90=0,0,AS90/AQ90)</f>
        <v>0</v>
      </c>
      <c r="AS90" s="902">
        <f>AW89*(1-AU89)</f>
        <v>0</v>
      </c>
      <c r="AT90" s="1840"/>
      <c r="AU90" s="1841"/>
      <c r="AV90" s="1842"/>
      <c r="AW90" s="1843"/>
      <c r="AX90" s="1843"/>
      <c r="AY90" s="906">
        <f>(AY89+AY88)*BD89</f>
        <v>0</v>
      </c>
      <c r="AZ90" s="29">
        <f>IF(AY90=0,0,BA90/AY90)</f>
        <v>0</v>
      </c>
      <c r="BA90" s="29">
        <f>BE89*(1-BC89)</f>
        <v>0</v>
      </c>
      <c r="BB90" s="1836"/>
      <c r="BC90" s="1837"/>
      <c r="BD90" s="1838"/>
      <c r="BE90" s="1839"/>
      <c r="BF90" s="1839"/>
      <c r="BG90" s="907">
        <f>(BG89+BG88)*BL89</f>
        <v>0</v>
      </c>
      <c r="BH90" s="902">
        <f>IF(BG90=0,0,BI90/BG90)</f>
        <v>0</v>
      </c>
      <c r="BI90" s="902">
        <f>BM89*(1-BK89)</f>
        <v>0</v>
      </c>
      <c r="BJ90" s="1840"/>
      <c r="BK90" s="1841"/>
      <c r="BL90" s="1842"/>
      <c r="BM90" s="1843"/>
      <c r="BN90" s="1843"/>
      <c r="BO90" s="906">
        <f>(BO89+BO88)*BT89</f>
        <v>0</v>
      </c>
      <c r="BP90" s="29">
        <f>IF(BO90=0,0,BQ90/BO90)</f>
        <v>0</v>
      </c>
      <c r="BQ90" s="29">
        <f>BU89*(1-BS89)</f>
        <v>0</v>
      </c>
      <c r="BR90" s="1836"/>
      <c r="BS90" s="1837"/>
      <c r="BT90" s="1838"/>
      <c r="BU90" s="1839"/>
      <c r="BV90" s="1839"/>
      <c r="BW90" s="907">
        <f>(BW89+BW88)*CB89</f>
        <v>0</v>
      </c>
      <c r="BX90" s="902">
        <f>IF(BW90=0,0,BY90/BW90)</f>
        <v>0</v>
      </c>
      <c r="BY90" s="902">
        <f>CC89*(1-CA89)</f>
        <v>0</v>
      </c>
      <c r="BZ90" s="1840"/>
      <c r="CA90" s="1841"/>
      <c r="CB90" s="1842"/>
      <c r="CC90" s="1843"/>
      <c r="CD90" s="1843"/>
      <c r="CE90" s="906">
        <f>(CE89+CE88)*CJ89</f>
        <v>0</v>
      </c>
      <c r="CF90" s="29">
        <f>IF(CE90=0,0,CG90/CE90)</f>
        <v>0</v>
      </c>
      <c r="CG90" s="29">
        <f>CK89*(1-CI89)</f>
        <v>0</v>
      </c>
      <c r="CH90" s="1836"/>
      <c r="CI90" s="1837"/>
      <c r="CJ90" s="1838"/>
      <c r="CK90" s="1839"/>
      <c r="CL90" s="1839"/>
      <c r="CM90" s="907">
        <f>(CM89+CM88)*CR89</f>
        <v>0</v>
      </c>
      <c r="CN90" s="902">
        <f>IF(CM90=0,0,CO90/CM90)</f>
        <v>0</v>
      </c>
      <c r="CO90" s="902">
        <f>CS89*(1-CQ89)</f>
        <v>0</v>
      </c>
      <c r="CP90" s="1840"/>
      <c r="CQ90" s="1841"/>
      <c r="CR90" s="1842"/>
      <c r="CS90" s="1843"/>
      <c r="CT90" s="1843"/>
      <c r="CU90" s="1844"/>
      <c r="CV90" s="1844"/>
      <c r="CW90" s="1845"/>
      <c r="CX90" s="1844"/>
      <c r="CY90" s="1845"/>
      <c r="CZ90" s="1845"/>
      <c r="DA90" s="1845"/>
      <c r="DB90" s="908" t="s">
        <v>293</v>
      </c>
      <c r="DC90" s="794">
        <f>CU89</f>
        <v>0</v>
      </c>
      <c r="DD90" s="794">
        <f>CU92</f>
        <v>0</v>
      </c>
      <c r="DE90" s="794">
        <f>CU97</f>
        <v>0</v>
      </c>
      <c r="DF90" s="794">
        <f>CU102</f>
        <v>0</v>
      </c>
      <c r="DG90" s="794">
        <f>CU107</f>
        <v>0</v>
      </c>
      <c r="DH90" s="794">
        <f>CU112</f>
        <v>0</v>
      </c>
      <c r="DI90" s="794">
        <f>CU117</f>
        <v>0</v>
      </c>
      <c r="DJ90" s="794">
        <f>CU122</f>
        <v>0</v>
      </c>
      <c r="DK90" s="794">
        <f>CU127</f>
        <v>0</v>
      </c>
      <c r="DL90" s="794">
        <f>CU132</f>
        <v>0</v>
      </c>
      <c r="DM90" s="794">
        <f>CU137</f>
        <v>0</v>
      </c>
      <c r="DN90" s="794">
        <f>CU142</f>
        <v>0</v>
      </c>
      <c r="DO90" s="905">
        <f>SUM(DC90:DN90)</f>
        <v>0</v>
      </c>
    </row>
    <row r="91" spans="1:119" x14ac:dyDescent="0.3">
      <c r="A91" s="1835"/>
      <c r="B91" s="108" t="s">
        <v>254</v>
      </c>
      <c r="C91" s="906">
        <f>C88+C89-C90</f>
        <v>0</v>
      </c>
      <c r="D91" s="29">
        <f>IF(C91=0,0,E91/C91)</f>
        <v>0</v>
      </c>
      <c r="E91" s="29">
        <f>E88+E89-E90</f>
        <v>0</v>
      </c>
      <c r="F91" s="1836"/>
      <c r="G91" s="1837"/>
      <c r="H91" s="1838"/>
      <c r="I91" s="1839"/>
      <c r="J91" s="1839"/>
      <c r="K91" s="907">
        <f>K88+K89-K90</f>
        <v>0</v>
      </c>
      <c r="L91" s="902">
        <f>IF(K91=0,0,M91/K91)</f>
        <v>0</v>
      </c>
      <c r="M91" s="902">
        <f>M88+M89-M90</f>
        <v>0</v>
      </c>
      <c r="N91" s="1840"/>
      <c r="O91" s="1841"/>
      <c r="P91" s="1842"/>
      <c r="Q91" s="1843"/>
      <c r="R91" s="1843"/>
      <c r="S91" s="906">
        <f>S88+S89-S90</f>
        <v>0</v>
      </c>
      <c r="T91" s="29">
        <f>IF(S91=0,0,U91/S91)</f>
        <v>0</v>
      </c>
      <c r="U91" s="29">
        <f>U88+U89-U90</f>
        <v>0</v>
      </c>
      <c r="V91" s="1836"/>
      <c r="W91" s="1837"/>
      <c r="X91" s="1838"/>
      <c r="Y91" s="1839"/>
      <c r="Z91" s="1839"/>
      <c r="AA91" s="907">
        <f>AA88+AA89-AA90</f>
        <v>0</v>
      </c>
      <c r="AB91" s="902">
        <f>IF(AA91=0,0,AC91/AA91)</f>
        <v>0</v>
      </c>
      <c r="AC91" s="902">
        <f>AC88+AC89-AC90</f>
        <v>0</v>
      </c>
      <c r="AD91" s="1840"/>
      <c r="AE91" s="1841"/>
      <c r="AF91" s="1842"/>
      <c r="AG91" s="1843"/>
      <c r="AH91" s="1843"/>
      <c r="AI91" s="906">
        <f>AI88+AI89-AI90</f>
        <v>0</v>
      </c>
      <c r="AJ91" s="29">
        <f>IF(AI91=0,0,AK91/AI91)</f>
        <v>0</v>
      </c>
      <c r="AK91" s="29">
        <f>AK88+AK89-AK90</f>
        <v>0</v>
      </c>
      <c r="AL91" s="1836"/>
      <c r="AM91" s="1837"/>
      <c r="AN91" s="1838"/>
      <c r="AO91" s="1839"/>
      <c r="AP91" s="1839"/>
      <c r="AQ91" s="907">
        <f>AQ88+AQ89-AQ90</f>
        <v>0</v>
      </c>
      <c r="AR91" s="902">
        <f>IF(AQ91=0,0,AS91/AQ91)</f>
        <v>0</v>
      </c>
      <c r="AS91" s="902">
        <f>AS88+AS89-AS90</f>
        <v>0</v>
      </c>
      <c r="AT91" s="1840"/>
      <c r="AU91" s="1841"/>
      <c r="AV91" s="1842"/>
      <c r="AW91" s="1843"/>
      <c r="AX91" s="1843"/>
      <c r="AY91" s="906">
        <f>AY88+AY89-AY90</f>
        <v>0</v>
      </c>
      <c r="AZ91" s="29">
        <f>IF(AY91=0,0,BA91/AY91)</f>
        <v>0</v>
      </c>
      <c r="BA91" s="29">
        <f>BA88+BA89-BA90</f>
        <v>0</v>
      </c>
      <c r="BB91" s="1836"/>
      <c r="BC91" s="1837"/>
      <c r="BD91" s="1838"/>
      <c r="BE91" s="1839"/>
      <c r="BF91" s="1839"/>
      <c r="BG91" s="907">
        <f>BG88+BG89-BG90</f>
        <v>0</v>
      </c>
      <c r="BH91" s="902">
        <f>IF(BG91=0,0,BI91/BG91)</f>
        <v>0</v>
      </c>
      <c r="BI91" s="902">
        <f>BI88+BI89-BI90</f>
        <v>0</v>
      </c>
      <c r="BJ91" s="1840"/>
      <c r="BK91" s="1841"/>
      <c r="BL91" s="1842"/>
      <c r="BM91" s="1843"/>
      <c r="BN91" s="1843"/>
      <c r="BO91" s="906">
        <f>BO88+BO89-BO90</f>
        <v>0</v>
      </c>
      <c r="BP91" s="29">
        <f>IF(BO91=0,0,BQ91/BO91)</f>
        <v>0</v>
      </c>
      <c r="BQ91" s="29">
        <f>BQ88+BQ89-BQ90</f>
        <v>0</v>
      </c>
      <c r="BR91" s="1836"/>
      <c r="BS91" s="1837"/>
      <c r="BT91" s="1838"/>
      <c r="BU91" s="1839"/>
      <c r="BV91" s="1839"/>
      <c r="BW91" s="907">
        <f>BW88+BW89-BW90</f>
        <v>0</v>
      </c>
      <c r="BX91" s="902">
        <f>IF(BW91=0,0,BY91/BW91)</f>
        <v>0</v>
      </c>
      <c r="BY91" s="902">
        <f>BY88+BY89-BY90</f>
        <v>0</v>
      </c>
      <c r="BZ91" s="1840"/>
      <c r="CA91" s="1841"/>
      <c r="CB91" s="1842"/>
      <c r="CC91" s="1843"/>
      <c r="CD91" s="1843"/>
      <c r="CE91" s="906">
        <f>CE88+CE89-CE90</f>
        <v>0</v>
      </c>
      <c r="CF91" s="29">
        <f>IF(CE91=0,0,CG91/CE91)</f>
        <v>0</v>
      </c>
      <c r="CG91" s="29">
        <f>CG88+CG89-CG90</f>
        <v>0</v>
      </c>
      <c r="CH91" s="1836"/>
      <c r="CI91" s="1837"/>
      <c r="CJ91" s="1838"/>
      <c r="CK91" s="1839"/>
      <c r="CL91" s="1839"/>
      <c r="CM91" s="907">
        <f>CM88+CM89-CM90</f>
        <v>0</v>
      </c>
      <c r="CN91" s="902">
        <f>IF(CM91=0,0,CO91/CM91)</f>
        <v>0</v>
      </c>
      <c r="CO91" s="902">
        <f>CO88+CO89-CO90</f>
        <v>0</v>
      </c>
      <c r="CP91" s="1840"/>
      <c r="CQ91" s="1841"/>
      <c r="CR91" s="1842"/>
      <c r="CS91" s="1843"/>
      <c r="CT91" s="1843"/>
      <c r="CU91" s="1844"/>
      <c r="CV91" s="1844"/>
      <c r="CW91" s="1845"/>
      <c r="CX91" s="1844"/>
      <c r="CY91" s="1845"/>
      <c r="CZ91" s="1845"/>
      <c r="DA91" s="1845"/>
      <c r="DB91" s="908" t="s">
        <v>313</v>
      </c>
      <c r="DC91" s="794">
        <f>DA89</f>
        <v>0</v>
      </c>
      <c r="DD91" s="794">
        <f>$DA92</f>
        <v>0</v>
      </c>
      <c r="DE91" s="794">
        <f>$DA97</f>
        <v>0</v>
      </c>
      <c r="DF91" s="794">
        <f>$DA102</f>
        <v>0</v>
      </c>
      <c r="DG91" s="794">
        <f>$DA107</f>
        <v>0</v>
      </c>
      <c r="DH91" s="794">
        <f>$DA112</f>
        <v>0</v>
      </c>
      <c r="DI91" s="794">
        <f>$DA117</f>
        <v>0</v>
      </c>
      <c r="DJ91" s="794">
        <f>$DA122</f>
        <v>0</v>
      </c>
      <c r="DK91" s="794">
        <f>$DA127</f>
        <v>0</v>
      </c>
      <c r="DL91" s="794">
        <f>$DA132</f>
        <v>0</v>
      </c>
      <c r="DM91" s="794">
        <f>$DA137</f>
        <v>0</v>
      </c>
      <c r="DN91" s="794">
        <f>$DA142</f>
        <v>0</v>
      </c>
      <c r="DO91" s="905">
        <f>DA147</f>
        <v>0</v>
      </c>
    </row>
    <row r="92" spans="1:119" x14ac:dyDescent="0.3">
      <c r="A92" s="1835" t="str">
        <f>A24</f>
        <v>FEBRER</v>
      </c>
      <c r="B92" s="108" t="s">
        <v>255</v>
      </c>
      <c r="C92" s="906">
        <f>C91</f>
        <v>0</v>
      </c>
      <c r="D92" s="29">
        <f>D91</f>
        <v>0</v>
      </c>
      <c r="E92" s="29">
        <f>C92*D92</f>
        <v>0</v>
      </c>
      <c r="F92" s="1836">
        <f>E93*$I$3</f>
        <v>0</v>
      </c>
      <c r="G92" s="1837">
        <f>G89</f>
        <v>0</v>
      </c>
      <c r="H92" s="1838">
        <f>H89</f>
        <v>0</v>
      </c>
      <c r="I92" s="1839">
        <f>E95/(1-G92)</f>
        <v>0</v>
      </c>
      <c r="J92" s="1839">
        <f>I92*$F$3</f>
        <v>0</v>
      </c>
      <c r="K92" s="907">
        <f>K91</f>
        <v>0</v>
      </c>
      <c r="L92" s="902">
        <f>L91</f>
        <v>0</v>
      </c>
      <c r="M92" s="902">
        <f>K92*L92</f>
        <v>0</v>
      </c>
      <c r="N92" s="1840">
        <f>M93*$I$4</f>
        <v>0</v>
      </c>
      <c r="O92" s="1841">
        <f>O89</f>
        <v>0</v>
      </c>
      <c r="P92" s="1842">
        <f>P89</f>
        <v>0</v>
      </c>
      <c r="Q92" s="1843">
        <f>M95/(1-O92)</f>
        <v>0</v>
      </c>
      <c r="R92" s="1843">
        <f>Q92*$F$4</f>
        <v>0</v>
      </c>
      <c r="S92" s="906">
        <f>S91</f>
        <v>0</v>
      </c>
      <c r="T92" s="29">
        <f>T91</f>
        <v>0</v>
      </c>
      <c r="U92" s="29">
        <f>S92*T92</f>
        <v>0</v>
      </c>
      <c r="V92" s="1836">
        <f>U93*$I$5</f>
        <v>0</v>
      </c>
      <c r="W92" s="1837">
        <f>W89</f>
        <v>0</v>
      </c>
      <c r="X92" s="1838">
        <f>X89</f>
        <v>0</v>
      </c>
      <c r="Y92" s="1839">
        <f>U95/(1-W92)</f>
        <v>0</v>
      </c>
      <c r="Z92" s="1839">
        <f>Y92*$F$5</f>
        <v>0</v>
      </c>
      <c r="AA92" s="907">
        <f>AA91</f>
        <v>0</v>
      </c>
      <c r="AB92" s="902">
        <f>AB91</f>
        <v>0</v>
      </c>
      <c r="AC92" s="902">
        <f>AA92*AB92</f>
        <v>0</v>
      </c>
      <c r="AD92" s="1840">
        <f>AC93*$I$6</f>
        <v>0</v>
      </c>
      <c r="AE92" s="1841">
        <f>AE89</f>
        <v>0</v>
      </c>
      <c r="AF92" s="1842">
        <f>AF89</f>
        <v>0</v>
      </c>
      <c r="AG92" s="1843">
        <f>AC95/(1-AE92)</f>
        <v>0</v>
      </c>
      <c r="AH92" s="1843">
        <f>AG92*$F$6</f>
        <v>0</v>
      </c>
      <c r="AI92" s="906">
        <f>AI91</f>
        <v>0</v>
      </c>
      <c r="AJ92" s="29">
        <f>AJ91</f>
        <v>0</v>
      </c>
      <c r="AK92" s="29">
        <f>AI92*AJ92</f>
        <v>0</v>
      </c>
      <c r="AL92" s="1836">
        <f>AK93*$I$7</f>
        <v>0</v>
      </c>
      <c r="AM92" s="1837">
        <f>AM89</f>
        <v>0</v>
      </c>
      <c r="AN92" s="1838">
        <f>AN89</f>
        <v>0</v>
      </c>
      <c r="AO92" s="1839">
        <f>AK95/(1-AM92)</f>
        <v>0</v>
      </c>
      <c r="AP92" s="1839">
        <f>AO92*$F$7</f>
        <v>0</v>
      </c>
      <c r="AQ92" s="907">
        <f>AQ91</f>
        <v>0</v>
      </c>
      <c r="AR92" s="902">
        <f>AR91</f>
        <v>0</v>
      </c>
      <c r="AS92" s="902">
        <f>AQ92*AR92</f>
        <v>0</v>
      </c>
      <c r="AT92" s="1840">
        <f>AS93*$I$8</f>
        <v>0</v>
      </c>
      <c r="AU92" s="1841">
        <f>AU89</f>
        <v>0</v>
      </c>
      <c r="AV92" s="1842">
        <f>AV89</f>
        <v>0</v>
      </c>
      <c r="AW92" s="1843">
        <f>AS95/(1-AU92)</f>
        <v>0</v>
      </c>
      <c r="AX92" s="1843">
        <f>AW92*$F$8</f>
        <v>0</v>
      </c>
      <c r="AY92" s="906">
        <f>AY91</f>
        <v>0</v>
      </c>
      <c r="AZ92" s="29">
        <f>AZ91</f>
        <v>0</v>
      </c>
      <c r="BA92" s="29">
        <f>AY92*AZ92</f>
        <v>0</v>
      </c>
      <c r="BB92" s="1836">
        <f>BA93*$I$9</f>
        <v>0</v>
      </c>
      <c r="BC92" s="1837">
        <f>BC89</f>
        <v>0</v>
      </c>
      <c r="BD92" s="1838">
        <f>BD89</f>
        <v>0</v>
      </c>
      <c r="BE92" s="1839">
        <f>BA95/(1-BC92)</f>
        <v>0</v>
      </c>
      <c r="BF92" s="1839">
        <f>BE92*$F$9</f>
        <v>0</v>
      </c>
      <c r="BG92" s="907">
        <f>BG91</f>
        <v>0</v>
      </c>
      <c r="BH92" s="902">
        <f>BH91</f>
        <v>0</v>
      </c>
      <c r="BI92" s="902">
        <f>BG92*BH92</f>
        <v>0</v>
      </c>
      <c r="BJ92" s="1840">
        <f>BI93*$I$10</f>
        <v>0</v>
      </c>
      <c r="BK92" s="1841">
        <f>BK89</f>
        <v>0</v>
      </c>
      <c r="BL92" s="1842">
        <f>BL89</f>
        <v>0</v>
      </c>
      <c r="BM92" s="1843">
        <f>BI95/(1-BK92)</f>
        <v>0</v>
      </c>
      <c r="BN92" s="1843">
        <f>BM92*$F$10</f>
        <v>0</v>
      </c>
      <c r="BO92" s="906">
        <f>BO91</f>
        <v>0</v>
      </c>
      <c r="BP92" s="29">
        <f>BP91</f>
        <v>0</v>
      </c>
      <c r="BQ92" s="29">
        <f>BO92*BP92</f>
        <v>0</v>
      </c>
      <c r="BR92" s="1836">
        <f>BQ93*$I$11</f>
        <v>0</v>
      </c>
      <c r="BS92" s="1837">
        <f>BS89</f>
        <v>0</v>
      </c>
      <c r="BT92" s="1838">
        <f>BT89</f>
        <v>0</v>
      </c>
      <c r="BU92" s="1839">
        <f>BQ95/(1-BS92)</f>
        <v>0</v>
      </c>
      <c r="BV92" s="1839">
        <f>BU92*$F$11</f>
        <v>0</v>
      </c>
      <c r="BW92" s="907">
        <f>BW91</f>
        <v>0</v>
      </c>
      <c r="BX92" s="902">
        <f>BX91</f>
        <v>0</v>
      </c>
      <c r="BY92" s="902">
        <f>BW92*BX92</f>
        <v>0</v>
      </c>
      <c r="BZ92" s="1840">
        <f>BY93*$I$12</f>
        <v>0</v>
      </c>
      <c r="CA92" s="1841">
        <f>CA89</f>
        <v>0</v>
      </c>
      <c r="CB92" s="1842">
        <f>CB89</f>
        <v>0</v>
      </c>
      <c r="CC92" s="1843">
        <f>BY95/(1-CA92)</f>
        <v>0</v>
      </c>
      <c r="CD92" s="1843">
        <f>CC92*$F$12</f>
        <v>0</v>
      </c>
      <c r="CE92" s="906">
        <f>CE91</f>
        <v>0</v>
      </c>
      <c r="CF92" s="29">
        <f>CF91</f>
        <v>0</v>
      </c>
      <c r="CG92" s="29">
        <f>CE92*CF92</f>
        <v>0</v>
      </c>
      <c r="CH92" s="1836">
        <f>CG93*$I$13</f>
        <v>0</v>
      </c>
      <c r="CI92" s="1837">
        <f>CI89</f>
        <v>0</v>
      </c>
      <c r="CJ92" s="1838">
        <f>CJ89</f>
        <v>0</v>
      </c>
      <c r="CK92" s="1839">
        <f>CG95/(1-CI92)</f>
        <v>0</v>
      </c>
      <c r="CL92" s="1839">
        <f>CK92*$F$13</f>
        <v>0</v>
      </c>
      <c r="CM92" s="907">
        <f>CM91</f>
        <v>0</v>
      </c>
      <c r="CN92" s="902">
        <f>CN91</f>
        <v>0</v>
      </c>
      <c r="CO92" s="902">
        <f>CM92*CN92</f>
        <v>0</v>
      </c>
      <c r="CP92" s="1840">
        <f>CO93*$I$14</f>
        <v>0</v>
      </c>
      <c r="CQ92" s="1841">
        <f>CQ89</f>
        <v>0</v>
      </c>
      <c r="CR92" s="1842">
        <f>CR89</f>
        <v>0</v>
      </c>
      <c r="CS92" s="1843">
        <f>CO95/(1-CQ92)</f>
        <v>0</v>
      </c>
      <c r="CT92" s="1843">
        <f>CS92*$F$14</f>
        <v>0</v>
      </c>
      <c r="CU92" s="1844">
        <f>E93+M93+U93+AC93+AK93+AS93+BA93+BI93+BQ93+BY93+CG93+CO93</f>
        <v>0</v>
      </c>
      <c r="CV92" s="1844">
        <f>CP92+CH92+BZ92+BR92+BJ92+BB92+AT92+AL92+AD92+V92+N92+F92</f>
        <v>0</v>
      </c>
      <c r="CW92" s="1845">
        <f>I92+Q92+Y92+AG92+AO92+AW92+BE92+BM92+BU92+CC92+CK92+CS92</f>
        <v>0</v>
      </c>
      <c r="CX92" s="1844">
        <f>CT92+CL92+CD92+BV92+BN92+BF92+AX92+AP92+AH92+Z92+R92+J92</f>
        <v>0</v>
      </c>
      <c r="CY92" s="1845">
        <f>CZ89</f>
        <v>0</v>
      </c>
      <c r="CZ92" s="1845">
        <f>E96+M96+U96+AC96+AK96+AS96+BA96+BI96+BQ96+BY96+CG96+CO96</f>
        <v>0</v>
      </c>
      <c r="DA92" s="1845">
        <f>CZ92-CY92</f>
        <v>0</v>
      </c>
      <c r="DB92" s="903" t="s">
        <v>306</v>
      </c>
      <c r="DC92" s="794">
        <f>$CX89</f>
        <v>0</v>
      </c>
      <c r="DD92" s="794">
        <f>$CX92</f>
        <v>0</v>
      </c>
      <c r="DE92" s="794">
        <f>$CX97</f>
        <v>0</v>
      </c>
      <c r="DF92" s="794">
        <f>$CX102</f>
        <v>0</v>
      </c>
      <c r="DG92" s="794">
        <f>$CX107</f>
        <v>0</v>
      </c>
      <c r="DH92" s="794">
        <f>$CX112</f>
        <v>0</v>
      </c>
      <c r="DI92" s="794">
        <f>$CX117</f>
        <v>0</v>
      </c>
      <c r="DJ92" s="794">
        <f>$CX122</f>
        <v>0</v>
      </c>
      <c r="DK92" s="794">
        <f>$CX127</f>
        <v>0</v>
      </c>
      <c r="DL92" s="794">
        <f>$CX132</f>
        <v>0</v>
      </c>
      <c r="DM92" s="794">
        <f>$CX137</f>
        <v>0</v>
      </c>
      <c r="DN92" s="794">
        <f>$CX142</f>
        <v>0</v>
      </c>
      <c r="DO92" s="905">
        <f>SUM(DC92:DN92)</f>
        <v>0</v>
      </c>
    </row>
    <row r="93" spans="1:119" x14ac:dyDescent="0.3">
      <c r="A93" s="1835"/>
      <c r="B93" s="108" t="s">
        <v>310</v>
      </c>
      <c r="C93" s="898">
        <f>C89</f>
        <v>0</v>
      </c>
      <c r="D93" s="899">
        <f>D89</f>
        <v>0</v>
      </c>
      <c r="E93" s="29">
        <f>C93*D93</f>
        <v>0</v>
      </c>
      <c r="F93" s="1836"/>
      <c r="G93" s="1837"/>
      <c r="H93" s="1838"/>
      <c r="I93" s="1839"/>
      <c r="J93" s="1839"/>
      <c r="K93" s="900">
        <f>K89</f>
        <v>0</v>
      </c>
      <c r="L93" s="901">
        <f>L89</f>
        <v>0</v>
      </c>
      <c r="M93" s="902">
        <f>K93*L93</f>
        <v>0</v>
      </c>
      <c r="N93" s="1840"/>
      <c r="O93" s="1841"/>
      <c r="P93" s="1842"/>
      <c r="Q93" s="1843"/>
      <c r="R93" s="1843"/>
      <c r="S93" s="898">
        <f>S89</f>
        <v>0</v>
      </c>
      <c r="T93" s="899">
        <f>T89</f>
        <v>0</v>
      </c>
      <c r="U93" s="29">
        <f>S93*T93</f>
        <v>0</v>
      </c>
      <c r="V93" s="1836"/>
      <c r="W93" s="1837"/>
      <c r="X93" s="1838"/>
      <c r="Y93" s="1839"/>
      <c r="Z93" s="1839"/>
      <c r="AA93" s="900">
        <f>AA89</f>
        <v>0</v>
      </c>
      <c r="AB93" s="901">
        <f>AB89</f>
        <v>0</v>
      </c>
      <c r="AC93" s="902">
        <f>AA93*AB93</f>
        <v>0</v>
      </c>
      <c r="AD93" s="1840"/>
      <c r="AE93" s="1841"/>
      <c r="AF93" s="1842"/>
      <c r="AG93" s="1843"/>
      <c r="AH93" s="1843"/>
      <c r="AI93" s="898">
        <f>AI89</f>
        <v>0</v>
      </c>
      <c r="AJ93" s="899">
        <f>AJ89</f>
        <v>0</v>
      </c>
      <c r="AK93" s="29">
        <f>AI93*AJ93</f>
        <v>0</v>
      </c>
      <c r="AL93" s="1836"/>
      <c r="AM93" s="1837"/>
      <c r="AN93" s="1838"/>
      <c r="AO93" s="1839"/>
      <c r="AP93" s="1839"/>
      <c r="AQ93" s="900">
        <f>AQ89</f>
        <v>0</v>
      </c>
      <c r="AR93" s="901">
        <f>AR89</f>
        <v>0</v>
      </c>
      <c r="AS93" s="902">
        <f>AQ93*AR93</f>
        <v>0</v>
      </c>
      <c r="AT93" s="1840"/>
      <c r="AU93" s="1841"/>
      <c r="AV93" s="1842"/>
      <c r="AW93" s="1843"/>
      <c r="AX93" s="1843"/>
      <c r="AY93" s="898">
        <f>AY89</f>
        <v>0</v>
      </c>
      <c r="AZ93" s="899">
        <f>AZ89</f>
        <v>0</v>
      </c>
      <c r="BA93" s="29">
        <f>AY93*AZ93</f>
        <v>0</v>
      </c>
      <c r="BB93" s="1836"/>
      <c r="BC93" s="1837"/>
      <c r="BD93" s="1838"/>
      <c r="BE93" s="1839"/>
      <c r="BF93" s="1839"/>
      <c r="BG93" s="900">
        <f>BG89</f>
        <v>0</v>
      </c>
      <c r="BH93" s="901">
        <f>BH89</f>
        <v>0</v>
      </c>
      <c r="BI93" s="902">
        <f>BG93*BH93</f>
        <v>0</v>
      </c>
      <c r="BJ93" s="1840"/>
      <c r="BK93" s="1841"/>
      <c r="BL93" s="1842"/>
      <c r="BM93" s="1843"/>
      <c r="BN93" s="1843"/>
      <c r="BO93" s="898">
        <f>BO89</f>
        <v>0</v>
      </c>
      <c r="BP93" s="899">
        <f>BP89</f>
        <v>0</v>
      </c>
      <c r="BQ93" s="29">
        <f>BO93*BP93</f>
        <v>0</v>
      </c>
      <c r="BR93" s="1836"/>
      <c r="BS93" s="1837"/>
      <c r="BT93" s="1838"/>
      <c r="BU93" s="1839"/>
      <c r="BV93" s="1839"/>
      <c r="BW93" s="900">
        <f>BW89</f>
        <v>0</v>
      </c>
      <c r="BX93" s="901">
        <f>BX89</f>
        <v>0</v>
      </c>
      <c r="BY93" s="902">
        <f>BW93*BX93</f>
        <v>0</v>
      </c>
      <c r="BZ93" s="1840"/>
      <c r="CA93" s="1841"/>
      <c r="CB93" s="1842"/>
      <c r="CC93" s="1843"/>
      <c r="CD93" s="1843"/>
      <c r="CE93" s="898">
        <f>CE89</f>
        <v>0</v>
      </c>
      <c r="CF93" s="899">
        <f>CF89</f>
        <v>0</v>
      </c>
      <c r="CG93" s="29">
        <f>CE93*CF93</f>
        <v>0</v>
      </c>
      <c r="CH93" s="1836"/>
      <c r="CI93" s="1837"/>
      <c r="CJ93" s="1838"/>
      <c r="CK93" s="1839"/>
      <c r="CL93" s="1839"/>
      <c r="CM93" s="900">
        <f>CM89</f>
        <v>0</v>
      </c>
      <c r="CN93" s="901">
        <f>CN89</f>
        <v>0</v>
      </c>
      <c r="CO93" s="902">
        <f>CM93*CN93</f>
        <v>0</v>
      </c>
      <c r="CP93" s="1840"/>
      <c r="CQ93" s="1841"/>
      <c r="CR93" s="1842"/>
      <c r="CS93" s="1843"/>
      <c r="CT93" s="1843"/>
      <c r="CU93" s="1844"/>
      <c r="CV93" s="1844"/>
      <c r="CW93" s="1845"/>
      <c r="CX93" s="1844"/>
      <c r="CY93" s="1845"/>
      <c r="CZ93" s="1845"/>
      <c r="DA93" s="1845"/>
      <c r="DB93" s="909" t="s">
        <v>314</v>
      </c>
      <c r="DC93" s="910"/>
      <c r="DD93" s="910"/>
      <c r="DE93" s="910"/>
      <c r="DF93" s="910"/>
      <c r="DG93" s="910"/>
      <c r="DH93" s="910"/>
      <c r="DI93" s="910"/>
      <c r="DJ93" s="910"/>
      <c r="DK93" s="910"/>
      <c r="DL93" s="910"/>
      <c r="DM93" s="910"/>
      <c r="DN93" s="910"/>
      <c r="DO93" s="911">
        <f>IF(DO89=0,DO25,DO92/DO89)</f>
        <v>0</v>
      </c>
    </row>
    <row r="94" spans="1:119" ht="12.75" hidden="1" customHeight="1" x14ac:dyDescent="0.3">
      <c r="A94" s="1835"/>
      <c r="B94" s="108" t="s">
        <v>315</v>
      </c>
      <c r="C94" s="906">
        <f>C93+C92</f>
        <v>0</v>
      </c>
      <c r="D94" s="29">
        <f>IF(C94=0,0,E94/C94)</f>
        <v>0</v>
      </c>
      <c r="E94" s="29">
        <f>E93+E92</f>
        <v>0</v>
      </c>
      <c r="F94" s="1836"/>
      <c r="G94" s="1837"/>
      <c r="H94" s="1838"/>
      <c r="I94" s="1839"/>
      <c r="J94" s="1839"/>
      <c r="K94" s="907">
        <f>K93+K92</f>
        <v>0</v>
      </c>
      <c r="L94" s="902">
        <f>IF(K94=0,0,M94/K94)</f>
        <v>0</v>
      </c>
      <c r="M94" s="902">
        <f>M93+M92</f>
        <v>0</v>
      </c>
      <c r="N94" s="1840"/>
      <c r="O94" s="1841"/>
      <c r="P94" s="1842"/>
      <c r="Q94" s="1843"/>
      <c r="R94" s="1843"/>
      <c r="S94" s="906">
        <f>S93+S92</f>
        <v>0</v>
      </c>
      <c r="T94" s="29">
        <f>IF(S94=0,0,U94/S94)</f>
        <v>0</v>
      </c>
      <c r="U94" s="29">
        <f>U93+U92</f>
        <v>0</v>
      </c>
      <c r="V94" s="1836"/>
      <c r="W94" s="1837"/>
      <c r="X94" s="1838"/>
      <c r="Y94" s="1839"/>
      <c r="Z94" s="1839"/>
      <c r="AA94" s="907">
        <f>AA93+AA92</f>
        <v>0</v>
      </c>
      <c r="AB94" s="902">
        <f>IF(AA94=0,0,AC94/AA94)</f>
        <v>0</v>
      </c>
      <c r="AC94" s="902">
        <f>AC93+AC92</f>
        <v>0</v>
      </c>
      <c r="AD94" s="1840"/>
      <c r="AE94" s="1841"/>
      <c r="AF94" s="1842"/>
      <c r="AG94" s="1843"/>
      <c r="AH94" s="1843"/>
      <c r="AI94" s="906">
        <f>AI93+AI92</f>
        <v>0</v>
      </c>
      <c r="AJ94" s="29">
        <f>IF(AI94=0,0,AK94/AI94)</f>
        <v>0</v>
      </c>
      <c r="AK94" s="29">
        <f>AK93+AK92</f>
        <v>0</v>
      </c>
      <c r="AL94" s="1836"/>
      <c r="AM94" s="1837"/>
      <c r="AN94" s="1838"/>
      <c r="AO94" s="1839"/>
      <c r="AP94" s="1839"/>
      <c r="AQ94" s="907">
        <f>AQ93+AQ92</f>
        <v>0</v>
      </c>
      <c r="AR94" s="902">
        <f>IF(AQ94=0,0,AS94/AQ94)</f>
        <v>0</v>
      </c>
      <c r="AS94" s="902">
        <f>AS93+AS92</f>
        <v>0</v>
      </c>
      <c r="AT94" s="1840"/>
      <c r="AU94" s="1841"/>
      <c r="AV94" s="1842"/>
      <c r="AW94" s="1843"/>
      <c r="AX94" s="1843"/>
      <c r="AY94" s="906">
        <f>AY93+AY92</f>
        <v>0</v>
      </c>
      <c r="AZ94" s="29">
        <f>IF(AY94=0,0,BA94/AY94)</f>
        <v>0</v>
      </c>
      <c r="BA94" s="29">
        <f>BA93+BA92</f>
        <v>0</v>
      </c>
      <c r="BB94" s="1836"/>
      <c r="BC94" s="1837"/>
      <c r="BD94" s="1838"/>
      <c r="BE94" s="1839"/>
      <c r="BF94" s="1839"/>
      <c r="BG94" s="907">
        <f>BG93+BG92</f>
        <v>0</v>
      </c>
      <c r="BH94" s="902">
        <f>IF(BG94=0,0,BI94/BG94)</f>
        <v>0</v>
      </c>
      <c r="BI94" s="902">
        <f>BI93+BI92</f>
        <v>0</v>
      </c>
      <c r="BJ94" s="1840"/>
      <c r="BK94" s="1841"/>
      <c r="BL94" s="1842"/>
      <c r="BM94" s="1843"/>
      <c r="BN94" s="1843"/>
      <c r="BO94" s="906">
        <f>BO93+BO92</f>
        <v>0</v>
      </c>
      <c r="BP94" s="29">
        <f>IF(BO94=0,0,BQ94/BO94)</f>
        <v>0</v>
      </c>
      <c r="BQ94" s="29">
        <f>BQ93+BQ92</f>
        <v>0</v>
      </c>
      <c r="BR94" s="1836"/>
      <c r="BS94" s="1837"/>
      <c r="BT94" s="1838"/>
      <c r="BU94" s="1839"/>
      <c r="BV94" s="1839"/>
      <c r="BW94" s="907">
        <f>BW93+BW92</f>
        <v>0</v>
      </c>
      <c r="BX94" s="902">
        <f>IF(BW94=0,0,BY94/BW94)</f>
        <v>0</v>
      </c>
      <c r="BY94" s="902">
        <f>BY93+BY92</f>
        <v>0</v>
      </c>
      <c r="BZ94" s="1840"/>
      <c r="CA94" s="1841"/>
      <c r="CB94" s="1842"/>
      <c r="CC94" s="1843"/>
      <c r="CD94" s="1843"/>
      <c r="CE94" s="906">
        <f>CE93+CE92</f>
        <v>0</v>
      </c>
      <c r="CF94" s="29">
        <f>IF(CE94=0,0,CG94/CE94)</f>
        <v>0</v>
      </c>
      <c r="CG94" s="29">
        <f>CG93+CG92</f>
        <v>0</v>
      </c>
      <c r="CH94" s="1836"/>
      <c r="CI94" s="1837"/>
      <c r="CJ94" s="1838"/>
      <c r="CK94" s="1839"/>
      <c r="CL94" s="1839"/>
      <c r="CM94" s="907">
        <f>CM93+CM92</f>
        <v>0</v>
      </c>
      <c r="CN94" s="902">
        <f>IF(CM94=0,0,CO94/CM94)</f>
        <v>0</v>
      </c>
      <c r="CO94" s="902">
        <f>CO93+CO92</f>
        <v>0</v>
      </c>
      <c r="CP94" s="1840"/>
      <c r="CQ94" s="1841"/>
      <c r="CR94" s="1842"/>
      <c r="CS94" s="1843"/>
      <c r="CT94" s="1843"/>
      <c r="CU94" s="1844"/>
      <c r="CV94" s="1844"/>
      <c r="CW94" s="1845"/>
      <c r="CX94" s="1844"/>
      <c r="CY94" s="1845"/>
      <c r="CZ94" s="1845"/>
      <c r="DA94" s="1845"/>
      <c r="DB94" s="912"/>
    </row>
    <row r="95" spans="1:119" x14ac:dyDescent="0.3">
      <c r="A95" s="1835"/>
      <c r="B95" s="108" t="s">
        <v>312</v>
      </c>
      <c r="C95" s="906">
        <f>H92*C94</f>
        <v>0</v>
      </c>
      <c r="D95" s="29">
        <f>D94</f>
        <v>0</v>
      </c>
      <c r="E95" s="29">
        <f>C95*D95</f>
        <v>0</v>
      </c>
      <c r="F95" s="1836"/>
      <c r="G95" s="1837"/>
      <c r="H95" s="1838"/>
      <c r="I95" s="1839"/>
      <c r="J95" s="1839"/>
      <c r="K95" s="907">
        <f>P92*K94</f>
        <v>0</v>
      </c>
      <c r="L95" s="902">
        <f>L94</f>
        <v>0</v>
      </c>
      <c r="M95" s="902">
        <f>K95*L95</f>
        <v>0</v>
      </c>
      <c r="N95" s="1840"/>
      <c r="O95" s="1841"/>
      <c r="P95" s="1842"/>
      <c r="Q95" s="1843"/>
      <c r="R95" s="1843"/>
      <c r="S95" s="906">
        <f>X92*S94</f>
        <v>0</v>
      </c>
      <c r="T95" s="29">
        <f>T94</f>
        <v>0</v>
      </c>
      <c r="U95" s="29">
        <f>S95*T95</f>
        <v>0</v>
      </c>
      <c r="V95" s="1836"/>
      <c r="W95" s="1837"/>
      <c r="X95" s="1838"/>
      <c r="Y95" s="1839"/>
      <c r="Z95" s="1839"/>
      <c r="AA95" s="907">
        <f>AF92*AA94</f>
        <v>0</v>
      </c>
      <c r="AB95" s="902">
        <f>AB94</f>
        <v>0</v>
      </c>
      <c r="AC95" s="902">
        <f>AA95*AB95</f>
        <v>0</v>
      </c>
      <c r="AD95" s="1840"/>
      <c r="AE95" s="1841"/>
      <c r="AF95" s="1842"/>
      <c r="AG95" s="1843"/>
      <c r="AH95" s="1843"/>
      <c r="AI95" s="906">
        <f>AN92*AI94</f>
        <v>0</v>
      </c>
      <c r="AJ95" s="29">
        <f>AJ94</f>
        <v>0</v>
      </c>
      <c r="AK95" s="29">
        <f>AI95*AJ95</f>
        <v>0</v>
      </c>
      <c r="AL95" s="1836"/>
      <c r="AM95" s="1837"/>
      <c r="AN95" s="1838"/>
      <c r="AO95" s="1839"/>
      <c r="AP95" s="1839"/>
      <c r="AQ95" s="907">
        <f>AV92*AQ94</f>
        <v>0</v>
      </c>
      <c r="AR95" s="902">
        <f>AR94</f>
        <v>0</v>
      </c>
      <c r="AS95" s="902">
        <f>AQ95*AR95</f>
        <v>0</v>
      </c>
      <c r="AT95" s="1840"/>
      <c r="AU95" s="1841"/>
      <c r="AV95" s="1842"/>
      <c r="AW95" s="1843"/>
      <c r="AX95" s="1843"/>
      <c r="AY95" s="906">
        <f>BD92*AY94</f>
        <v>0</v>
      </c>
      <c r="AZ95" s="29">
        <f>AZ94</f>
        <v>0</v>
      </c>
      <c r="BA95" s="29">
        <f>AY95*AZ95</f>
        <v>0</v>
      </c>
      <c r="BB95" s="1836"/>
      <c r="BC95" s="1837"/>
      <c r="BD95" s="1838"/>
      <c r="BE95" s="1839"/>
      <c r="BF95" s="1839"/>
      <c r="BG95" s="907">
        <f>BL92*BG94</f>
        <v>0</v>
      </c>
      <c r="BH95" s="902">
        <f>BH94</f>
        <v>0</v>
      </c>
      <c r="BI95" s="902">
        <f>BG95*BH95</f>
        <v>0</v>
      </c>
      <c r="BJ95" s="1840"/>
      <c r="BK95" s="1841"/>
      <c r="BL95" s="1842"/>
      <c r="BM95" s="1843"/>
      <c r="BN95" s="1843"/>
      <c r="BO95" s="906">
        <f>BT92*BO94</f>
        <v>0</v>
      </c>
      <c r="BP95" s="29">
        <f>BP94</f>
        <v>0</v>
      </c>
      <c r="BQ95" s="29">
        <f>BO95*BP95</f>
        <v>0</v>
      </c>
      <c r="BR95" s="1836"/>
      <c r="BS95" s="1837"/>
      <c r="BT95" s="1838"/>
      <c r="BU95" s="1839"/>
      <c r="BV95" s="1839"/>
      <c r="BW95" s="907">
        <f>CB92*BW94</f>
        <v>0</v>
      </c>
      <c r="BX95" s="902">
        <f>BX94</f>
        <v>0</v>
      </c>
      <c r="BY95" s="902">
        <f>BW95*BX95</f>
        <v>0</v>
      </c>
      <c r="BZ95" s="1840"/>
      <c r="CA95" s="1841"/>
      <c r="CB95" s="1842"/>
      <c r="CC95" s="1843"/>
      <c r="CD95" s="1843"/>
      <c r="CE95" s="906">
        <f>CJ92*CE94</f>
        <v>0</v>
      </c>
      <c r="CF95" s="29">
        <f>CF94</f>
        <v>0</v>
      </c>
      <c r="CG95" s="29">
        <f>CE95*CF95</f>
        <v>0</v>
      </c>
      <c r="CH95" s="1836"/>
      <c r="CI95" s="1837"/>
      <c r="CJ95" s="1838"/>
      <c r="CK95" s="1839"/>
      <c r="CL95" s="1839"/>
      <c r="CM95" s="907">
        <f>CR92*CM94</f>
        <v>0</v>
      </c>
      <c r="CN95" s="902">
        <f>CN94</f>
        <v>0</v>
      </c>
      <c r="CO95" s="902">
        <f>CM95*CN95</f>
        <v>0</v>
      </c>
      <c r="CP95" s="1840"/>
      <c r="CQ95" s="1841"/>
      <c r="CR95" s="1842"/>
      <c r="CS95" s="1843"/>
      <c r="CT95" s="1843"/>
      <c r="CU95" s="1844"/>
      <c r="CV95" s="1844"/>
      <c r="CW95" s="1845"/>
      <c r="CX95" s="1844"/>
      <c r="CY95" s="1845"/>
      <c r="CZ95" s="1845"/>
      <c r="DA95" s="1845"/>
      <c r="DB95" s="908" t="s">
        <v>302</v>
      </c>
      <c r="DC95" s="794">
        <f>$CV89</f>
        <v>0</v>
      </c>
      <c r="DD95" s="794">
        <f>$CV92</f>
        <v>0</v>
      </c>
      <c r="DE95" s="794">
        <f>$CV97</f>
        <v>0</v>
      </c>
      <c r="DF95" s="794">
        <f>$CV102</f>
        <v>0</v>
      </c>
      <c r="DG95" s="794">
        <f>$CV107</f>
        <v>0</v>
      </c>
      <c r="DH95" s="794">
        <f>$CV112</f>
        <v>0</v>
      </c>
      <c r="DI95" s="794">
        <f>$CV117</f>
        <v>0</v>
      </c>
      <c r="DJ95" s="794">
        <f>$CV122</f>
        <v>0</v>
      </c>
      <c r="DK95" s="794">
        <f>$CV127</f>
        <v>0</v>
      </c>
      <c r="DL95" s="794">
        <f>$CV132</f>
        <v>0</v>
      </c>
      <c r="DM95" s="794">
        <f>$CV137</f>
        <v>0</v>
      </c>
      <c r="DN95" s="794">
        <f>$CV142</f>
        <v>0</v>
      </c>
      <c r="DO95" s="905">
        <f>SUM(DC95:DN95)</f>
        <v>0</v>
      </c>
    </row>
    <row r="96" spans="1:119" x14ac:dyDescent="0.3">
      <c r="A96" s="1835"/>
      <c r="B96" s="108" t="s">
        <v>254</v>
      </c>
      <c r="C96" s="906">
        <f>C92+C93-C95</f>
        <v>0</v>
      </c>
      <c r="D96" s="29">
        <f>D95</f>
        <v>0</v>
      </c>
      <c r="E96" s="29">
        <f>D96*C96</f>
        <v>0</v>
      </c>
      <c r="F96" s="1836"/>
      <c r="G96" s="1837"/>
      <c r="H96" s="1838"/>
      <c r="I96" s="1839"/>
      <c r="J96" s="1839"/>
      <c r="K96" s="907">
        <f>K92+K93-K95</f>
        <v>0</v>
      </c>
      <c r="L96" s="902">
        <f>L95</f>
        <v>0</v>
      </c>
      <c r="M96" s="902">
        <f>L96*K96</f>
        <v>0</v>
      </c>
      <c r="N96" s="1840"/>
      <c r="O96" s="1841"/>
      <c r="P96" s="1842"/>
      <c r="Q96" s="1843"/>
      <c r="R96" s="1843"/>
      <c r="S96" s="906">
        <f>S92+S93-S95</f>
        <v>0</v>
      </c>
      <c r="T96" s="29">
        <f>T95</f>
        <v>0</v>
      </c>
      <c r="U96" s="29">
        <f>T96*S96</f>
        <v>0</v>
      </c>
      <c r="V96" s="1836"/>
      <c r="W96" s="1837"/>
      <c r="X96" s="1838"/>
      <c r="Y96" s="1839"/>
      <c r="Z96" s="1839"/>
      <c r="AA96" s="907">
        <f>AA92+AA93-AA95</f>
        <v>0</v>
      </c>
      <c r="AB96" s="902">
        <f>AB95</f>
        <v>0</v>
      </c>
      <c r="AC96" s="902">
        <f>AB96*AA96</f>
        <v>0</v>
      </c>
      <c r="AD96" s="1840"/>
      <c r="AE96" s="1841"/>
      <c r="AF96" s="1842"/>
      <c r="AG96" s="1843"/>
      <c r="AH96" s="1843"/>
      <c r="AI96" s="906">
        <f>AI92+AI93-AI95</f>
        <v>0</v>
      </c>
      <c r="AJ96" s="29">
        <f>AJ95</f>
        <v>0</v>
      </c>
      <c r="AK96" s="29">
        <f>AJ96*AI96</f>
        <v>0</v>
      </c>
      <c r="AL96" s="1836"/>
      <c r="AM96" s="1837"/>
      <c r="AN96" s="1838"/>
      <c r="AO96" s="1839"/>
      <c r="AP96" s="1839"/>
      <c r="AQ96" s="907">
        <f>AQ92+AQ93-AQ95</f>
        <v>0</v>
      </c>
      <c r="AR96" s="902">
        <f>AR95</f>
        <v>0</v>
      </c>
      <c r="AS96" s="902">
        <f>AR96*AQ96</f>
        <v>0</v>
      </c>
      <c r="AT96" s="1840"/>
      <c r="AU96" s="1841"/>
      <c r="AV96" s="1842"/>
      <c r="AW96" s="1843"/>
      <c r="AX96" s="1843"/>
      <c r="AY96" s="906">
        <f>AY92+AY93-AY95</f>
        <v>0</v>
      </c>
      <c r="AZ96" s="29">
        <f>AZ95</f>
        <v>0</v>
      </c>
      <c r="BA96" s="29">
        <f>AZ96*AY96</f>
        <v>0</v>
      </c>
      <c r="BB96" s="1836"/>
      <c r="BC96" s="1837"/>
      <c r="BD96" s="1838"/>
      <c r="BE96" s="1839"/>
      <c r="BF96" s="1839"/>
      <c r="BG96" s="907">
        <f>BG92+BG93-BG95</f>
        <v>0</v>
      </c>
      <c r="BH96" s="902">
        <f>BH95</f>
        <v>0</v>
      </c>
      <c r="BI96" s="902">
        <f>BH96*BG96</f>
        <v>0</v>
      </c>
      <c r="BJ96" s="1840"/>
      <c r="BK96" s="1841"/>
      <c r="BL96" s="1842"/>
      <c r="BM96" s="1843"/>
      <c r="BN96" s="1843"/>
      <c r="BO96" s="906">
        <f>BO92+BO93-BO95</f>
        <v>0</v>
      </c>
      <c r="BP96" s="29">
        <f>BP95</f>
        <v>0</v>
      </c>
      <c r="BQ96" s="29">
        <f>BP96*BO96</f>
        <v>0</v>
      </c>
      <c r="BR96" s="1836"/>
      <c r="BS96" s="1837"/>
      <c r="BT96" s="1838"/>
      <c r="BU96" s="1839"/>
      <c r="BV96" s="1839"/>
      <c r="BW96" s="907">
        <f>BW92+BW93-BW95</f>
        <v>0</v>
      </c>
      <c r="BX96" s="902">
        <f>BX95</f>
        <v>0</v>
      </c>
      <c r="BY96" s="902">
        <f>BX96*BW96</f>
        <v>0</v>
      </c>
      <c r="BZ96" s="1840"/>
      <c r="CA96" s="1841"/>
      <c r="CB96" s="1842"/>
      <c r="CC96" s="1843"/>
      <c r="CD96" s="1843"/>
      <c r="CE96" s="906">
        <f>CE92+CE93-CE95</f>
        <v>0</v>
      </c>
      <c r="CF96" s="29">
        <f>CF95</f>
        <v>0</v>
      </c>
      <c r="CG96" s="29">
        <f>CF96*CE96</f>
        <v>0</v>
      </c>
      <c r="CH96" s="1836"/>
      <c r="CI96" s="1837"/>
      <c r="CJ96" s="1838"/>
      <c r="CK96" s="1839"/>
      <c r="CL96" s="1839"/>
      <c r="CM96" s="907">
        <f>CM92+CM93-CM95</f>
        <v>0</v>
      </c>
      <c r="CN96" s="902">
        <f>CN95</f>
        <v>0</v>
      </c>
      <c r="CO96" s="902">
        <f>CN96*CM96</f>
        <v>0</v>
      </c>
      <c r="CP96" s="1840"/>
      <c r="CQ96" s="1841"/>
      <c r="CR96" s="1842"/>
      <c r="CS96" s="1843"/>
      <c r="CT96" s="1843"/>
      <c r="CU96" s="1844"/>
      <c r="CV96" s="1844"/>
      <c r="CW96" s="1845"/>
      <c r="CX96" s="1844"/>
      <c r="CY96" s="1845"/>
      <c r="CZ96" s="1845"/>
      <c r="DA96" s="1845"/>
      <c r="DB96" s="908" t="s">
        <v>316</v>
      </c>
      <c r="DC96" s="910"/>
      <c r="DD96" s="910"/>
      <c r="DE96" s="910"/>
      <c r="DF96" s="910"/>
      <c r="DG96" s="910"/>
      <c r="DH96" s="910"/>
      <c r="DI96" s="910"/>
      <c r="DJ96" s="910"/>
      <c r="DK96" s="910"/>
      <c r="DL96" s="910"/>
      <c r="DM96" s="910"/>
      <c r="DN96" s="910"/>
      <c r="DO96" s="911">
        <f>IF(DO90=0,DO28,DO95/DO90)</f>
        <v>0</v>
      </c>
    </row>
    <row r="97" spans="1:106" x14ac:dyDescent="0.3">
      <c r="A97" s="1835" t="str">
        <f>A29</f>
        <v>MARÇ</v>
      </c>
      <c r="B97" s="108" t="s">
        <v>255</v>
      </c>
      <c r="C97" s="906">
        <f>C96</f>
        <v>0</v>
      </c>
      <c r="D97" s="29">
        <f>D96</f>
        <v>0</v>
      </c>
      <c r="E97" s="29">
        <f>C97*D97</f>
        <v>0</v>
      </c>
      <c r="F97" s="1836">
        <f>E98*$I$3</f>
        <v>0</v>
      </c>
      <c r="G97" s="1837">
        <f>G92</f>
        <v>0</v>
      </c>
      <c r="H97" s="1838">
        <f>H92</f>
        <v>0</v>
      </c>
      <c r="I97" s="1839">
        <f>E100/(1-G97)</f>
        <v>0</v>
      </c>
      <c r="J97" s="1839">
        <f>I97*$F$3</f>
        <v>0</v>
      </c>
      <c r="K97" s="907">
        <f>K96</f>
        <v>0</v>
      </c>
      <c r="L97" s="902">
        <f>L96</f>
        <v>0</v>
      </c>
      <c r="M97" s="902">
        <f>K97*L97</f>
        <v>0</v>
      </c>
      <c r="N97" s="1840">
        <f>M98*$I$4</f>
        <v>0</v>
      </c>
      <c r="O97" s="1841">
        <f>O92</f>
        <v>0</v>
      </c>
      <c r="P97" s="1842">
        <f>P92</f>
        <v>0</v>
      </c>
      <c r="Q97" s="1843">
        <f>M100/(1-O97)</f>
        <v>0</v>
      </c>
      <c r="R97" s="1843">
        <f>Q97*$F$4</f>
        <v>0</v>
      </c>
      <c r="S97" s="906">
        <f>S96</f>
        <v>0</v>
      </c>
      <c r="T97" s="29">
        <f>T96</f>
        <v>0</v>
      </c>
      <c r="U97" s="29">
        <f>S97*T97</f>
        <v>0</v>
      </c>
      <c r="V97" s="1836">
        <f>U98*$I$5</f>
        <v>0</v>
      </c>
      <c r="W97" s="1837">
        <f>W92</f>
        <v>0</v>
      </c>
      <c r="X97" s="1838">
        <f>X92</f>
        <v>0</v>
      </c>
      <c r="Y97" s="1839">
        <f>U100/(1-W97)</f>
        <v>0</v>
      </c>
      <c r="Z97" s="1839">
        <f>Y97*$F$5</f>
        <v>0</v>
      </c>
      <c r="AA97" s="907">
        <f>AA96</f>
        <v>0</v>
      </c>
      <c r="AB97" s="902">
        <f>AB96</f>
        <v>0</v>
      </c>
      <c r="AC97" s="902">
        <f>AA97*AB97</f>
        <v>0</v>
      </c>
      <c r="AD97" s="1840">
        <f>AC98*$I$6</f>
        <v>0</v>
      </c>
      <c r="AE97" s="1841">
        <f>AE92</f>
        <v>0</v>
      </c>
      <c r="AF97" s="1842">
        <f>AF92</f>
        <v>0</v>
      </c>
      <c r="AG97" s="1843">
        <f>AC100/(1-AE97)</f>
        <v>0</v>
      </c>
      <c r="AH97" s="1843">
        <f>AG97*$F$6</f>
        <v>0</v>
      </c>
      <c r="AI97" s="906">
        <f>AI96</f>
        <v>0</v>
      </c>
      <c r="AJ97" s="29">
        <f>AJ96</f>
        <v>0</v>
      </c>
      <c r="AK97" s="29">
        <f>AI97*AJ97</f>
        <v>0</v>
      </c>
      <c r="AL97" s="1836">
        <f>AK98*$I$7</f>
        <v>0</v>
      </c>
      <c r="AM97" s="1837">
        <f>AM92</f>
        <v>0</v>
      </c>
      <c r="AN97" s="1838">
        <f>AN92</f>
        <v>0</v>
      </c>
      <c r="AO97" s="1839">
        <f>AK100/(1-AM97)</f>
        <v>0</v>
      </c>
      <c r="AP97" s="1839">
        <f>AO97*$F$7</f>
        <v>0</v>
      </c>
      <c r="AQ97" s="907">
        <f>AQ96</f>
        <v>0</v>
      </c>
      <c r="AR97" s="902">
        <f>AR96</f>
        <v>0</v>
      </c>
      <c r="AS97" s="902">
        <f>AQ97*AR97</f>
        <v>0</v>
      </c>
      <c r="AT97" s="1840">
        <f>AS98*$I$8</f>
        <v>0</v>
      </c>
      <c r="AU97" s="1841">
        <f>AU92</f>
        <v>0</v>
      </c>
      <c r="AV97" s="1842">
        <f>AV92</f>
        <v>0</v>
      </c>
      <c r="AW97" s="1843">
        <f>AS100/(1-AU97)</f>
        <v>0</v>
      </c>
      <c r="AX97" s="1843">
        <f>AW97*$F$8</f>
        <v>0</v>
      </c>
      <c r="AY97" s="906">
        <f>AY96</f>
        <v>0</v>
      </c>
      <c r="AZ97" s="29">
        <f>AZ96</f>
        <v>0</v>
      </c>
      <c r="BA97" s="29">
        <f>AY97*AZ97</f>
        <v>0</v>
      </c>
      <c r="BB97" s="1836">
        <f>BA98*$I$9</f>
        <v>0</v>
      </c>
      <c r="BC97" s="1837">
        <f>BC92</f>
        <v>0</v>
      </c>
      <c r="BD97" s="1838">
        <f>BD92</f>
        <v>0</v>
      </c>
      <c r="BE97" s="1839">
        <f>BA100/(1-BC97)</f>
        <v>0</v>
      </c>
      <c r="BF97" s="1839">
        <f>BE97*$F$9</f>
        <v>0</v>
      </c>
      <c r="BG97" s="907">
        <f>BG96</f>
        <v>0</v>
      </c>
      <c r="BH97" s="902">
        <f>BH96</f>
        <v>0</v>
      </c>
      <c r="BI97" s="902">
        <f>BG97*BH97</f>
        <v>0</v>
      </c>
      <c r="BJ97" s="1840">
        <f>BI98*$I$10</f>
        <v>0</v>
      </c>
      <c r="BK97" s="1841">
        <f>BK92</f>
        <v>0</v>
      </c>
      <c r="BL97" s="1842">
        <f>BL92</f>
        <v>0</v>
      </c>
      <c r="BM97" s="1843">
        <f>BI100/(1-BK97)</f>
        <v>0</v>
      </c>
      <c r="BN97" s="1843">
        <f>BM97*$F$10</f>
        <v>0</v>
      </c>
      <c r="BO97" s="906">
        <f>BO96</f>
        <v>0</v>
      </c>
      <c r="BP97" s="29">
        <f>BP96</f>
        <v>0</v>
      </c>
      <c r="BQ97" s="29">
        <f>BO97*BP97</f>
        <v>0</v>
      </c>
      <c r="BR97" s="1836">
        <f>BQ98*$I$11</f>
        <v>0</v>
      </c>
      <c r="BS97" s="1837">
        <f>BS92</f>
        <v>0</v>
      </c>
      <c r="BT97" s="1838">
        <f>BT92</f>
        <v>0</v>
      </c>
      <c r="BU97" s="1839">
        <f>BQ100/(1-BS97)</f>
        <v>0</v>
      </c>
      <c r="BV97" s="1839">
        <f>BU97*$F$11</f>
        <v>0</v>
      </c>
      <c r="BW97" s="907">
        <f>BW96</f>
        <v>0</v>
      </c>
      <c r="BX97" s="902">
        <f>BX96</f>
        <v>0</v>
      </c>
      <c r="BY97" s="902">
        <f>BW97*BX97</f>
        <v>0</v>
      </c>
      <c r="BZ97" s="1840">
        <f>BY98*$I$12</f>
        <v>0</v>
      </c>
      <c r="CA97" s="1841">
        <f>CA92</f>
        <v>0</v>
      </c>
      <c r="CB97" s="1842">
        <f>CB92</f>
        <v>0</v>
      </c>
      <c r="CC97" s="1843">
        <f>BY100/(1-CA97)</f>
        <v>0</v>
      </c>
      <c r="CD97" s="1843">
        <f>CC97*$F$12</f>
        <v>0</v>
      </c>
      <c r="CE97" s="906">
        <f>CE96</f>
        <v>0</v>
      </c>
      <c r="CF97" s="29">
        <f>CF96</f>
        <v>0</v>
      </c>
      <c r="CG97" s="29">
        <f>CE97*CF97</f>
        <v>0</v>
      </c>
      <c r="CH97" s="1836">
        <f>CG98*$I$13</f>
        <v>0</v>
      </c>
      <c r="CI97" s="1837">
        <f>CI92</f>
        <v>0</v>
      </c>
      <c r="CJ97" s="1838">
        <f>CJ92</f>
        <v>0</v>
      </c>
      <c r="CK97" s="1839">
        <f>CG100/(1-CI97)</f>
        <v>0</v>
      </c>
      <c r="CL97" s="1839">
        <f>CK97*$F$13</f>
        <v>0</v>
      </c>
      <c r="CM97" s="907">
        <f>CM96</f>
        <v>0</v>
      </c>
      <c r="CN97" s="902">
        <f>CN96</f>
        <v>0</v>
      </c>
      <c r="CO97" s="902">
        <f>CM97*CN97</f>
        <v>0</v>
      </c>
      <c r="CP97" s="1840">
        <f>CO98*$I$14</f>
        <v>0</v>
      </c>
      <c r="CQ97" s="1841">
        <f>CQ92</f>
        <v>0</v>
      </c>
      <c r="CR97" s="1842">
        <f>CR92</f>
        <v>0</v>
      </c>
      <c r="CS97" s="1843">
        <f>CO100/(1-CQ97)</f>
        <v>0</v>
      </c>
      <c r="CT97" s="1843">
        <f>CS97*$F$14</f>
        <v>0</v>
      </c>
      <c r="CU97" s="1844">
        <f>E98+M98+U98+AC98+AK98+AS98+BA98+BI98+BQ98+BY98+CG98+CO98</f>
        <v>0</v>
      </c>
      <c r="CV97" s="1844">
        <f>CP97+CH97+BZ97+BR97+BJ97+BB97+AT97+AL97+AD97+V97+N97+F97</f>
        <v>0</v>
      </c>
      <c r="CW97" s="1845">
        <f>I97+Q97+Y97+AG97+AO97+AW97+BE97+BM97+BU97+CC97+CK97+CS97</f>
        <v>0</v>
      </c>
      <c r="CX97" s="1844">
        <f>CT97+CL97+CD97+BV97+BN97+BF97+AX97+AP97+AH97+Z97+R97+J97</f>
        <v>0</v>
      </c>
      <c r="CY97" s="1845">
        <f>CZ92</f>
        <v>0</v>
      </c>
      <c r="CZ97" s="1845">
        <f>E101+M101+U101+AC101+AK101+AS101+BA101+BI101+BQ101+BY101+CG101+CO101</f>
        <v>0</v>
      </c>
      <c r="DA97" s="1845">
        <f>CZ97-CY97</f>
        <v>0</v>
      </c>
      <c r="DB97" s="914"/>
    </row>
    <row r="98" spans="1:106" x14ac:dyDescent="0.3">
      <c r="A98" s="1835"/>
      <c r="B98" s="108" t="s">
        <v>310</v>
      </c>
      <c r="C98" s="898">
        <f>C93</f>
        <v>0</v>
      </c>
      <c r="D98" s="899">
        <f>D93</f>
        <v>0</v>
      </c>
      <c r="E98" s="29">
        <f>C98*D98</f>
        <v>0</v>
      </c>
      <c r="F98" s="1836"/>
      <c r="G98" s="1837"/>
      <c r="H98" s="1838"/>
      <c r="I98" s="1839"/>
      <c r="J98" s="1839"/>
      <c r="K98" s="900">
        <f>K93</f>
        <v>0</v>
      </c>
      <c r="L98" s="901">
        <f>L93</f>
        <v>0</v>
      </c>
      <c r="M98" s="902">
        <f>K98*L98</f>
        <v>0</v>
      </c>
      <c r="N98" s="1840"/>
      <c r="O98" s="1841"/>
      <c r="P98" s="1842"/>
      <c r="Q98" s="1843"/>
      <c r="R98" s="1843"/>
      <c r="S98" s="898">
        <f>S93</f>
        <v>0</v>
      </c>
      <c r="T98" s="899">
        <f>T93</f>
        <v>0</v>
      </c>
      <c r="U98" s="29">
        <f>S98*T98</f>
        <v>0</v>
      </c>
      <c r="V98" s="1836"/>
      <c r="W98" s="1837"/>
      <c r="X98" s="1838"/>
      <c r="Y98" s="1839"/>
      <c r="Z98" s="1839"/>
      <c r="AA98" s="900">
        <f>AA93</f>
        <v>0</v>
      </c>
      <c r="AB98" s="901">
        <f>AB93</f>
        <v>0</v>
      </c>
      <c r="AC98" s="902">
        <f>AA98*AB98</f>
        <v>0</v>
      </c>
      <c r="AD98" s="1840"/>
      <c r="AE98" s="1841"/>
      <c r="AF98" s="1842"/>
      <c r="AG98" s="1843"/>
      <c r="AH98" s="1843"/>
      <c r="AI98" s="898">
        <f>AI93</f>
        <v>0</v>
      </c>
      <c r="AJ98" s="899">
        <f>AJ93</f>
        <v>0</v>
      </c>
      <c r="AK98" s="29">
        <f>AI98*AJ98</f>
        <v>0</v>
      </c>
      <c r="AL98" s="1836"/>
      <c r="AM98" s="1837"/>
      <c r="AN98" s="1838"/>
      <c r="AO98" s="1839"/>
      <c r="AP98" s="1839"/>
      <c r="AQ98" s="900">
        <f>AQ93</f>
        <v>0</v>
      </c>
      <c r="AR98" s="901">
        <f>AR93</f>
        <v>0</v>
      </c>
      <c r="AS98" s="902">
        <f>AQ98*AR98</f>
        <v>0</v>
      </c>
      <c r="AT98" s="1840"/>
      <c r="AU98" s="1841"/>
      <c r="AV98" s="1842"/>
      <c r="AW98" s="1843"/>
      <c r="AX98" s="1843"/>
      <c r="AY98" s="898">
        <f>AY93</f>
        <v>0</v>
      </c>
      <c r="AZ98" s="899">
        <f>AZ93</f>
        <v>0</v>
      </c>
      <c r="BA98" s="29">
        <f>AY98*AZ98</f>
        <v>0</v>
      </c>
      <c r="BB98" s="1836"/>
      <c r="BC98" s="1837"/>
      <c r="BD98" s="1838"/>
      <c r="BE98" s="1839"/>
      <c r="BF98" s="1839"/>
      <c r="BG98" s="900">
        <f>BG93</f>
        <v>0</v>
      </c>
      <c r="BH98" s="901">
        <f>BH93</f>
        <v>0</v>
      </c>
      <c r="BI98" s="902">
        <f>BG98*BH98</f>
        <v>0</v>
      </c>
      <c r="BJ98" s="1840"/>
      <c r="BK98" s="1841"/>
      <c r="BL98" s="1842"/>
      <c r="BM98" s="1843"/>
      <c r="BN98" s="1843"/>
      <c r="BO98" s="898">
        <f>BO93</f>
        <v>0</v>
      </c>
      <c r="BP98" s="899">
        <f>BP93</f>
        <v>0</v>
      </c>
      <c r="BQ98" s="29">
        <f>BO98*BP98</f>
        <v>0</v>
      </c>
      <c r="BR98" s="1836"/>
      <c r="BS98" s="1837"/>
      <c r="BT98" s="1838"/>
      <c r="BU98" s="1839"/>
      <c r="BV98" s="1839"/>
      <c r="BW98" s="900">
        <f>BW93</f>
        <v>0</v>
      </c>
      <c r="BX98" s="901">
        <f>BX93</f>
        <v>0</v>
      </c>
      <c r="BY98" s="902">
        <f>BW98*BX98</f>
        <v>0</v>
      </c>
      <c r="BZ98" s="1840"/>
      <c r="CA98" s="1841"/>
      <c r="CB98" s="1842"/>
      <c r="CC98" s="1843"/>
      <c r="CD98" s="1843"/>
      <c r="CE98" s="898">
        <f>CE93</f>
        <v>0</v>
      </c>
      <c r="CF98" s="899">
        <f>CF93</f>
        <v>0</v>
      </c>
      <c r="CG98" s="29">
        <f>CE98*CF98</f>
        <v>0</v>
      </c>
      <c r="CH98" s="1836"/>
      <c r="CI98" s="1837"/>
      <c r="CJ98" s="1838"/>
      <c r="CK98" s="1839"/>
      <c r="CL98" s="1839"/>
      <c r="CM98" s="900">
        <f>CM93</f>
        <v>0</v>
      </c>
      <c r="CN98" s="901">
        <f>CN93</f>
        <v>0</v>
      </c>
      <c r="CO98" s="902">
        <f>CM98*CN98</f>
        <v>0</v>
      </c>
      <c r="CP98" s="1840"/>
      <c r="CQ98" s="1841"/>
      <c r="CR98" s="1842"/>
      <c r="CS98" s="1843"/>
      <c r="CT98" s="1843"/>
      <c r="CU98" s="1844"/>
      <c r="CV98" s="1844"/>
      <c r="CW98" s="1845"/>
      <c r="CX98" s="1844"/>
      <c r="CY98" s="1845"/>
      <c r="CZ98" s="1845"/>
      <c r="DA98" s="1845"/>
      <c r="DB98" s="912"/>
    </row>
    <row r="99" spans="1:106" ht="12.75" hidden="1" customHeight="1" x14ac:dyDescent="0.3">
      <c r="A99" s="1835"/>
      <c r="B99" s="108" t="s">
        <v>315</v>
      </c>
      <c r="C99" s="906">
        <f>C98+C97</f>
        <v>0</v>
      </c>
      <c r="D99" s="29">
        <f>IF(C99=0,0,E99/C99)</f>
        <v>0</v>
      </c>
      <c r="E99" s="29">
        <f>E98+E97</f>
        <v>0</v>
      </c>
      <c r="F99" s="1836"/>
      <c r="G99" s="1837"/>
      <c r="H99" s="1838"/>
      <c r="I99" s="1839"/>
      <c r="J99" s="1839"/>
      <c r="K99" s="907">
        <f>K98+K97</f>
        <v>0</v>
      </c>
      <c r="L99" s="902">
        <f>IF(K99=0,0,M99/K99)</f>
        <v>0</v>
      </c>
      <c r="M99" s="902">
        <f>M98+M97</f>
        <v>0</v>
      </c>
      <c r="N99" s="1840"/>
      <c r="O99" s="1841"/>
      <c r="P99" s="1842"/>
      <c r="Q99" s="1843"/>
      <c r="R99" s="1843"/>
      <c r="S99" s="906">
        <f>S98+S97</f>
        <v>0</v>
      </c>
      <c r="T99" s="29">
        <f>IF(S99=0,0,U99/S99)</f>
        <v>0</v>
      </c>
      <c r="U99" s="29">
        <f>U98+U97</f>
        <v>0</v>
      </c>
      <c r="V99" s="1836"/>
      <c r="W99" s="1837"/>
      <c r="X99" s="1838"/>
      <c r="Y99" s="1839"/>
      <c r="Z99" s="1839"/>
      <c r="AA99" s="907">
        <f>AA98+AA97</f>
        <v>0</v>
      </c>
      <c r="AB99" s="902">
        <f>IF(AA99=0,0,AC99/AA99)</f>
        <v>0</v>
      </c>
      <c r="AC99" s="902">
        <f>AC98+AC97</f>
        <v>0</v>
      </c>
      <c r="AD99" s="1840"/>
      <c r="AE99" s="1841"/>
      <c r="AF99" s="1842"/>
      <c r="AG99" s="1843"/>
      <c r="AH99" s="1843"/>
      <c r="AI99" s="906">
        <f>AI98+AI97</f>
        <v>0</v>
      </c>
      <c r="AJ99" s="29">
        <f>IF(AI99=0,0,AK99/AI99)</f>
        <v>0</v>
      </c>
      <c r="AK99" s="29">
        <f>AK98+AK97</f>
        <v>0</v>
      </c>
      <c r="AL99" s="1836"/>
      <c r="AM99" s="1837"/>
      <c r="AN99" s="1838"/>
      <c r="AO99" s="1839"/>
      <c r="AP99" s="1839"/>
      <c r="AQ99" s="907">
        <f>AQ98+AQ97</f>
        <v>0</v>
      </c>
      <c r="AR99" s="902">
        <f>IF(AQ99=0,0,AS99/AQ99)</f>
        <v>0</v>
      </c>
      <c r="AS99" s="902">
        <f>AS98+AS97</f>
        <v>0</v>
      </c>
      <c r="AT99" s="1840"/>
      <c r="AU99" s="1841"/>
      <c r="AV99" s="1842"/>
      <c r="AW99" s="1843"/>
      <c r="AX99" s="1843"/>
      <c r="AY99" s="906">
        <f>AY98+AY97</f>
        <v>0</v>
      </c>
      <c r="AZ99" s="29">
        <f>IF(AY99=0,0,BA99/AY99)</f>
        <v>0</v>
      </c>
      <c r="BA99" s="29">
        <f>BA98+BA97</f>
        <v>0</v>
      </c>
      <c r="BB99" s="1836"/>
      <c r="BC99" s="1837"/>
      <c r="BD99" s="1838"/>
      <c r="BE99" s="1839"/>
      <c r="BF99" s="1839"/>
      <c r="BG99" s="907">
        <f>BG98+BG97</f>
        <v>0</v>
      </c>
      <c r="BH99" s="902">
        <f>IF(BG99=0,0,BI99/BG99)</f>
        <v>0</v>
      </c>
      <c r="BI99" s="902">
        <f>BI98+BI97</f>
        <v>0</v>
      </c>
      <c r="BJ99" s="1840"/>
      <c r="BK99" s="1841"/>
      <c r="BL99" s="1842"/>
      <c r="BM99" s="1843"/>
      <c r="BN99" s="1843"/>
      <c r="BO99" s="906">
        <f>BO98+BO97</f>
        <v>0</v>
      </c>
      <c r="BP99" s="29">
        <f>IF(BO99=0,0,BQ99/BO99)</f>
        <v>0</v>
      </c>
      <c r="BQ99" s="29">
        <f>BQ98+BQ97</f>
        <v>0</v>
      </c>
      <c r="BR99" s="1836"/>
      <c r="BS99" s="1837"/>
      <c r="BT99" s="1838"/>
      <c r="BU99" s="1839"/>
      <c r="BV99" s="1839"/>
      <c r="BW99" s="907">
        <f>BW98+BW97</f>
        <v>0</v>
      </c>
      <c r="BX99" s="902">
        <f>IF(BW99=0,0,BY99/BW99)</f>
        <v>0</v>
      </c>
      <c r="BY99" s="902">
        <f>BY98+BY97</f>
        <v>0</v>
      </c>
      <c r="BZ99" s="1840"/>
      <c r="CA99" s="1841"/>
      <c r="CB99" s="1842"/>
      <c r="CC99" s="1843"/>
      <c r="CD99" s="1843"/>
      <c r="CE99" s="906">
        <f>CE98+CE97</f>
        <v>0</v>
      </c>
      <c r="CF99" s="29">
        <f>IF(CE99=0,0,CG99/CE99)</f>
        <v>0</v>
      </c>
      <c r="CG99" s="29">
        <f>CG98+CG97</f>
        <v>0</v>
      </c>
      <c r="CH99" s="1836"/>
      <c r="CI99" s="1837"/>
      <c r="CJ99" s="1838"/>
      <c r="CK99" s="1839"/>
      <c r="CL99" s="1839"/>
      <c r="CM99" s="907">
        <f>CM98+CM97</f>
        <v>0</v>
      </c>
      <c r="CN99" s="902">
        <f>IF(CM99=0,0,CO99/CM99)</f>
        <v>0</v>
      </c>
      <c r="CO99" s="902">
        <f>CO98+CO97</f>
        <v>0</v>
      </c>
      <c r="CP99" s="1840"/>
      <c r="CQ99" s="1841"/>
      <c r="CR99" s="1842"/>
      <c r="CS99" s="1843"/>
      <c r="CT99" s="1843"/>
      <c r="CU99" s="1844"/>
      <c r="CV99" s="1844"/>
      <c r="CW99" s="1845"/>
      <c r="CX99" s="1844"/>
      <c r="CY99" s="1845"/>
      <c r="CZ99" s="1845"/>
      <c r="DA99" s="1845"/>
      <c r="DB99" s="912"/>
    </row>
    <row r="100" spans="1:106" x14ac:dyDescent="0.3">
      <c r="A100" s="1835"/>
      <c r="B100" s="108" t="s">
        <v>312</v>
      </c>
      <c r="C100" s="906">
        <f>H97*C99</f>
        <v>0</v>
      </c>
      <c r="D100" s="29">
        <f>D99</f>
        <v>0</v>
      </c>
      <c r="E100" s="29">
        <f>C100*D100</f>
        <v>0</v>
      </c>
      <c r="F100" s="1836"/>
      <c r="G100" s="1837"/>
      <c r="H100" s="1838"/>
      <c r="I100" s="1839"/>
      <c r="J100" s="1839"/>
      <c r="K100" s="907">
        <f>P97*K99</f>
        <v>0</v>
      </c>
      <c r="L100" s="902">
        <f>L99</f>
        <v>0</v>
      </c>
      <c r="M100" s="902">
        <f>K100*L100</f>
        <v>0</v>
      </c>
      <c r="N100" s="1840"/>
      <c r="O100" s="1841"/>
      <c r="P100" s="1842"/>
      <c r="Q100" s="1843"/>
      <c r="R100" s="1843"/>
      <c r="S100" s="906">
        <f>X97*S99</f>
        <v>0</v>
      </c>
      <c r="T100" s="29">
        <f>T99</f>
        <v>0</v>
      </c>
      <c r="U100" s="29">
        <f>S100*T100</f>
        <v>0</v>
      </c>
      <c r="V100" s="1836"/>
      <c r="W100" s="1837"/>
      <c r="X100" s="1838"/>
      <c r="Y100" s="1839"/>
      <c r="Z100" s="1839"/>
      <c r="AA100" s="907">
        <f>AF97*AA99</f>
        <v>0</v>
      </c>
      <c r="AB100" s="902">
        <f>AB99</f>
        <v>0</v>
      </c>
      <c r="AC100" s="902">
        <f>AA100*AB100</f>
        <v>0</v>
      </c>
      <c r="AD100" s="1840"/>
      <c r="AE100" s="1841"/>
      <c r="AF100" s="1842"/>
      <c r="AG100" s="1843"/>
      <c r="AH100" s="1843"/>
      <c r="AI100" s="906">
        <f>AN97*AI99</f>
        <v>0</v>
      </c>
      <c r="AJ100" s="29">
        <f>AJ99</f>
        <v>0</v>
      </c>
      <c r="AK100" s="29">
        <f>AI100*AJ100</f>
        <v>0</v>
      </c>
      <c r="AL100" s="1836"/>
      <c r="AM100" s="1837"/>
      <c r="AN100" s="1838"/>
      <c r="AO100" s="1839"/>
      <c r="AP100" s="1839"/>
      <c r="AQ100" s="907">
        <f>AV97*AQ99</f>
        <v>0</v>
      </c>
      <c r="AR100" s="902">
        <f>AR99</f>
        <v>0</v>
      </c>
      <c r="AS100" s="902">
        <f>AQ100*AR100</f>
        <v>0</v>
      </c>
      <c r="AT100" s="1840"/>
      <c r="AU100" s="1841"/>
      <c r="AV100" s="1842"/>
      <c r="AW100" s="1843"/>
      <c r="AX100" s="1843"/>
      <c r="AY100" s="906">
        <f>BD97*AY99</f>
        <v>0</v>
      </c>
      <c r="AZ100" s="29">
        <f>AZ99</f>
        <v>0</v>
      </c>
      <c r="BA100" s="29">
        <f>AY100*AZ100</f>
        <v>0</v>
      </c>
      <c r="BB100" s="1836"/>
      <c r="BC100" s="1837"/>
      <c r="BD100" s="1838"/>
      <c r="BE100" s="1839"/>
      <c r="BF100" s="1839"/>
      <c r="BG100" s="907">
        <f>BL97*BG99</f>
        <v>0</v>
      </c>
      <c r="BH100" s="902">
        <f>BH99</f>
        <v>0</v>
      </c>
      <c r="BI100" s="902">
        <f>BG100*BH100</f>
        <v>0</v>
      </c>
      <c r="BJ100" s="1840"/>
      <c r="BK100" s="1841"/>
      <c r="BL100" s="1842"/>
      <c r="BM100" s="1843"/>
      <c r="BN100" s="1843"/>
      <c r="BO100" s="906">
        <f>BT97*BO99</f>
        <v>0</v>
      </c>
      <c r="BP100" s="29">
        <f>BP99</f>
        <v>0</v>
      </c>
      <c r="BQ100" s="29">
        <f>BO100*BP100</f>
        <v>0</v>
      </c>
      <c r="BR100" s="1836"/>
      <c r="BS100" s="1837"/>
      <c r="BT100" s="1838"/>
      <c r="BU100" s="1839"/>
      <c r="BV100" s="1839"/>
      <c r="BW100" s="907">
        <f>CB97*BW99</f>
        <v>0</v>
      </c>
      <c r="BX100" s="902">
        <f>BX99</f>
        <v>0</v>
      </c>
      <c r="BY100" s="902">
        <f>BW100*BX100</f>
        <v>0</v>
      </c>
      <c r="BZ100" s="1840"/>
      <c r="CA100" s="1841"/>
      <c r="CB100" s="1842"/>
      <c r="CC100" s="1843"/>
      <c r="CD100" s="1843"/>
      <c r="CE100" s="906">
        <f>CJ97*CE99</f>
        <v>0</v>
      </c>
      <c r="CF100" s="29">
        <f>CF99</f>
        <v>0</v>
      </c>
      <c r="CG100" s="29">
        <f>CE100*CF100</f>
        <v>0</v>
      </c>
      <c r="CH100" s="1836"/>
      <c r="CI100" s="1837"/>
      <c r="CJ100" s="1838"/>
      <c r="CK100" s="1839"/>
      <c r="CL100" s="1839"/>
      <c r="CM100" s="907">
        <f>CR97*CM99</f>
        <v>0</v>
      </c>
      <c r="CN100" s="902">
        <f>CN99</f>
        <v>0</v>
      </c>
      <c r="CO100" s="902">
        <f>CM100*CN100</f>
        <v>0</v>
      </c>
      <c r="CP100" s="1840"/>
      <c r="CQ100" s="1841"/>
      <c r="CR100" s="1842"/>
      <c r="CS100" s="1843"/>
      <c r="CT100" s="1843"/>
      <c r="CU100" s="1844"/>
      <c r="CV100" s="1844"/>
      <c r="CW100" s="1845"/>
      <c r="CX100" s="1844"/>
      <c r="CY100" s="1845"/>
      <c r="CZ100" s="1845"/>
      <c r="DA100" s="1845"/>
      <c r="DB100" s="912"/>
    </row>
    <row r="101" spans="1:106" x14ac:dyDescent="0.3">
      <c r="A101" s="1835"/>
      <c r="B101" s="108" t="s">
        <v>254</v>
      </c>
      <c r="C101" s="906">
        <f>C97+C98-C100</f>
        <v>0</v>
      </c>
      <c r="D101" s="29">
        <f>D100</f>
        <v>0</v>
      </c>
      <c r="E101" s="29">
        <f>D101*C101</f>
        <v>0</v>
      </c>
      <c r="F101" s="1836"/>
      <c r="G101" s="1837"/>
      <c r="H101" s="1838"/>
      <c r="I101" s="1839"/>
      <c r="J101" s="1839"/>
      <c r="K101" s="907">
        <f>K97+K98-K100</f>
        <v>0</v>
      </c>
      <c r="L101" s="902">
        <f>L100</f>
        <v>0</v>
      </c>
      <c r="M101" s="902">
        <f>L101*K101</f>
        <v>0</v>
      </c>
      <c r="N101" s="1840"/>
      <c r="O101" s="1841"/>
      <c r="P101" s="1842"/>
      <c r="Q101" s="1843"/>
      <c r="R101" s="1843"/>
      <c r="S101" s="906">
        <f>S97+S98-S100</f>
        <v>0</v>
      </c>
      <c r="T101" s="29">
        <f>T100</f>
        <v>0</v>
      </c>
      <c r="U101" s="29">
        <f>T101*S101</f>
        <v>0</v>
      </c>
      <c r="V101" s="1836"/>
      <c r="W101" s="1837"/>
      <c r="X101" s="1838"/>
      <c r="Y101" s="1839"/>
      <c r="Z101" s="1839"/>
      <c r="AA101" s="907">
        <f>AA97+AA98-AA100</f>
        <v>0</v>
      </c>
      <c r="AB101" s="902">
        <f>AB100</f>
        <v>0</v>
      </c>
      <c r="AC101" s="902">
        <f>AB101*AA101</f>
        <v>0</v>
      </c>
      <c r="AD101" s="1840"/>
      <c r="AE101" s="1841"/>
      <c r="AF101" s="1842"/>
      <c r="AG101" s="1843"/>
      <c r="AH101" s="1843"/>
      <c r="AI101" s="906">
        <f>AI97+AI98-AI100</f>
        <v>0</v>
      </c>
      <c r="AJ101" s="29">
        <f>AJ100</f>
        <v>0</v>
      </c>
      <c r="AK101" s="29">
        <f>AJ101*AI101</f>
        <v>0</v>
      </c>
      <c r="AL101" s="1836"/>
      <c r="AM101" s="1837"/>
      <c r="AN101" s="1838"/>
      <c r="AO101" s="1839"/>
      <c r="AP101" s="1839"/>
      <c r="AQ101" s="907">
        <f>AQ97+AQ98-AQ100</f>
        <v>0</v>
      </c>
      <c r="AR101" s="902">
        <f>AR100</f>
        <v>0</v>
      </c>
      <c r="AS101" s="902">
        <f>AR101*AQ101</f>
        <v>0</v>
      </c>
      <c r="AT101" s="1840"/>
      <c r="AU101" s="1841"/>
      <c r="AV101" s="1842"/>
      <c r="AW101" s="1843"/>
      <c r="AX101" s="1843"/>
      <c r="AY101" s="906">
        <f>AY97+AY98-AY100</f>
        <v>0</v>
      </c>
      <c r="AZ101" s="29">
        <f>AZ100</f>
        <v>0</v>
      </c>
      <c r="BA101" s="29">
        <f>AZ101*AY101</f>
        <v>0</v>
      </c>
      <c r="BB101" s="1836"/>
      <c r="BC101" s="1837"/>
      <c r="BD101" s="1838"/>
      <c r="BE101" s="1839"/>
      <c r="BF101" s="1839"/>
      <c r="BG101" s="907">
        <f>BG97+BG98-BG100</f>
        <v>0</v>
      </c>
      <c r="BH101" s="902">
        <f>BH100</f>
        <v>0</v>
      </c>
      <c r="BI101" s="902">
        <f>BH101*BG101</f>
        <v>0</v>
      </c>
      <c r="BJ101" s="1840"/>
      <c r="BK101" s="1841"/>
      <c r="BL101" s="1842"/>
      <c r="BM101" s="1843"/>
      <c r="BN101" s="1843"/>
      <c r="BO101" s="906">
        <f>BO97+BO98-BO100</f>
        <v>0</v>
      </c>
      <c r="BP101" s="29">
        <f>BP100</f>
        <v>0</v>
      </c>
      <c r="BQ101" s="29">
        <f>BP101*BO101</f>
        <v>0</v>
      </c>
      <c r="BR101" s="1836"/>
      <c r="BS101" s="1837"/>
      <c r="BT101" s="1838"/>
      <c r="BU101" s="1839"/>
      <c r="BV101" s="1839"/>
      <c r="BW101" s="907">
        <f>BW97+BW98-BW100</f>
        <v>0</v>
      </c>
      <c r="BX101" s="902">
        <f>BX100</f>
        <v>0</v>
      </c>
      <c r="BY101" s="902">
        <f>BX101*BW101</f>
        <v>0</v>
      </c>
      <c r="BZ101" s="1840"/>
      <c r="CA101" s="1841"/>
      <c r="CB101" s="1842"/>
      <c r="CC101" s="1843"/>
      <c r="CD101" s="1843"/>
      <c r="CE101" s="906">
        <f>CE97+CE98-CE100</f>
        <v>0</v>
      </c>
      <c r="CF101" s="29">
        <f>CF100</f>
        <v>0</v>
      </c>
      <c r="CG101" s="29">
        <f>CF101*CE101</f>
        <v>0</v>
      </c>
      <c r="CH101" s="1836"/>
      <c r="CI101" s="1837"/>
      <c r="CJ101" s="1838"/>
      <c r="CK101" s="1839"/>
      <c r="CL101" s="1839"/>
      <c r="CM101" s="907">
        <f>CM97+CM98-CM100</f>
        <v>0</v>
      </c>
      <c r="CN101" s="902">
        <f>CN100</f>
        <v>0</v>
      </c>
      <c r="CO101" s="902">
        <f>CN101*CM101</f>
        <v>0</v>
      </c>
      <c r="CP101" s="1840"/>
      <c r="CQ101" s="1841"/>
      <c r="CR101" s="1842"/>
      <c r="CS101" s="1843"/>
      <c r="CT101" s="1843"/>
      <c r="CU101" s="1844"/>
      <c r="CV101" s="1844"/>
      <c r="CW101" s="1845"/>
      <c r="CX101" s="1844"/>
      <c r="CY101" s="1845"/>
      <c r="CZ101" s="1845"/>
      <c r="DA101" s="1845"/>
      <c r="DB101" s="912"/>
    </row>
    <row r="102" spans="1:106" x14ac:dyDescent="0.3">
      <c r="A102" s="1835" t="str">
        <f>A34</f>
        <v>ABRIL</v>
      </c>
      <c r="B102" s="108" t="s">
        <v>255</v>
      </c>
      <c r="C102" s="906">
        <f>C101</f>
        <v>0</v>
      </c>
      <c r="D102" s="29">
        <f>D101</f>
        <v>0</v>
      </c>
      <c r="E102" s="29">
        <f>C102*D102</f>
        <v>0</v>
      </c>
      <c r="F102" s="1836">
        <f>E103*$I$3</f>
        <v>0</v>
      </c>
      <c r="G102" s="1837">
        <f>G97</f>
        <v>0</v>
      </c>
      <c r="H102" s="1838">
        <f>H97</f>
        <v>0</v>
      </c>
      <c r="I102" s="1839">
        <f>E105/(1-G102)</f>
        <v>0</v>
      </c>
      <c r="J102" s="1839">
        <f>I102*$F$3</f>
        <v>0</v>
      </c>
      <c r="K102" s="907">
        <f>K101</f>
        <v>0</v>
      </c>
      <c r="L102" s="902">
        <f>L101</f>
        <v>0</v>
      </c>
      <c r="M102" s="902">
        <f>K102*L102</f>
        <v>0</v>
      </c>
      <c r="N102" s="1840">
        <f>M103*$I$4</f>
        <v>0</v>
      </c>
      <c r="O102" s="1841">
        <f>O97</f>
        <v>0</v>
      </c>
      <c r="P102" s="1842">
        <f>P97</f>
        <v>0</v>
      </c>
      <c r="Q102" s="1843">
        <f>M105/(1-O102)</f>
        <v>0</v>
      </c>
      <c r="R102" s="1843">
        <f>Q102*$F$4</f>
        <v>0</v>
      </c>
      <c r="S102" s="906">
        <f>S101</f>
        <v>0</v>
      </c>
      <c r="T102" s="29">
        <f>T101</f>
        <v>0</v>
      </c>
      <c r="U102" s="29">
        <f>S102*T102</f>
        <v>0</v>
      </c>
      <c r="V102" s="1836">
        <f>U103*$I$5</f>
        <v>0</v>
      </c>
      <c r="W102" s="1837">
        <f>W97</f>
        <v>0</v>
      </c>
      <c r="X102" s="1838">
        <f>X97</f>
        <v>0</v>
      </c>
      <c r="Y102" s="1839">
        <f>U105/(1-W102)</f>
        <v>0</v>
      </c>
      <c r="Z102" s="1839">
        <f>Y102*$F$5</f>
        <v>0</v>
      </c>
      <c r="AA102" s="907">
        <f>AA101</f>
        <v>0</v>
      </c>
      <c r="AB102" s="902">
        <f>AB101</f>
        <v>0</v>
      </c>
      <c r="AC102" s="902">
        <f>AA102*AB102</f>
        <v>0</v>
      </c>
      <c r="AD102" s="1840">
        <f>AC103*$I$6</f>
        <v>0</v>
      </c>
      <c r="AE102" s="1841">
        <f>AE97</f>
        <v>0</v>
      </c>
      <c r="AF102" s="1842">
        <f>AF97</f>
        <v>0</v>
      </c>
      <c r="AG102" s="1843">
        <f>AC105/(1-AE102)</f>
        <v>0</v>
      </c>
      <c r="AH102" s="1843">
        <f>AG102*$F$6</f>
        <v>0</v>
      </c>
      <c r="AI102" s="906">
        <f>AI101</f>
        <v>0</v>
      </c>
      <c r="AJ102" s="29">
        <f>AJ101</f>
        <v>0</v>
      </c>
      <c r="AK102" s="29">
        <f>AI102*AJ102</f>
        <v>0</v>
      </c>
      <c r="AL102" s="1836">
        <f>AK103*$I$7</f>
        <v>0</v>
      </c>
      <c r="AM102" s="1837">
        <f>AM97</f>
        <v>0</v>
      </c>
      <c r="AN102" s="1838">
        <f>AN97</f>
        <v>0</v>
      </c>
      <c r="AO102" s="1839">
        <f>AK105/(1-AM102)</f>
        <v>0</v>
      </c>
      <c r="AP102" s="1839">
        <f>AO102*$F$7</f>
        <v>0</v>
      </c>
      <c r="AQ102" s="907">
        <f>AQ101</f>
        <v>0</v>
      </c>
      <c r="AR102" s="902">
        <f>AR101</f>
        <v>0</v>
      </c>
      <c r="AS102" s="902">
        <f>AQ102*AR102</f>
        <v>0</v>
      </c>
      <c r="AT102" s="1840">
        <f>AS103*$I$8</f>
        <v>0</v>
      </c>
      <c r="AU102" s="1841">
        <f>AU97</f>
        <v>0</v>
      </c>
      <c r="AV102" s="1842">
        <f>AV97</f>
        <v>0</v>
      </c>
      <c r="AW102" s="1843">
        <f>AS105/(1-AU102)</f>
        <v>0</v>
      </c>
      <c r="AX102" s="1843">
        <f>AW102*$F$8</f>
        <v>0</v>
      </c>
      <c r="AY102" s="906">
        <f>AY101</f>
        <v>0</v>
      </c>
      <c r="AZ102" s="29">
        <f>AZ101</f>
        <v>0</v>
      </c>
      <c r="BA102" s="29">
        <f>AY102*AZ102</f>
        <v>0</v>
      </c>
      <c r="BB102" s="1836">
        <f>BA103*$I$9</f>
        <v>0</v>
      </c>
      <c r="BC102" s="1837">
        <f>BC97</f>
        <v>0</v>
      </c>
      <c r="BD102" s="1838">
        <f>BD97</f>
        <v>0</v>
      </c>
      <c r="BE102" s="1839">
        <f>BA105/(1-BC102)</f>
        <v>0</v>
      </c>
      <c r="BF102" s="1839">
        <f>BE102*$F$9</f>
        <v>0</v>
      </c>
      <c r="BG102" s="907">
        <f>BG101</f>
        <v>0</v>
      </c>
      <c r="BH102" s="902">
        <f>BH101</f>
        <v>0</v>
      </c>
      <c r="BI102" s="902">
        <f>BG102*BH102</f>
        <v>0</v>
      </c>
      <c r="BJ102" s="1840">
        <f>BI103*$I$10</f>
        <v>0</v>
      </c>
      <c r="BK102" s="1841">
        <f>BK97</f>
        <v>0</v>
      </c>
      <c r="BL102" s="1842">
        <f>BL97</f>
        <v>0</v>
      </c>
      <c r="BM102" s="1843">
        <f>BI105/(1-BK102)</f>
        <v>0</v>
      </c>
      <c r="BN102" s="1843">
        <f>BM102*$F$10</f>
        <v>0</v>
      </c>
      <c r="BO102" s="906">
        <f>BO101</f>
        <v>0</v>
      </c>
      <c r="BP102" s="29">
        <f>BP101</f>
        <v>0</v>
      </c>
      <c r="BQ102" s="29">
        <f>BO102*BP102</f>
        <v>0</v>
      </c>
      <c r="BR102" s="1836">
        <f>BQ103*$I$11</f>
        <v>0</v>
      </c>
      <c r="BS102" s="1837">
        <f>BS97</f>
        <v>0</v>
      </c>
      <c r="BT102" s="1838">
        <f>BT97</f>
        <v>0</v>
      </c>
      <c r="BU102" s="1839">
        <f>BQ105/(1-BS102)</f>
        <v>0</v>
      </c>
      <c r="BV102" s="1839">
        <f>BU102*$F$11</f>
        <v>0</v>
      </c>
      <c r="BW102" s="907">
        <f>BW101</f>
        <v>0</v>
      </c>
      <c r="BX102" s="902">
        <f>BX101</f>
        <v>0</v>
      </c>
      <c r="BY102" s="902">
        <f>BW102*BX102</f>
        <v>0</v>
      </c>
      <c r="BZ102" s="1840">
        <f>BY103*$I$12</f>
        <v>0</v>
      </c>
      <c r="CA102" s="1841">
        <f>CA97</f>
        <v>0</v>
      </c>
      <c r="CB102" s="1842">
        <f>CB97</f>
        <v>0</v>
      </c>
      <c r="CC102" s="1843">
        <f>BY105/(1-CA102)</f>
        <v>0</v>
      </c>
      <c r="CD102" s="1843">
        <f>CC102*$F$12</f>
        <v>0</v>
      </c>
      <c r="CE102" s="906">
        <f>CE101</f>
        <v>0</v>
      </c>
      <c r="CF102" s="29">
        <f>CF101</f>
        <v>0</v>
      </c>
      <c r="CG102" s="29">
        <f>CE102*CF102</f>
        <v>0</v>
      </c>
      <c r="CH102" s="1836">
        <f>CG103*$I$13</f>
        <v>0</v>
      </c>
      <c r="CI102" s="1837">
        <f>CI97</f>
        <v>0</v>
      </c>
      <c r="CJ102" s="1838">
        <f>CJ97</f>
        <v>0</v>
      </c>
      <c r="CK102" s="1839">
        <f>CG105/(1-CI102)</f>
        <v>0</v>
      </c>
      <c r="CL102" s="1839">
        <f>CK102*$F$13</f>
        <v>0</v>
      </c>
      <c r="CM102" s="907">
        <f>CM101</f>
        <v>0</v>
      </c>
      <c r="CN102" s="902">
        <f>CN101</f>
        <v>0</v>
      </c>
      <c r="CO102" s="902">
        <f>CM102*CN102</f>
        <v>0</v>
      </c>
      <c r="CP102" s="1840">
        <f>CO103*$I$14</f>
        <v>0</v>
      </c>
      <c r="CQ102" s="1841">
        <f>CQ97</f>
        <v>0</v>
      </c>
      <c r="CR102" s="1842">
        <f>CR97</f>
        <v>0</v>
      </c>
      <c r="CS102" s="1843">
        <f>CO105/(1-CQ102)</f>
        <v>0</v>
      </c>
      <c r="CT102" s="1843">
        <f>CS102*$F$14</f>
        <v>0</v>
      </c>
      <c r="CU102" s="1844">
        <f>E103+M103+U103+AC103+AK103+AS103+BA103+BI103+BQ103+BY103+CG103+CO103</f>
        <v>0</v>
      </c>
      <c r="CV102" s="1844">
        <f>CP102+CH102+BZ102+BR102+BJ102+BB102+AT102+AL102+AD102+V102+N102+F102</f>
        <v>0</v>
      </c>
      <c r="CW102" s="1845">
        <f>I102+Q102+Y102+AG102+AO102+AW102+BE102+BM102+BU102+CC102+CK102+CS102</f>
        <v>0</v>
      </c>
      <c r="CX102" s="1844">
        <f>CT102+CL102+CD102+BV102+BN102+BF102+AX102+AP102+AH102+Z102+R102+J102</f>
        <v>0</v>
      </c>
      <c r="CY102" s="1845">
        <f>CZ97</f>
        <v>0</v>
      </c>
      <c r="CZ102" s="1845">
        <f>E106+M106+U106+AC106+AK106+AS106+BA106+BI106+BQ106+BY106+CG106+CO106</f>
        <v>0</v>
      </c>
      <c r="DA102" s="1845">
        <f>CZ102-CY102</f>
        <v>0</v>
      </c>
      <c r="DB102" s="914"/>
    </row>
    <row r="103" spans="1:106" x14ac:dyDescent="0.3">
      <c r="A103" s="1835"/>
      <c r="B103" s="108" t="s">
        <v>310</v>
      </c>
      <c r="C103" s="898">
        <f>C98</f>
        <v>0</v>
      </c>
      <c r="D103" s="899">
        <f>D98</f>
        <v>0</v>
      </c>
      <c r="E103" s="29">
        <f>C103*D103</f>
        <v>0</v>
      </c>
      <c r="F103" s="1836"/>
      <c r="G103" s="1837"/>
      <c r="H103" s="1838"/>
      <c r="I103" s="1839"/>
      <c r="J103" s="1839"/>
      <c r="K103" s="900">
        <f>K98</f>
        <v>0</v>
      </c>
      <c r="L103" s="901">
        <f>L98</f>
        <v>0</v>
      </c>
      <c r="M103" s="902">
        <f>K103*L103</f>
        <v>0</v>
      </c>
      <c r="N103" s="1840"/>
      <c r="O103" s="1841"/>
      <c r="P103" s="1842"/>
      <c r="Q103" s="1843"/>
      <c r="R103" s="1843"/>
      <c r="S103" s="898">
        <f>S98</f>
        <v>0</v>
      </c>
      <c r="T103" s="899">
        <f>T98</f>
        <v>0</v>
      </c>
      <c r="U103" s="29">
        <f>S103*T103</f>
        <v>0</v>
      </c>
      <c r="V103" s="1836"/>
      <c r="W103" s="1837"/>
      <c r="X103" s="1838"/>
      <c r="Y103" s="1839"/>
      <c r="Z103" s="1839"/>
      <c r="AA103" s="900">
        <f>AA98</f>
        <v>0</v>
      </c>
      <c r="AB103" s="901">
        <f>AB98</f>
        <v>0</v>
      </c>
      <c r="AC103" s="902">
        <f>AA103*AB103</f>
        <v>0</v>
      </c>
      <c r="AD103" s="1840"/>
      <c r="AE103" s="1841"/>
      <c r="AF103" s="1842"/>
      <c r="AG103" s="1843"/>
      <c r="AH103" s="1843"/>
      <c r="AI103" s="898">
        <f>AI98</f>
        <v>0</v>
      </c>
      <c r="AJ103" s="899">
        <f>AJ98</f>
        <v>0</v>
      </c>
      <c r="AK103" s="29">
        <f>AI103*AJ103</f>
        <v>0</v>
      </c>
      <c r="AL103" s="1836"/>
      <c r="AM103" s="1837"/>
      <c r="AN103" s="1838"/>
      <c r="AO103" s="1839"/>
      <c r="AP103" s="1839"/>
      <c r="AQ103" s="900">
        <f>AQ98</f>
        <v>0</v>
      </c>
      <c r="AR103" s="901">
        <f>AR98</f>
        <v>0</v>
      </c>
      <c r="AS103" s="902">
        <f>AQ103*AR103</f>
        <v>0</v>
      </c>
      <c r="AT103" s="1840"/>
      <c r="AU103" s="1841"/>
      <c r="AV103" s="1842"/>
      <c r="AW103" s="1843"/>
      <c r="AX103" s="1843"/>
      <c r="AY103" s="898">
        <f>AY98</f>
        <v>0</v>
      </c>
      <c r="AZ103" s="899">
        <f>AZ98</f>
        <v>0</v>
      </c>
      <c r="BA103" s="29">
        <f>AY103*AZ103</f>
        <v>0</v>
      </c>
      <c r="BB103" s="1836"/>
      <c r="BC103" s="1837"/>
      <c r="BD103" s="1838"/>
      <c r="BE103" s="1839"/>
      <c r="BF103" s="1839"/>
      <c r="BG103" s="900">
        <f>BG98</f>
        <v>0</v>
      </c>
      <c r="BH103" s="901">
        <f>BH98</f>
        <v>0</v>
      </c>
      <c r="BI103" s="902">
        <f>BG103*BH103</f>
        <v>0</v>
      </c>
      <c r="BJ103" s="1840"/>
      <c r="BK103" s="1841"/>
      <c r="BL103" s="1842"/>
      <c r="BM103" s="1843"/>
      <c r="BN103" s="1843"/>
      <c r="BO103" s="898">
        <f>BO98</f>
        <v>0</v>
      </c>
      <c r="BP103" s="899">
        <f>BP98</f>
        <v>0</v>
      </c>
      <c r="BQ103" s="29">
        <f>BO103*BP103</f>
        <v>0</v>
      </c>
      <c r="BR103" s="1836"/>
      <c r="BS103" s="1837"/>
      <c r="BT103" s="1838"/>
      <c r="BU103" s="1839"/>
      <c r="BV103" s="1839"/>
      <c r="BW103" s="900">
        <f>BW98</f>
        <v>0</v>
      </c>
      <c r="BX103" s="901">
        <f>BX98</f>
        <v>0</v>
      </c>
      <c r="BY103" s="902">
        <f>BW103*BX103</f>
        <v>0</v>
      </c>
      <c r="BZ103" s="1840"/>
      <c r="CA103" s="1841"/>
      <c r="CB103" s="1842"/>
      <c r="CC103" s="1843"/>
      <c r="CD103" s="1843"/>
      <c r="CE103" s="898">
        <f>CE98</f>
        <v>0</v>
      </c>
      <c r="CF103" s="899">
        <f>CF98</f>
        <v>0</v>
      </c>
      <c r="CG103" s="29">
        <f>CE103*CF103</f>
        <v>0</v>
      </c>
      <c r="CH103" s="1836"/>
      <c r="CI103" s="1837"/>
      <c r="CJ103" s="1838"/>
      <c r="CK103" s="1839"/>
      <c r="CL103" s="1839"/>
      <c r="CM103" s="900">
        <f>CM98</f>
        <v>0</v>
      </c>
      <c r="CN103" s="901">
        <f>CN98</f>
        <v>0</v>
      </c>
      <c r="CO103" s="902">
        <f>CM103*CN103</f>
        <v>0</v>
      </c>
      <c r="CP103" s="1840"/>
      <c r="CQ103" s="1841"/>
      <c r="CR103" s="1842"/>
      <c r="CS103" s="1843"/>
      <c r="CT103" s="1843"/>
      <c r="CU103" s="1844"/>
      <c r="CV103" s="1844"/>
      <c r="CW103" s="1845"/>
      <c r="CX103" s="1844"/>
      <c r="CY103" s="1845"/>
      <c r="CZ103" s="1845"/>
      <c r="DA103" s="1845"/>
      <c r="DB103" s="912"/>
    </row>
    <row r="104" spans="1:106" ht="12.75" hidden="1" customHeight="1" x14ac:dyDescent="0.3">
      <c r="A104" s="1835"/>
      <c r="B104" s="108" t="s">
        <v>315</v>
      </c>
      <c r="C104" s="906">
        <f>C103+C102</f>
        <v>0</v>
      </c>
      <c r="D104" s="29">
        <f>IF(C104=0,0,E104/C104)</f>
        <v>0</v>
      </c>
      <c r="E104" s="29">
        <f>E103+E102</f>
        <v>0</v>
      </c>
      <c r="F104" s="1836"/>
      <c r="G104" s="1837"/>
      <c r="H104" s="1838"/>
      <c r="I104" s="1839"/>
      <c r="J104" s="1839"/>
      <c r="K104" s="907">
        <f>K103+K102</f>
        <v>0</v>
      </c>
      <c r="L104" s="902">
        <f>IF(K104=0,0,M104/K104)</f>
        <v>0</v>
      </c>
      <c r="M104" s="902">
        <f>M103+M102</f>
        <v>0</v>
      </c>
      <c r="N104" s="1840"/>
      <c r="O104" s="1841"/>
      <c r="P104" s="1842"/>
      <c r="Q104" s="1843"/>
      <c r="R104" s="1843"/>
      <c r="S104" s="906">
        <f>S103+S102</f>
        <v>0</v>
      </c>
      <c r="T104" s="29">
        <f>IF(S104=0,0,U104/S104)</f>
        <v>0</v>
      </c>
      <c r="U104" s="29">
        <f>U103+U102</f>
        <v>0</v>
      </c>
      <c r="V104" s="1836"/>
      <c r="W104" s="1837"/>
      <c r="X104" s="1838"/>
      <c r="Y104" s="1839"/>
      <c r="Z104" s="1839"/>
      <c r="AA104" s="907">
        <f>AA103+AA102</f>
        <v>0</v>
      </c>
      <c r="AB104" s="902">
        <f>IF(AA104=0,0,AC104/AA104)</f>
        <v>0</v>
      </c>
      <c r="AC104" s="902">
        <f>AC103+AC102</f>
        <v>0</v>
      </c>
      <c r="AD104" s="1840"/>
      <c r="AE104" s="1841"/>
      <c r="AF104" s="1842"/>
      <c r="AG104" s="1843"/>
      <c r="AH104" s="1843"/>
      <c r="AI104" s="906">
        <f>AI103+AI102</f>
        <v>0</v>
      </c>
      <c r="AJ104" s="29">
        <f>IF(AI104=0,0,AK104/AI104)</f>
        <v>0</v>
      </c>
      <c r="AK104" s="29">
        <f>AK103+AK102</f>
        <v>0</v>
      </c>
      <c r="AL104" s="1836"/>
      <c r="AM104" s="1837"/>
      <c r="AN104" s="1838"/>
      <c r="AO104" s="1839"/>
      <c r="AP104" s="1839"/>
      <c r="AQ104" s="907">
        <f>AQ103+AQ102</f>
        <v>0</v>
      </c>
      <c r="AR104" s="902">
        <f>IF(AQ104=0,0,AS104/AQ104)</f>
        <v>0</v>
      </c>
      <c r="AS104" s="902">
        <f>AS103+AS102</f>
        <v>0</v>
      </c>
      <c r="AT104" s="1840"/>
      <c r="AU104" s="1841"/>
      <c r="AV104" s="1842"/>
      <c r="AW104" s="1843"/>
      <c r="AX104" s="1843"/>
      <c r="AY104" s="906">
        <f>AY103+AY102</f>
        <v>0</v>
      </c>
      <c r="AZ104" s="29">
        <f>IF(AY104=0,0,BA104/AY104)</f>
        <v>0</v>
      </c>
      <c r="BA104" s="29">
        <f>BA103+BA102</f>
        <v>0</v>
      </c>
      <c r="BB104" s="1836"/>
      <c r="BC104" s="1837"/>
      <c r="BD104" s="1838"/>
      <c r="BE104" s="1839"/>
      <c r="BF104" s="1839"/>
      <c r="BG104" s="907">
        <f>BG103+BG102</f>
        <v>0</v>
      </c>
      <c r="BH104" s="902">
        <f>IF(BG104=0,0,BI104/BG104)</f>
        <v>0</v>
      </c>
      <c r="BI104" s="902">
        <f>BI103+BI102</f>
        <v>0</v>
      </c>
      <c r="BJ104" s="1840"/>
      <c r="BK104" s="1841"/>
      <c r="BL104" s="1842"/>
      <c r="BM104" s="1843"/>
      <c r="BN104" s="1843"/>
      <c r="BO104" s="906">
        <f>BO103+BO102</f>
        <v>0</v>
      </c>
      <c r="BP104" s="29">
        <f>IF(BO104=0,0,BQ104/BO104)</f>
        <v>0</v>
      </c>
      <c r="BQ104" s="29">
        <f>BQ103+BQ102</f>
        <v>0</v>
      </c>
      <c r="BR104" s="1836"/>
      <c r="BS104" s="1837"/>
      <c r="BT104" s="1838"/>
      <c r="BU104" s="1839"/>
      <c r="BV104" s="1839"/>
      <c r="BW104" s="907">
        <f>BW103+BW102</f>
        <v>0</v>
      </c>
      <c r="BX104" s="902">
        <f>IF(BW104=0,0,BY104/BW104)</f>
        <v>0</v>
      </c>
      <c r="BY104" s="902">
        <f>BY103+BY102</f>
        <v>0</v>
      </c>
      <c r="BZ104" s="1840"/>
      <c r="CA104" s="1841"/>
      <c r="CB104" s="1842"/>
      <c r="CC104" s="1843"/>
      <c r="CD104" s="1843"/>
      <c r="CE104" s="906">
        <f>CE103+CE102</f>
        <v>0</v>
      </c>
      <c r="CF104" s="29">
        <f>IF(CE104=0,0,CG104/CE104)</f>
        <v>0</v>
      </c>
      <c r="CG104" s="29">
        <f>CG103+CG102</f>
        <v>0</v>
      </c>
      <c r="CH104" s="1836"/>
      <c r="CI104" s="1837"/>
      <c r="CJ104" s="1838"/>
      <c r="CK104" s="1839"/>
      <c r="CL104" s="1839"/>
      <c r="CM104" s="907">
        <f>CM103+CM102</f>
        <v>0</v>
      </c>
      <c r="CN104" s="902">
        <f>IF(CM104=0,0,CO104/CM104)</f>
        <v>0</v>
      </c>
      <c r="CO104" s="902">
        <f>CO103+CO102</f>
        <v>0</v>
      </c>
      <c r="CP104" s="1840"/>
      <c r="CQ104" s="1841"/>
      <c r="CR104" s="1842"/>
      <c r="CS104" s="1843"/>
      <c r="CT104" s="1843"/>
      <c r="CU104" s="1844"/>
      <c r="CV104" s="1844"/>
      <c r="CW104" s="1845"/>
      <c r="CX104" s="1844"/>
      <c r="CY104" s="1845"/>
      <c r="CZ104" s="1845"/>
      <c r="DA104" s="1845"/>
      <c r="DB104" s="912"/>
    </row>
    <row r="105" spans="1:106" x14ac:dyDescent="0.3">
      <c r="A105" s="1835"/>
      <c r="B105" s="108" t="s">
        <v>312</v>
      </c>
      <c r="C105" s="906">
        <f>H102*C104</f>
        <v>0</v>
      </c>
      <c r="D105" s="29">
        <f>D104</f>
        <v>0</v>
      </c>
      <c r="E105" s="29">
        <f>C105*D105</f>
        <v>0</v>
      </c>
      <c r="F105" s="1836"/>
      <c r="G105" s="1837"/>
      <c r="H105" s="1838"/>
      <c r="I105" s="1839"/>
      <c r="J105" s="1839"/>
      <c r="K105" s="907">
        <f>P102*K104</f>
        <v>0</v>
      </c>
      <c r="L105" s="902">
        <f>L104</f>
        <v>0</v>
      </c>
      <c r="M105" s="902">
        <f>K105*L105</f>
        <v>0</v>
      </c>
      <c r="N105" s="1840"/>
      <c r="O105" s="1841"/>
      <c r="P105" s="1842"/>
      <c r="Q105" s="1843"/>
      <c r="R105" s="1843"/>
      <c r="S105" s="906">
        <f>X102*S104</f>
        <v>0</v>
      </c>
      <c r="T105" s="29">
        <f>T104</f>
        <v>0</v>
      </c>
      <c r="U105" s="29">
        <f>S105*T105</f>
        <v>0</v>
      </c>
      <c r="V105" s="1836"/>
      <c r="W105" s="1837"/>
      <c r="X105" s="1838"/>
      <c r="Y105" s="1839"/>
      <c r="Z105" s="1839"/>
      <c r="AA105" s="907">
        <f>AF102*AA104</f>
        <v>0</v>
      </c>
      <c r="AB105" s="902">
        <f>AB104</f>
        <v>0</v>
      </c>
      <c r="AC105" s="902">
        <f>AA105*AB105</f>
        <v>0</v>
      </c>
      <c r="AD105" s="1840"/>
      <c r="AE105" s="1841"/>
      <c r="AF105" s="1842"/>
      <c r="AG105" s="1843"/>
      <c r="AH105" s="1843"/>
      <c r="AI105" s="906">
        <f>AN102*AI104</f>
        <v>0</v>
      </c>
      <c r="AJ105" s="29">
        <f>AJ104</f>
        <v>0</v>
      </c>
      <c r="AK105" s="29">
        <f>AI105*AJ105</f>
        <v>0</v>
      </c>
      <c r="AL105" s="1836"/>
      <c r="AM105" s="1837"/>
      <c r="AN105" s="1838"/>
      <c r="AO105" s="1839"/>
      <c r="AP105" s="1839"/>
      <c r="AQ105" s="907">
        <f>AV102*AQ104</f>
        <v>0</v>
      </c>
      <c r="AR105" s="902">
        <f>AR104</f>
        <v>0</v>
      </c>
      <c r="AS105" s="902">
        <f>AQ105*AR105</f>
        <v>0</v>
      </c>
      <c r="AT105" s="1840"/>
      <c r="AU105" s="1841"/>
      <c r="AV105" s="1842"/>
      <c r="AW105" s="1843"/>
      <c r="AX105" s="1843"/>
      <c r="AY105" s="906">
        <f>BD102*AY104</f>
        <v>0</v>
      </c>
      <c r="AZ105" s="29">
        <f>AZ104</f>
        <v>0</v>
      </c>
      <c r="BA105" s="29">
        <f>AY105*AZ105</f>
        <v>0</v>
      </c>
      <c r="BB105" s="1836"/>
      <c r="BC105" s="1837"/>
      <c r="BD105" s="1838"/>
      <c r="BE105" s="1839"/>
      <c r="BF105" s="1839"/>
      <c r="BG105" s="907">
        <f>BL102*BG104</f>
        <v>0</v>
      </c>
      <c r="BH105" s="902">
        <f>BH104</f>
        <v>0</v>
      </c>
      <c r="BI105" s="902">
        <f>BG105*BH105</f>
        <v>0</v>
      </c>
      <c r="BJ105" s="1840"/>
      <c r="BK105" s="1841"/>
      <c r="BL105" s="1842"/>
      <c r="BM105" s="1843"/>
      <c r="BN105" s="1843"/>
      <c r="BO105" s="906">
        <f>BT102*BO104</f>
        <v>0</v>
      </c>
      <c r="BP105" s="29">
        <f>BP104</f>
        <v>0</v>
      </c>
      <c r="BQ105" s="29">
        <f>BO105*BP105</f>
        <v>0</v>
      </c>
      <c r="BR105" s="1836"/>
      <c r="BS105" s="1837"/>
      <c r="BT105" s="1838"/>
      <c r="BU105" s="1839"/>
      <c r="BV105" s="1839"/>
      <c r="BW105" s="907">
        <f>CB102*BW104</f>
        <v>0</v>
      </c>
      <c r="BX105" s="902">
        <f>BX104</f>
        <v>0</v>
      </c>
      <c r="BY105" s="902">
        <f>BW105*BX105</f>
        <v>0</v>
      </c>
      <c r="BZ105" s="1840"/>
      <c r="CA105" s="1841"/>
      <c r="CB105" s="1842"/>
      <c r="CC105" s="1843"/>
      <c r="CD105" s="1843"/>
      <c r="CE105" s="906">
        <f>CJ102*CE104</f>
        <v>0</v>
      </c>
      <c r="CF105" s="29">
        <f>CF104</f>
        <v>0</v>
      </c>
      <c r="CG105" s="29">
        <f>CE105*CF105</f>
        <v>0</v>
      </c>
      <c r="CH105" s="1836"/>
      <c r="CI105" s="1837"/>
      <c r="CJ105" s="1838"/>
      <c r="CK105" s="1839"/>
      <c r="CL105" s="1839"/>
      <c r="CM105" s="907">
        <f>CR102*CM104</f>
        <v>0</v>
      </c>
      <c r="CN105" s="902">
        <f>CN104</f>
        <v>0</v>
      </c>
      <c r="CO105" s="902">
        <f>CM105*CN105</f>
        <v>0</v>
      </c>
      <c r="CP105" s="1840"/>
      <c r="CQ105" s="1841"/>
      <c r="CR105" s="1842"/>
      <c r="CS105" s="1843"/>
      <c r="CT105" s="1843"/>
      <c r="CU105" s="1844"/>
      <c r="CV105" s="1844"/>
      <c r="CW105" s="1845"/>
      <c r="CX105" s="1844"/>
      <c r="CY105" s="1845"/>
      <c r="CZ105" s="1845"/>
      <c r="DA105" s="1845"/>
      <c r="DB105" s="912"/>
    </row>
    <row r="106" spans="1:106" x14ac:dyDescent="0.3">
      <c r="A106" s="1835"/>
      <c r="B106" s="108" t="s">
        <v>254</v>
      </c>
      <c r="C106" s="906">
        <f>C102+C103-C105</f>
        <v>0</v>
      </c>
      <c r="D106" s="29">
        <f>D105</f>
        <v>0</v>
      </c>
      <c r="E106" s="29">
        <f>D106*C106</f>
        <v>0</v>
      </c>
      <c r="F106" s="1836"/>
      <c r="G106" s="1837"/>
      <c r="H106" s="1838"/>
      <c r="I106" s="1839"/>
      <c r="J106" s="1839"/>
      <c r="K106" s="907">
        <f>K102+K103-K105</f>
        <v>0</v>
      </c>
      <c r="L106" s="902">
        <f>L105</f>
        <v>0</v>
      </c>
      <c r="M106" s="902">
        <f>L106*K106</f>
        <v>0</v>
      </c>
      <c r="N106" s="1840"/>
      <c r="O106" s="1841"/>
      <c r="P106" s="1842"/>
      <c r="Q106" s="1843"/>
      <c r="R106" s="1843"/>
      <c r="S106" s="906">
        <f>S102+S103-S105</f>
        <v>0</v>
      </c>
      <c r="T106" s="29">
        <f>T105</f>
        <v>0</v>
      </c>
      <c r="U106" s="29">
        <f>T106*S106</f>
        <v>0</v>
      </c>
      <c r="V106" s="1836"/>
      <c r="W106" s="1837"/>
      <c r="X106" s="1838"/>
      <c r="Y106" s="1839"/>
      <c r="Z106" s="1839"/>
      <c r="AA106" s="907">
        <f>AA102+AA103-AA105</f>
        <v>0</v>
      </c>
      <c r="AB106" s="902">
        <f>AB105</f>
        <v>0</v>
      </c>
      <c r="AC106" s="902">
        <f>AB106*AA106</f>
        <v>0</v>
      </c>
      <c r="AD106" s="1840"/>
      <c r="AE106" s="1841"/>
      <c r="AF106" s="1842"/>
      <c r="AG106" s="1843"/>
      <c r="AH106" s="1843"/>
      <c r="AI106" s="906">
        <f>AI102+AI103-AI105</f>
        <v>0</v>
      </c>
      <c r="AJ106" s="29">
        <f>AJ105</f>
        <v>0</v>
      </c>
      <c r="AK106" s="29">
        <f>AJ106*AI106</f>
        <v>0</v>
      </c>
      <c r="AL106" s="1836"/>
      <c r="AM106" s="1837"/>
      <c r="AN106" s="1838"/>
      <c r="AO106" s="1839"/>
      <c r="AP106" s="1839"/>
      <c r="AQ106" s="907">
        <f>AQ102+AQ103-AQ105</f>
        <v>0</v>
      </c>
      <c r="AR106" s="902">
        <f>AR105</f>
        <v>0</v>
      </c>
      <c r="AS106" s="902">
        <f>AR106*AQ106</f>
        <v>0</v>
      </c>
      <c r="AT106" s="1840"/>
      <c r="AU106" s="1841"/>
      <c r="AV106" s="1842"/>
      <c r="AW106" s="1843"/>
      <c r="AX106" s="1843"/>
      <c r="AY106" s="906">
        <f>AY102+AY103-AY105</f>
        <v>0</v>
      </c>
      <c r="AZ106" s="29">
        <f>AZ105</f>
        <v>0</v>
      </c>
      <c r="BA106" s="29">
        <f>AZ106*AY106</f>
        <v>0</v>
      </c>
      <c r="BB106" s="1836"/>
      <c r="BC106" s="1837"/>
      <c r="BD106" s="1838"/>
      <c r="BE106" s="1839"/>
      <c r="BF106" s="1839"/>
      <c r="BG106" s="907">
        <f>BG102+BG103-BG105</f>
        <v>0</v>
      </c>
      <c r="BH106" s="902">
        <f>BH105</f>
        <v>0</v>
      </c>
      <c r="BI106" s="902">
        <f>BH106*BG106</f>
        <v>0</v>
      </c>
      <c r="BJ106" s="1840"/>
      <c r="BK106" s="1841"/>
      <c r="BL106" s="1842"/>
      <c r="BM106" s="1843"/>
      <c r="BN106" s="1843"/>
      <c r="BO106" s="906">
        <f>BO102+BO103-BO105</f>
        <v>0</v>
      </c>
      <c r="BP106" s="29">
        <f>BP105</f>
        <v>0</v>
      </c>
      <c r="BQ106" s="29">
        <f>BP106*BO106</f>
        <v>0</v>
      </c>
      <c r="BR106" s="1836"/>
      <c r="BS106" s="1837"/>
      <c r="BT106" s="1838"/>
      <c r="BU106" s="1839"/>
      <c r="BV106" s="1839"/>
      <c r="BW106" s="907">
        <f>BW102+BW103-BW105</f>
        <v>0</v>
      </c>
      <c r="BX106" s="902">
        <f>BX105</f>
        <v>0</v>
      </c>
      <c r="BY106" s="902">
        <f>BX106*BW106</f>
        <v>0</v>
      </c>
      <c r="BZ106" s="1840"/>
      <c r="CA106" s="1841"/>
      <c r="CB106" s="1842"/>
      <c r="CC106" s="1843"/>
      <c r="CD106" s="1843"/>
      <c r="CE106" s="906">
        <f>CE102+CE103-CE105</f>
        <v>0</v>
      </c>
      <c r="CF106" s="29">
        <f>CF105</f>
        <v>0</v>
      </c>
      <c r="CG106" s="29">
        <f>CF106*CE106</f>
        <v>0</v>
      </c>
      <c r="CH106" s="1836"/>
      <c r="CI106" s="1837"/>
      <c r="CJ106" s="1838"/>
      <c r="CK106" s="1839"/>
      <c r="CL106" s="1839"/>
      <c r="CM106" s="907">
        <f>CM102+CM103-CM105</f>
        <v>0</v>
      </c>
      <c r="CN106" s="902">
        <f>CN105</f>
        <v>0</v>
      </c>
      <c r="CO106" s="902">
        <f>CN106*CM106</f>
        <v>0</v>
      </c>
      <c r="CP106" s="1840"/>
      <c r="CQ106" s="1841"/>
      <c r="CR106" s="1842"/>
      <c r="CS106" s="1843"/>
      <c r="CT106" s="1843"/>
      <c r="CU106" s="1844"/>
      <c r="CV106" s="1844"/>
      <c r="CW106" s="1845"/>
      <c r="CX106" s="1844"/>
      <c r="CY106" s="1845"/>
      <c r="CZ106" s="1845"/>
      <c r="DA106" s="1845"/>
      <c r="DB106" s="912"/>
    </row>
    <row r="107" spans="1:106" x14ac:dyDescent="0.3">
      <c r="A107" s="1835" t="str">
        <f>A39</f>
        <v>MAIG</v>
      </c>
      <c r="B107" s="108" t="s">
        <v>255</v>
      </c>
      <c r="C107" s="906">
        <f>C106</f>
        <v>0</v>
      </c>
      <c r="D107" s="29">
        <f>D106</f>
        <v>0</v>
      </c>
      <c r="E107" s="29">
        <f>C107*D107</f>
        <v>0</v>
      </c>
      <c r="F107" s="1836">
        <f>E108*$I$3</f>
        <v>0</v>
      </c>
      <c r="G107" s="1837">
        <f>G102</f>
        <v>0</v>
      </c>
      <c r="H107" s="1838">
        <f>H102</f>
        <v>0</v>
      </c>
      <c r="I107" s="1839">
        <f>E110/(1-G107)</f>
        <v>0</v>
      </c>
      <c r="J107" s="1839">
        <f>I107*$F$3</f>
        <v>0</v>
      </c>
      <c r="K107" s="907">
        <f>K106</f>
        <v>0</v>
      </c>
      <c r="L107" s="902">
        <f>L106</f>
        <v>0</v>
      </c>
      <c r="M107" s="902">
        <f>K107*L107</f>
        <v>0</v>
      </c>
      <c r="N107" s="1840">
        <f>M108*$I$4</f>
        <v>0</v>
      </c>
      <c r="O107" s="1841">
        <f>O102</f>
        <v>0</v>
      </c>
      <c r="P107" s="1842">
        <f>P102</f>
        <v>0</v>
      </c>
      <c r="Q107" s="1843">
        <f>M110/(1-O107)</f>
        <v>0</v>
      </c>
      <c r="R107" s="1843">
        <f>Q107*$F$4</f>
        <v>0</v>
      </c>
      <c r="S107" s="906">
        <f>S106</f>
        <v>0</v>
      </c>
      <c r="T107" s="29">
        <f>T106</f>
        <v>0</v>
      </c>
      <c r="U107" s="29">
        <f>S107*T107</f>
        <v>0</v>
      </c>
      <c r="V107" s="1836">
        <f>U108*$I$5</f>
        <v>0</v>
      </c>
      <c r="W107" s="1837">
        <f>W102</f>
        <v>0</v>
      </c>
      <c r="X107" s="1838">
        <f>X102</f>
        <v>0</v>
      </c>
      <c r="Y107" s="1839">
        <f>U110/(1-W107)</f>
        <v>0</v>
      </c>
      <c r="Z107" s="1839">
        <f>Y107*$F$5</f>
        <v>0</v>
      </c>
      <c r="AA107" s="907">
        <f>AA106</f>
        <v>0</v>
      </c>
      <c r="AB107" s="902">
        <f>AB106</f>
        <v>0</v>
      </c>
      <c r="AC107" s="902">
        <f>AA107*AB107</f>
        <v>0</v>
      </c>
      <c r="AD107" s="1840">
        <f>AC108*$I$6</f>
        <v>0</v>
      </c>
      <c r="AE107" s="1841">
        <f>AE102</f>
        <v>0</v>
      </c>
      <c r="AF107" s="1842">
        <f>AF102</f>
        <v>0</v>
      </c>
      <c r="AG107" s="1843">
        <f>AC110/(1-AE107)</f>
        <v>0</v>
      </c>
      <c r="AH107" s="1843">
        <f>AG107*$F$6</f>
        <v>0</v>
      </c>
      <c r="AI107" s="906">
        <f>AI106</f>
        <v>0</v>
      </c>
      <c r="AJ107" s="29">
        <f>AJ106</f>
        <v>0</v>
      </c>
      <c r="AK107" s="29">
        <f>AI107*AJ107</f>
        <v>0</v>
      </c>
      <c r="AL107" s="1836">
        <f>AK108*$I$7</f>
        <v>0</v>
      </c>
      <c r="AM107" s="1837">
        <f>AM102</f>
        <v>0</v>
      </c>
      <c r="AN107" s="1838">
        <f>AN102</f>
        <v>0</v>
      </c>
      <c r="AO107" s="1839">
        <f>AK110/(1-AM107)</f>
        <v>0</v>
      </c>
      <c r="AP107" s="1839">
        <f>AO107*$F$7</f>
        <v>0</v>
      </c>
      <c r="AQ107" s="907">
        <f>AQ106</f>
        <v>0</v>
      </c>
      <c r="AR107" s="902">
        <f>AR106</f>
        <v>0</v>
      </c>
      <c r="AS107" s="902">
        <f>AQ107*AR107</f>
        <v>0</v>
      </c>
      <c r="AT107" s="1840">
        <f>AS108*$I$8</f>
        <v>0</v>
      </c>
      <c r="AU107" s="1841">
        <f>AU102</f>
        <v>0</v>
      </c>
      <c r="AV107" s="1842">
        <f>AV102</f>
        <v>0</v>
      </c>
      <c r="AW107" s="1843">
        <f>AS110/(1-AU107)</f>
        <v>0</v>
      </c>
      <c r="AX107" s="1843">
        <f>AW107*$F$8</f>
        <v>0</v>
      </c>
      <c r="AY107" s="906">
        <f>AY106</f>
        <v>0</v>
      </c>
      <c r="AZ107" s="29">
        <f>AZ106</f>
        <v>0</v>
      </c>
      <c r="BA107" s="29">
        <f>AY107*AZ107</f>
        <v>0</v>
      </c>
      <c r="BB107" s="1836">
        <f>BA108*$I$9</f>
        <v>0</v>
      </c>
      <c r="BC107" s="1837">
        <f>BC102</f>
        <v>0</v>
      </c>
      <c r="BD107" s="1838">
        <f>BD102</f>
        <v>0</v>
      </c>
      <c r="BE107" s="1839">
        <f>BA110/(1-BC107)</f>
        <v>0</v>
      </c>
      <c r="BF107" s="1839">
        <f>BE107*$F$9</f>
        <v>0</v>
      </c>
      <c r="BG107" s="907">
        <f>BG106</f>
        <v>0</v>
      </c>
      <c r="BH107" s="902">
        <f>BH106</f>
        <v>0</v>
      </c>
      <c r="BI107" s="902">
        <f>BG107*BH107</f>
        <v>0</v>
      </c>
      <c r="BJ107" s="1840">
        <f>BI108*$I$10</f>
        <v>0</v>
      </c>
      <c r="BK107" s="1841">
        <f>BK102</f>
        <v>0</v>
      </c>
      <c r="BL107" s="1842">
        <f>BL102</f>
        <v>0</v>
      </c>
      <c r="BM107" s="1843">
        <f>BI110/(1-BK107)</f>
        <v>0</v>
      </c>
      <c r="BN107" s="1843">
        <f>BM107*$F$10</f>
        <v>0</v>
      </c>
      <c r="BO107" s="906">
        <f>BO106</f>
        <v>0</v>
      </c>
      <c r="BP107" s="29">
        <f>BP106</f>
        <v>0</v>
      </c>
      <c r="BQ107" s="29">
        <f>BO107*BP107</f>
        <v>0</v>
      </c>
      <c r="BR107" s="1836">
        <f>BQ108*$I$11</f>
        <v>0</v>
      </c>
      <c r="BS107" s="1837">
        <f>BS102</f>
        <v>0</v>
      </c>
      <c r="BT107" s="1838">
        <f>BT102</f>
        <v>0</v>
      </c>
      <c r="BU107" s="1839">
        <f>BQ110/(1-BS107)</f>
        <v>0</v>
      </c>
      <c r="BV107" s="1839">
        <f>BU107*$F$11</f>
        <v>0</v>
      </c>
      <c r="BW107" s="907">
        <f>BW106</f>
        <v>0</v>
      </c>
      <c r="BX107" s="902">
        <f>BX106</f>
        <v>0</v>
      </c>
      <c r="BY107" s="902">
        <f>BW107*BX107</f>
        <v>0</v>
      </c>
      <c r="BZ107" s="1840">
        <f>BY108*$I$12</f>
        <v>0</v>
      </c>
      <c r="CA107" s="1841">
        <f>CA102</f>
        <v>0</v>
      </c>
      <c r="CB107" s="1842">
        <f>CB102</f>
        <v>0</v>
      </c>
      <c r="CC107" s="1843">
        <f>BY110/(1-CA107)</f>
        <v>0</v>
      </c>
      <c r="CD107" s="1843">
        <f>CC107*$F$12</f>
        <v>0</v>
      </c>
      <c r="CE107" s="906">
        <f>CE106</f>
        <v>0</v>
      </c>
      <c r="CF107" s="29">
        <f>CF106</f>
        <v>0</v>
      </c>
      <c r="CG107" s="29">
        <f>CE107*CF107</f>
        <v>0</v>
      </c>
      <c r="CH107" s="1836">
        <f>CG108*$I$13</f>
        <v>0</v>
      </c>
      <c r="CI107" s="1837">
        <f>CI102</f>
        <v>0</v>
      </c>
      <c r="CJ107" s="1838">
        <f>CJ102</f>
        <v>0</v>
      </c>
      <c r="CK107" s="1839">
        <f>CG110/(1-CI107)</f>
        <v>0</v>
      </c>
      <c r="CL107" s="1839">
        <f>CK107*$F$13</f>
        <v>0</v>
      </c>
      <c r="CM107" s="907">
        <f>CM106</f>
        <v>0</v>
      </c>
      <c r="CN107" s="902">
        <f>CN106</f>
        <v>0</v>
      </c>
      <c r="CO107" s="902">
        <f>CM107*CN107</f>
        <v>0</v>
      </c>
      <c r="CP107" s="1840">
        <f>CO108*$I$14</f>
        <v>0</v>
      </c>
      <c r="CQ107" s="1841">
        <f>CQ102</f>
        <v>0</v>
      </c>
      <c r="CR107" s="1842">
        <f>CR102</f>
        <v>0</v>
      </c>
      <c r="CS107" s="1843">
        <f>CO110/(1-CQ107)</f>
        <v>0</v>
      </c>
      <c r="CT107" s="1843">
        <f>CS107*$F$14</f>
        <v>0</v>
      </c>
      <c r="CU107" s="1844">
        <f>E108+M108+U108+AC108+AK108+AS108+BA108+BI108+BQ108+BY108+CG108+CO108</f>
        <v>0</v>
      </c>
      <c r="CV107" s="1844">
        <f>CP107+CH107+BZ107+BR107+BJ107+BB107+AT107+AL107+AD107+V107+N107+F107</f>
        <v>0</v>
      </c>
      <c r="CW107" s="1845">
        <f>I107+Q107+Y107+AG107+AO107+AW107+BE107+BM107+BU107+CC107+CK107+CS107</f>
        <v>0</v>
      </c>
      <c r="CX107" s="1844">
        <f>CT107+CL107+CD107+BV107+BN107+BF107+AX107+AP107+AH107+Z107+R107+J107</f>
        <v>0</v>
      </c>
      <c r="CY107" s="1845">
        <f>CZ102</f>
        <v>0</v>
      </c>
      <c r="CZ107" s="1845">
        <f>E111+M111+U111+AC111+AK111+AS111+BA111+BI111+BQ111+BY111+CG111+CO111</f>
        <v>0</v>
      </c>
      <c r="DA107" s="1845">
        <f>CZ107-CY107</f>
        <v>0</v>
      </c>
      <c r="DB107" s="914"/>
    </row>
    <row r="108" spans="1:106" x14ac:dyDescent="0.3">
      <c r="A108" s="1835"/>
      <c r="B108" s="108" t="s">
        <v>310</v>
      </c>
      <c r="C108" s="898">
        <f>C103</f>
        <v>0</v>
      </c>
      <c r="D108" s="899">
        <f>D103</f>
        <v>0</v>
      </c>
      <c r="E108" s="29">
        <f>C108*D108</f>
        <v>0</v>
      </c>
      <c r="F108" s="1836"/>
      <c r="G108" s="1837"/>
      <c r="H108" s="1838"/>
      <c r="I108" s="1839"/>
      <c r="J108" s="1839"/>
      <c r="K108" s="900">
        <f>K103</f>
        <v>0</v>
      </c>
      <c r="L108" s="901">
        <f>L103</f>
        <v>0</v>
      </c>
      <c r="M108" s="902">
        <f>K108*L108</f>
        <v>0</v>
      </c>
      <c r="N108" s="1840"/>
      <c r="O108" s="1841"/>
      <c r="P108" s="1842"/>
      <c r="Q108" s="1843"/>
      <c r="R108" s="1843"/>
      <c r="S108" s="898">
        <f>S103</f>
        <v>0</v>
      </c>
      <c r="T108" s="899">
        <f>T103</f>
        <v>0</v>
      </c>
      <c r="U108" s="29">
        <f>S108*T108</f>
        <v>0</v>
      </c>
      <c r="V108" s="1836"/>
      <c r="W108" s="1837"/>
      <c r="X108" s="1838"/>
      <c r="Y108" s="1839"/>
      <c r="Z108" s="1839"/>
      <c r="AA108" s="900">
        <f>AA103</f>
        <v>0</v>
      </c>
      <c r="AB108" s="901">
        <f>AB103</f>
        <v>0</v>
      </c>
      <c r="AC108" s="902">
        <f>AA108*AB108</f>
        <v>0</v>
      </c>
      <c r="AD108" s="1840"/>
      <c r="AE108" s="1841"/>
      <c r="AF108" s="1842"/>
      <c r="AG108" s="1843"/>
      <c r="AH108" s="1843"/>
      <c r="AI108" s="898">
        <f>AI103</f>
        <v>0</v>
      </c>
      <c r="AJ108" s="899">
        <f>AJ103</f>
        <v>0</v>
      </c>
      <c r="AK108" s="29">
        <f>AI108*AJ108</f>
        <v>0</v>
      </c>
      <c r="AL108" s="1836"/>
      <c r="AM108" s="1837"/>
      <c r="AN108" s="1838"/>
      <c r="AO108" s="1839"/>
      <c r="AP108" s="1839"/>
      <c r="AQ108" s="900">
        <f>AQ103</f>
        <v>0</v>
      </c>
      <c r="AR108" s="901">
        <f>AR103</f>
        <v>0</v>
      </c>
      <c r="AS108" s="902">
        <f>AQ108*AR108</f>
        <v>0</v>
      </c>
      <c r="AT108" s="1840"/>
      <c r="AU108" s="1841"/>
      <c r="AV108" s="1842"/>
      <c r="AW108" s="1843"/>
      <c r="AX108" s="1843"/>
      <c r="AY108" s="898">
        <f>AY103</f>
        <v>0</v>
      </c>
      <c r="AZ108" s="899">
        <f>AZ103</f>
        <v>0</v>
      </c>
      <c r="BA108" s="29">
        <f>AY108*AZ108</f>
        <v>0</v>
      </c>
      <c r="BB108" s="1836"/>
      <c r="BC108" s="1837"/>
      <c r="BD108" s="1838"/>
      <c r="BE108" s="1839"/>
      <c r="BF108" s="1839"/>
      <c r="BG108" s="900">
        <f>BG103</f>
        <v>0</v>
      </c>
      <c r="BH108" s="901">
        <f>BH103</f>
        <v>0</v>
      </c>
      <c r="BI108" s="902">
        <f>BG108*BH108</f>
        <v>0</v>
      </c>
      <c r="BJ108" s="1840"/>
      <c r="BK108" s="1841"/>
      <c r="BL108" s="1842"/>
      <c r="BM108" s="1843"/>
      <c r="BN108" s="1843"/>
      <c r="BO108" s="898">
        <f>BO103</f>
        <v>0</v>
      </c>
      <c r="BP108" s="899">
        <f>BP103</f>
        <v>0</v>
      </c>
      <c r="BQ108" s="29">
        <f>BO108*BP108</f>
        <v>0</v>
      </c>
      <c r="BR108" s="1836"/>
      <c r="BS108" s="1837"/>
      <c r="BT108" s="1838"/>
      <c r="BU108" s="1839"/>
      <c r="BV108" s="1839"/>
      <c r="BW108" s="900">
        <f>BW103</f>
        <v>0</v>
      </c>
      <c r="BX108" s="901">
        <f>BX103</f>
        <v>0</v>
      </c>
      <c r="BY108" s="902">
        <f>BW108*BX108</f>
        <v>0</v>
      </c>
      <c r="BZ108" s="1840"/>
      <c r="CA108" s="1841"/>
      <c r="CB108" s="1842"/>
      <c r="CC108" s="1843"/>
      <c r="CD108" s="1843"/>
      <c r="CE108" s="898">
        <f>CE103</f>
        <v>0</v>
      </c>
      <c r="CF108" s="899">
        <f>CF103</f>
        <v>0</v>
      </c>
      <c r="CG108" s="29">
        <f>CE108*CF108</f>
        <v>0</v>
      </c>
      <c r="CH108" s="1836"/>
      <c r="CI108" s="1837"/>
      <c r="CJ108" s="1838"/>
      <c r="CK108" s="1839"/>
      <c r="CL108" s="1839"/>
      <c r="CM108" s="900">
        <f>CM103</f>
        <v>0</v>
      </c>
      <c r="CN108" s="901">
        <f>CN103</f>
        <v>0</v>
      </c>
      <c r="CO108" s="902">
        <f>CM108*CN108</f>
        <v>0</v>
      </c>
      <c r="CP108" s="1840"/>
      <c r="CQ108" s="1841"/>
      <c r="CR108" s="1842"/>
      <c r="CS108" s="1843"/>
      <c r="CT108" s="1843"/>
      <c r="CU108" s="1844"/>
      <c r="CV108" s="1844"/>
      <c r="CW108" s="1845"/>
      <c r="CX108" s="1844"/>
      <c r="CY108" s="1845"/>
      <c r="CZ108" s="1845"/>
      <c r="DA108" s="1845"/>
      <c r="DB108" s="912"/>
    </row>
    <row r="109" spans="1:106" ht="12.75" hidden="1" customHeight="1" x14ac:dyDescent="0.3">
      <c r="A109" s="1835"/>
      <c r="B109" s="108" t="s">
        <v>315</v>
      </c>
      <c r="C109" s="906">
        <f>C108+C107</f>
        <v>0</v>
      </c>
      <c r="D109" s="29">
        <f>IF(C109=0,0,E109/C109)</f>
        <v>0</v>
      </c>
      <c r="E109" s="29">
        <f>E108+E107</f>
        <v>0</v>
      </c>
      <c r="F109" s="1836"/>
      <c r="G109" s="1837"/>
      <c r="H109" s="1838"/>
      <c r="I109" s="1839"/>
      <c r="J109" s="1839"/>
      <c r="K109" s="907">
        <f>K108+K107</f>
        <v>0</v>
      </c>
      <c r="L109" s="902">
        <f>IF(K109=0,0,M109/K109)</f>
        <v>0</v>
      </c>
      <c r="M109" s="902">
        <f>M108+M107</f>
        <v>0</v>
      </c>
      <c r="N109" s="1840"/>
      <c r="O109" s="1841"/>
      <c r="P109" s="1842"/>
      <c r="Q109" s="1843"/>
      <c r="R109" s="1843"/>
      <c r="S109" s="906">
        <f>S108+S107</f>
        <v>0</v>
      </c>
      <c r="T109" s="29">
        <f>IF(S109=0,0,U109/S109)</f>
        <v>0</v>
      </c>
      <c r="U109" s="29">
        <f>U108+U107</f>
        <v>0</v>
      </c>
      <c r="V109" s="1836"/>
      <c r="W109" s="1837"/>
      <c r="X109" s="1838"/>
      <c r="Y109" s="1839"/>
      <c r="Z109" s="1839"/>
      <c r="AA109" s="907">
        <f>AA108+AA107</f>
        <v>0</v>
      </c>
      <c r="AB109" s="902">
        <f>IF(AA109=0,0,AC109/AA109)</f>
        <v>0</v>
      </c>
      <c r="AC109" s="902">
        <f>AC108+AC107</f>
        <v>0</v>
      </c>
      <c r="AD109" s="1840"/>
      <c r="AE109" s="1841"/>
      <c r="AF109" s="1842"/>
      <c r="AG109" s="1843"/>
      <c r="AH109" s="1843"/>
      <c r="AI109" s="906">
        <f>AI108+AI107</f>
        <v>0</v>
      </c>
      <c r="AJ109" s="29">
        <f>IF(AI109=0,0,AK109/AI109)</f>
        <v>0</v>
      </c>
      <c r="AK109" s="29">
        <f>AK108+AK107</f>
        <v>0</v>
      </c>
      <c r="AL109" s="1836"/>
      <c r="AM109" s="1837"/>
      <c r="AN109" s="1838"/>
      <c r="AO109" s="1839"/>
      <c r="AP109" s="1839"/>
      <c r="AQ109" s="907">
        <f>AQ108+AQ107</f>
        <v>0</v>
      </c>
      <c r="AR109" s="902">
        <f>IF(AQ109=0,0,AS109/AQ109)</f>
        <v>0</v>
      </c>
      <c r="AS109" s="902">
        <f>AS108+AS107</f>
        <v>0</v>
      </c>
      <c r="AT109" s="1840"/>
      <c r="AU109" s="1841"/>
      <c r="AV109" s="1842"/>
      <c r="AW109" s="1843"/>
      <c r="AX109" s="1843"/>
      <c r="AY109" s="906">
        <f>AY108+AY107</f>
        <v>0</v>
      </c>
      <c r="AZ109" s="29">
        <f>IF(AY109=0,0,BA109/AY109)</f>
        <v>0</v>
      </c>
      <c r="BA109" s="29">
        <f>BA108+BA107</f>
        <v>0</v>
      </c>
      <c r="BB109" s="1836"/>
      <c r="BC109" s="1837"/>
      <c r="BD109" s="1838"/>
      <c r="BE109" s="1839"/>
      <c r="BF109" s="1839"/>
      <c r="BG109" s="907">
        <f>BG108+BG107</f>
        <v>0</v>
      </c>
      <c r="BH109" s="902">
        <f>IF(BG109=0,0,BI109/BG109)</f>
        <v>0</v>
      </c>
      <c r="BI109" s="902">
        <f>BI108+BI107</f>
        <v>0</v>
      </c>
      <c r="BJ109" s="1840"/>
      <c r="BK109" s="1841"/>
      <c r="BL109" s="1842"/>
      <c r="BM109" s="1843"/>
      <c r="BN109" s="1843"/>
      <c r="BO109" s="906">
        <f>BO108+BO107</f>
        <v>0</v>
      </c>
      <c r="BP109" s="29">
        <f>IF(BO109=0,0,BQ109/BO109)</f>
        <v>0</v>
      </c>
      <c r="BQ109" s="29">
        <f>BQ108+BQ107</f>
        <v>0</v>
      </c>
      <c r="BR109" s="1836"/>
      <c r="BS109" s="1837"/>
      <c r="BT109" s="1838"/>
      <c r="BU109" s="1839"/>
      <c r="BV109" s="1839"/>
      <c r="BW109" s="907">
        <f>BW108+BW107</f>
        <v>0</v>
      </c>
      <c r="BX109" s="902">
        <f>IF(BW109=0,0,BY109/BW109)</f>
        <v>0</v>
      </c>
      <c r="BY109" s="902">
        <f>BY108+BY107</f>
        <v>0</v>
      </c>
      <c r="BZ109" s="1840"/>
      <c r="CA109" s="1841"/>
      <c r="CB109" s="1842"/>
      <c r="CC109" s="1843"/>
      <c r="CD109" s="1843"/>
      <c r="CE109" s="906">
        <f>CE108+CE107</f>
        <v>0</v>
      </c>
      <c r="CF109" s="29">
        <f>IF(CE109=0,0,CG109/CE109)</f>
        <v>0</v>
      </c>
      <c r="CG109" s="29">
        <f>CG108+CG107</f>
        <v>0</v>
      </c>
      <c r="CH109" s="1836"/>
      <c r="CI109" s="1837"/>
      <c r="CJ109" s="1838"/>
      <c r="CK109" s="1839"/>
      <c r="CL109" s="1839"/>
      <c r="CM109" s="907">
        <f>CM108+CM107</f>
        <v>0</v>
      </c>
      <c r="CN109" s="902">
        <f>IF(CM109=0,0,CO109/CM109)</f>
        <v>0</v>
      </c>
      <c r="CO109" s="902">
        <f>CO108+CO107</f>
        <v>0</v>
      </c>
      <c r="CP109" s="1840"/>
      <c r="CQ109" s="1841"/>
      <c r="CR109" s="1842"/>
      <c r="CS109" s="1843"/>
      <c r="CT109" s="1843"/>
      <c r="CU109" s="1844"/>
      <c r="CV109" s="1844"/>
      <c r="CW109" s="1845"/>
      <c r="CX109" s="1844"/>
      <c r="CY109" s="1845"/>
      <c r="CZ109" s="1845"/>
      <c r="DA109" s="1845"/>
      <c r="DB109" s="912"/>
    </row>
    <row r="110" spans="1:106" x14ac:dyDescent="0.3">
      <c r="A110" s="1835"/>
      <c r="B110" s="108" t="s">
        <v>312</v>
      </c>
      <c r="C110" s="906">
        <f>H107*C109</f>
        <v>0</v>
      </c>
      <c r="D110" s="29">
        <f>D109</f>
        <v>0</v>
      </c>
      <c r="E110" s="29">
        <f>C110*D110</f>
        <v>0</v>
      </c>
      <c r="F110" s="1836"/>
      <c r="G110" s="1837"/>
      <c r="H110" s="1838"/>
      <c r="I110" s="1839"/>
      <c r="J110" s="1839"/>
      <c r="K110" s="907">
        <f>P107*K109</f>
        <v>0</v>
      </c>
      <c r="L110" s="902">
        <f>L109</f>
        <v>0</v>
      </c>
      <c r="M110" s="902">
        <f>K110*L110</f>
        <v>0</v>
      </c>
      <c r="N110" s="1840"/>
      <c r="O110" s="1841"/>
      <c r="P110" s="1842"/>
      <c r="Q110" s="1843"/>
      <c r="R110" s="1843"/>
      <c r="S110" s="906">
        <f>X107*S109</f>
        <v>0</v>
      </c>
      <c r="T110" s="29">
        <f>T109</f>
        <v>0</v>
      </c>
      <c r="U110" s="29">
        <f>S110*T110</f>
        <v>0</v>
      </c>
      <c r="V110" s="1836"/>
      <c r="W110" s="1837"/>
      <c r="X110" s="1838"/>
      <c r="Y110" s="1839"/>
      <c r="Z110" s="1839"/>
      <c r="AA110" s="907">
        <f>AF107*AA109</f>
        <v>0</v>
      </c>
      <c r="AB110" s="902">
        <f>AB109</f>
        <v>0</v>
      </c>
      <c r="AC110" s="902">
        <f>AA110*AB110</f>
        <v>0</v>
      </c>
      <c r="AD110" s="1840"/>
      <c r="AE110" s="1841"/>
      <c r="AF110" s="1842"/>
      <c r="AG110" s="1843"/>
      <c r="AH110" s="1843"/>
      <c r="AI110" s="906">
        <f>AN107*AI109</f>
        <v>0</v>
      </c>
      <c r="AJ110" s="29">
        <f>AJ109</f>
        <v>0</v>
      </c>
      <c r="AK110" s="29">
        <f>AI110*AJ110</f>
        <v>0</v>
      </c>
      <c r="AL110" s="1836"/>
      <c r="AM110" s="1837"/>
      <c r="AN110" s="1838"/>
      <c r="AO110" s="1839"/>
      <c r="AP110" s="1839"/>
      <c r="AQ110" s="907">
        <f>AV107*AQ109</f>
        <v>0</v>
      </c>
      <c r="AR110" s="902">
        <f>AR109</f>
        <v>0</v>
      </c>
      <c r="AS110" s="902">
        <f>AQ110*AR110</f>
        <v>0</v>
      </c>
      <c r="AT110" s="1840"/>
      <c r="AU110" s="1841"/>
      <c r="AV110" s="1842"/>
      <c r="AW110" s="1843"/>
      <c r="AX110" s="1843"/>
      <c r="AY110" s="906">
        <f>BD107*AY109</f>
        <v>0</v>
      </c>
      <c r="AZ110" s="29">
        <f>AZ109</f>
        <v>0</v>
      </c>
      <c r="BA110" s="29">
        <f>AY110*AZ110</f>
        <v>0</v>
      </c>
      <c r="BB110" s="1836"/>
      <c r="BC110" s="1837"/>
      <c r="BD110" s="1838"/>
      <c r="BE110" s="1839"/>
      <c r="BF110" s="1839"/>
      <c r="BG110" s="907">
        <f>BL107*BG109</f>
        <v>0</v>
      </c>
      <c r="BH110" s="902">
        <f>BH109</f>
        <v>0</v>
      </c>
      <c r="BI110" s="902">
        <f>BG110*BH110</f>
        <v>0</v>
      </c>
      <c r="BJ110" s="1840"/>
      <c r="BK110" s="1841"/>
      <c r="BL110" s="1842"/>
      <c r="BM110" s="1843"/>
      <c r="BN110" s="1843"/>
      <c r="BO110" s="906">
        <f>BT107*BO109</f>
        <v>0</v>
      </c>
      <c r="BP110" s="29">
        <f>BP109</f>
        <v>0</v>
      </c>
      <c r="BQ110" s="29">
        <f>BO110*BP110</f>
        <v>0</v>
      </c>
      <c r="BR110" s="1836"/>
      <c r="BS110" s="1837"/>
      <c r="BT110" s="1838"/>
      <c r="BU110" s="1839"/>
      <c r="BV110" s="1839"/>
      <c r="BW110" s="907">
        <f>CB107*BW109</f>
        <v>0</v>
      </c>
      <c r="BX110" s="902">
        <f>BX109</f>
        <v>0</v>
      </c>
      <c r="BY110" s="902">
        <f>BW110*BX110</f>
        <v>0</v>
      </c>
      <c r="BZ110" s="1840"/>
      <c r="CA110" s="1841"/>
      <c r="CB110" s="1842"/>
      <c r="CC110" s="1843"/>
      <c r="CD110" s="1843"/>
      <c r="CE110" s="906">
        <f>CJ107*CE109</f>
        <v>0</v>
      </c>
      <c r="CF110" s="29">
        <f>CF109</f>
        <v>0</v>
      </c>
      <c r="CG110" s="29">
        <f>CE110*CF110</f>
        <v>0</v>
      </c>
      <c r="CH110" s="1836"/>
      <c r="CI110" s="1837"/>
      <c r="CJ110" s="1838"/>
      <c r="CK110" s="1839"/>
      <c r="CL110" s="1839"/>
      <c r="CM110" s="907">
        <f>CR107*CM109</f>
        <v>0</v>
      </c>
      <c r="CN110" s="902">
        <f>CN109</f>
        <v>0</v>
      </c>
      <c r="CO110" s="902">
        <f>CM110*CN110</f>
        <v>0</v>
      </c>
      <c r="CP110" s="1840"/>
      <c r="CQ110" s="1841"/>
      <c r="CR110" s="1842"/>
      <c r="CS110" s="1843"/>
      <c r="CT110" s="1843"/>
      <c r="CU110" s="1844"/>
      <c r="CV110" s="1844"/>
      <c r="CW110" s="1845"/>
      <c r="CX110" s="1844"/>
      <c r="CY110" s="1845"/>
      <c r="CZ110" s="1845"/>
      <c r="DA110" s="1845"/>
      <c r="DB110" s="912"/>
    </row>
    <row r="111" spans="1:106" x14ac:dyDescent="0.3">
      <c r="A111" s="1835"/>
      <c r="B111" s="108" t="s">
        <v>254</v>
      </c>
      <c r="C111" s="906">
        <f>C107+C108-C110</f>
        <v>0</v>
      </c>
      <c r="D111" s="29">
        <f>D110</f>
        <v>0</v>
      </c>
      <c r="E111" s="29">
        <f>D111*C111</f>
        <v>0</v>
      </c>
      <c r="F111" s="1836"/>
      <c r="G111" s="1837"/>
      <c r="H111" s="1838"/>
      <c r="I111" s="1839"/>
      <c r="J111" s="1839"/>
      <c r="K111" s="907">
        <f>K107+K108-K110</f>
        <v>0</v>
      </c>
      <c r="L111" s="902">
        <f>L110</f>
        <v>0</v>
      </c>
      <c r="M111" s="902">
        <f>L111*K111</f>
        <v>0</v>
      </c>
      <c r="N111" s="1840"/>
      <c r="O111" s="1841"/>
      <c r="P111" s="1842"/>
      <c r="Q111" s="1843"/>
      <c r="R111" s="1843"/>
      <c r="S111" s="906">
        <f>S107+S108-S110</f>
        <v>0</v>
      </c>
      <c r="T111" s="29">
        <f>T110</f>
        <v>0</v>
      </c>
      <c r="U111" s="29">
        <f>T111*S111</f>
        <v>0</v>
      </c>
      <c r="V111" s="1836"/>
      <c r="W111" s="1837"/>
      <c r="X111" s="1838"/>
      <c r="Y111" s="1839"/>
      <c r="Z111" s="1839"/>
      <c r="AA111" s="907">
        <f>AA107+AA108-AA110</f>
        <v>0</v>
      </c>
      <c r="AB111" s="902">
        <f>AB110</f>
        <v>0</v>
      </c>
      <c r="AC111" s="902">
        <f>AB111*AA111</f>
        <v>0</v>
      </c>
      <c r="AD111" s="1840"/>
      <c r="AE111" s="1841"/>
      <c r="AF111" s="1842"/>
      <c r="AG111" s="1843"/>
      <c r="AH111" s="1843"/>
      <c r="AI111" s="906">
        <f>AI107+AI108-AI110</f>
        <v>0</v>
      </c>
      <c r="AJ111" s="29">
        <f>AJ110</f>
        <v>0</v>
      </c>
      <c r="AK111" s="29">
        <f>AJ111*AI111</f>
        <v>0</v>
      </c>
      <c r="AL111" s="1836"/>
      <c r="AM111" s="1837"/>
      <c r="AN111" s="1838"/>
      <c r="AO111" s="1839"/>
      <c r="AP111" s="1839"/>
      <c r="AQ111" s="907">
        <f>AQ107+AQ108-AQ110</f>
        <v>0</v>
      </c>
      <c r="AR111" s="902">
        <f>AR110</f>
        <v>0</v>
      </c>
      <c r="AS111" s="902">
        <f>AR111*AQ111</f>
        <v>0</v>
      </c>
      <c r="AT111" s="1840"/>
      <c r="AU111" s="1841"/>
      <c r="AV111" s="1842"/>
      <c r="AW111" s="1843"/>
      <c r="AX111" s="1843"/>
      <c r="AY111" s="906">
        <f>AY107+AY108-AY110</f>
        <v>0</v>
      </c>
      <c r="AZ111" s="29">
        <f>AZ110</f>
        <v>0</v>
      </c>
      <c r="BA111" s="29">
        <f>AZ111*AY111</f>
        <v>0</v>
      </c>
      <c r="BB111" s="1836"/>
      <c r="BC111" s="1837"/>
      <c r="BD111" s="1838"/>
      <c r="BE111" s="1839"/>
      <c r="BF111" s="1839"/>
      <c r="BG111" s="907">
        <f>BG107+BG108-BG110</f>
        <v>0</v>
      </c>
      <c r="BH111" s="902">
        <f>BH110</f>
        <v>0</v>
      </c>
      <c r="BI111" s="902">
        <f>BH111*BG111</f>
        <v>0</v>
      </c>
      <c r="BJ111" s="1840"/>
      <c r="BK111" s="1841"/>
      <c r="BL111" s="1842"/>
      <c r="BM111" s="1843"/>
      <c r="BN111" s="1843"/>
      <c r="BO111" s="906">
        <f>BO107+BO108-BO110</f>
        <v>0</v>
      </c>
      <c r="BP111" s="29">
        <f>BP110</f>
        <v>0</v>
      </c>
      <c r="BQ111" s="29">
        <f>BP111*BO111</f>
        <v>0</v>
      </c>
      <c r="BR111" s="1836"/>
      <c r="BS111" s="1837"/>
      <c r="BT111" s="1838"/>
      <c r="BU111" s="1839"/>
      <c r="BV111" s="1839"/>
      <c r="BW111" s="907">
        <f>BW107+BW108-BW110</f>
        <v>0</v>
      </c>
      <c r="BX111" s="902">
        <f>BX110</f>
        <v>0</v>
      </c>
      <c r="BY111" s="902">
        <f>BX111*BW111</f>
        <v>0</v>
      </c>
      <c r="BZ111" s="1840"/>
      <c r="CA111" s="1841"/>
      <c r="CB111" s="1842"/>
      <c r="CC111" s="1843"/>
      <c r="CD111" s="1843"/>
      <c r="CE111" s="906">
        <f>CE107+CE108-CE110</f>
        <v>0</v>
      </c>
      <c r="CF111" s="29">
        <f>CF110</f>
        <v>0</v>
      </c>
      <c r="CG111" s="29">
        <f>CF111*CE111</f>
        <v>0</v>
      </c>
      <c r="CH111" s="1836"/>
      <c r="CI111" s="1837"/>
      <c r="CJ111" s="1838"/>
      <c r="CK111" s="1839"/>
      <c r="CL111" s="1839"/>
      <c r="CM111" s="907">
        <f>CM107+CM108-CM110</f>
        <v>0</v>
      </c>
      <c r="CN111" s="902">
        <f>CN110</f>
        <v>0</v>
      </c>
      <c r="CO111" s="902">
        <f>CN111*CM111</f>
        <v>0</v>
      </c>
      <c r="CP111" s="1840"/>
      <c r="CQ111" s="1841"/>
      <c r="CR111" s="1842"/>
      <c r="CS111" s="1843"/>
      <c r="CT111" s="1843"/>
      <c r="CU111" s="1844"/>
      <c r="CV111" s="1844"/>
      <c r="CW111" s="1845"/>
      <c r="CX111" s="1844"/>
      <c r="CY111" s="1845"/>
      <c r="CZ111" s="1845"/>
      <c r="DA111" s="1845"/>
      <c r="DB111" s="912"/>
    </row>
    <row r="112" spans="1:106" x14ac:dyDescent="0.3">
      <c r="A112" s="1835" t="str">
        <f>A44</f>
        <v>JUNY</v>
      </c>
      <c r="B112" s="108" t="s">
        <v>255</v>
      </c>
      <c r="C112" s="906">
        <f>C111</f>
        <v>0</v>
      </c>
      <c r="D112" s="29">
        <f>D111</f>
        <v>0</v>
      </c>
      <c r="E112" s="29">
        <f>C112*D112</f>
        <v>0</v>
      </c>
      <c r="F112" s="1836">
        <f>E113*$I$3</f>
        <v>0</v>
      </c>
      <c r="G112" s="1837">
        <f>G107</f>
        <v>0</v>
      </c>
      <c r="H112" s="1838">
        <f>H107</f>
        <v>0</v>
      </c>
      <c r="I112" s="1839">
        <f>E115/(1-G112)</f>
        <v>0</v>
      </c>
      <c r="J112" s="1839">
        <f>I112*$F$3</f>
        <v>0</v>
      </c>
      <c r="K112" s="907">
        <f>K111</f>
        <v>0</v>
      </c>
      <c r="L112" s="902">
        <f>L111</f>
        <v>0</v>
      </c>
      <c r="M112" s="902">
        <f>K112*L112</f>
        <v>0</v>
      </c>
      <c r="N112" s="1840">
        <f>M113*$I$4</f>
        <v>0</v>
      </c>
      <c r="O112" s="1841">
        <f>O107</f>
        <v>0</v>
      </c>
      <c r="P112" s="1842">
        <f>P107</f>
        <v>0</v>
      </c>
      <c r="Q112" s="1843">
        <f>M115/(1-O112)</f>
        <v>0</v>
      </c>
      <c r="R112" s="1843">
        <f>Q112*$F$4</f>
        <v>0</v>
      </c>
      <c r="S112" s="906">
        <f>S111</f>
        <v>0</v>
      </c>
      <c r="T112" s="29">
        <f>T111</f>
        <v>0</v>
      </c>
      <c r="U112" s="29">
        <f>S112*T112</f>
        <v>0</v>
      </c>
      <c r="V112" s="1836">
        <f>U113*$I$5</f>
        <v>0</v>
      </c>
      <c r="W112" s="1837">
        <f>W107</f>
        <v>0</v>
      </c>
      <c r="X112" s="1838">
        <f>X107</f>
        <v>0</v>
      </c>
      <c r="Y112" s="1839">
        <f>U115/(1-W112)</f>
        <v>0</v>
      </c>
      <c r="Z112" s="1839">
        <f>Y112*$F$5</f>
        <v>0</v>
      </c>
      <c r="AA112" s="907">
        <f>AA111</f>
        <v>0</v>
      </c>
      <c r="AB112" s="902">
        <f>AB111</f>
        <v>0</v>
      </c>
      <c r="AC112" s="902">
        <f>AA112*AB112</f>
        <v>0</v>
      </c>
      <c r="AD112" s="1840">
        <f>AC113*$I$6</f>
        <v>0</v>
      </c>
      <c r="AE112" s="1841">
        <f>AE107</f>
        <v>0</v>
      </c>
      <c r="AF112" s="1842">
        <f>AF107</f>
        <v>0</v>
      </c>
      <c r="AG112" s="1843">
        <f>AC115/(1-AE112)</f>
        <v>0</v>
      </c>
      <c r="AH112" s="1843">
        <f>AG112*$F$6</f>
        <v>0</v>
      </c>
      <c r="AI112" s="906">
        <f>AI111</f>
        <v>0</v>
      </c>
      <c r="AJ112" s="29">
        <f>AJ111</f>
        <v>0</v>
      </c>
      <c r="AK112" s="29">
        <f>AI112*AJ112</f>
        <v>0</v>
      </c>
      <c r="AL112" s="1836">
        <f>AK113*$I$7</f>
        <v>0</v>
      </c>
      <c r="AM112" s="1837">
        <f>AM107</f>
        <v>0</v>
      </c>
      <c r="AN112" s="1838">
        <f>AN107</f>
        <v>0</v>
      </c>
      <c r="AO112" s="1839">
        <f>AK115/(1-AM112)</f>
        <v>0</v>
      </c>
      <c r="AP112" s="1839">
        <f>AO112*$F$7</f>
        <v>0</v>
      </c>
      <c r="AQ112" s="907">
        <f>AQ111</f>
        <v>0</v>
      </c>
      <c r="AR112" s="902">
        <f>AR111</f>
        <v>0</v>
      </c>
      <c r="AS112" s="902">
        <f>AQ112*AR112</f>
        <v>0</v>
      </c>
      <c r="AT112" s="1840">
        <f>AS113*$I$8</f>
        <v>0</v>
      </c>
      <c r="AU112" s="1841">
        <f>AU107</f>
        <v>0</v>
      </c>
      <c r="AV112" s="1842">
        <f>AV107</f>
        <v>0</v>
      </c>
      <c r="AW112" s="1843">
        <f>AS115/(1-AU112)</f>
        <v>0</v>
      </c>
      <c r="AX112" s="1843">
        <f>AW112*$F$8</f>
        <v>0</v>
      </c>
      <c r="AY112" s="906">
        <f>AY111</f>
        <v>0</v>
      </c>
      <c r="AZ112" s="29">
        <f>AZ111</f>
        <v>0</v>
      </c>
      <c r="BA112" s="29">
        <f>AY112*AZ112</f>
        <v>0</v>
      </c>
      <c r="BB112" s="1836">
        <f>BA113*$I$9</f>
        <v>0</v>
      </c>
      <c r="BC112" s="1837">
        <f>BC107</f>
        <v>0</v>
      </c>
      <c r="BD112" s="1838">
        <f>BD107</f>
        <v>0</v>
      </c>
      <c r="BE112" s="1839">
        <f>BA115/(1-BC112)</f>
        <v>0</v>
      </c>
      <c r="BF112" s="1839">
        <f>BE112*$F$9</f>
        <v>0</v>
      </c>
      <c r="BG112" s="907">
        <f>BG111</f>
        <v>0</v>
      </c>
      <c r="BH112" s="902">
        <f>BH111</f>
        <v>0</v>
      </c>
      <c r="BI112" s="902">
        <f>BG112*BH112</f>
        <v>0</v>
      </c>
      <c r="BJ112" s="1840">
        <f>BI113*$I$10</f>
        <v>0</v>
      </c>
      <c r="BK112" s="1841">
        <f>BK107</f>
        <v>0</v>
      </c>
      <c r="BL112" s="1842">
        <f>BL107</f>
        <v>0</v>
      </c>
      <c r="BM112" s="1843">
        <f>BI115/(1-BK112)</f>
        <v>0</v>
      </c>
      <c r="BN112" s="1843">
        <f>BM112*$F$10</f>
        <v>0</v>
      </c>
      <c r="BO112" s="906">
        <f>BO111</f>
        <v>0</v>
      </c>
      <c r="BP112" s="29">
        <f>BP111</f>
        <v>0</v>
      </c>
      <c r="BQ112" s="29">
        <f>BO112*BP112</f>
        <v>0</v>
      </c>
      <c r="BR112" s="1836">
        <f>BQ113*$I$11</f>
        <v>0</v>
      </c>
      <c r="BS112" s="1837">
        <f>BS107</f>
        <v>0</v>
      </c>
      <c r="BT112" s="1838">
        <f>BT107</f>
        <v>0</v>
      </c>
      <c r="BU112" s="1839">
        <f>BQ115/(1-BS112)</f>
        <v>0</v>
      </c>
      <c r="BV112" s="1839">
        <f>BU112*$F$11</f>
        <v>0</v>
      </c>
      <c r="BW112" s="907">
        <f>BW111</f>
        <v>0</v>
      </c>
      <c r="BX112" s="902">
        <f>BX111</f>
        <v>0</v>
      </c>
      <c r="BY112" s="902">
        <f>BW112*BX112</f>
        <v>0</v>
      </c>
      <c r="BZ112" s="1840">
        <f>BY113*$I$12</f>
        <v>0</v>
      </c>
      <c r="CA112" s="1841">
        <f>CA107</f>
        <v>0</v>
      </c>
      <c r="CB112" s="1842">
        <f>CB107</f>
        <v>0</v>
      </c>
      <c r="CC112" s="1843">
        <f>BY115/(1-CA112)</f>
        <v>0</v>
      </c>
      <c r="CD112" s="1843">
        <f>CC112*$F$12</f>
        <v>0</v>
      </c>
      <c r="CE112" s="906">
        <f>CE111</f>
        <v>0</v>
      </c>
      <c r="CF112" s="29">
        <f>CF111</f>
        <v>0</v>
      </c>
      <c r="CG112" s="29">
        <f>CE112*CF112</f>
        <v>0</v>
      </c>
      <c r="CH112" s="1836">
        <f>CG113*$I$13</f>
        <v>0</v>
      </c>
      <c r="CI112" s="1837">
        <f>CI107</f>
        <v>0</v>
      </c>
      <c r="CJ112" s="1838">
        <f>CJ107</f>
        <v>0</v>
      </c>
      <c r="CK112" s="1839">
        <f>CG115/(1-CI112)</f>
        <v>0</v>
      </c>
      <c r="CL112" s="1839">
        <f>CK112*$F$13</f>
        <v>0</v>
      </c>
      <c r="CM112" s="907">
        <f>CM111</f>
        <v>0</v>
      </c>
      <c r="CN112" s="902">
        <f>CN111</f>
        <v>0</v>
      </c>
      <c r="CO112" s="902">
        <f>CM112*CN112</f>
        <v>0</v>
      </c>
      <c r="CP112" s="1840">
        <f>CO113*$I$14</f>
        <v>0</v>
      </c>
      <c r="CQ112" s="1841">
        <f>CQ107</f>
        <v>0</v>
      </c>
      <c r="CR112" s="1842">
        <f>CR107</f>
        <v>0</v>
      </c>
      <c r="CS112" s="1843">
        <f>CO115/(1-CQ112)</f>
        <v>0</v>
      </c>
      <c r="CT112" s="1843">
        <f>CS112*$F$14</f>
        <v>0</v>
      </c>
      <c r="CU112" s="1844">
        <f>E113+M113+U113+AC113+AK113+AS113+BA113+BI113+BQ113+BY113+CG113+CO113</f>
        <v>0</v>
      </c>
      <c r="CV112" s="1844">
        <f>CP112+CH112+BZ112+BR112+BJ112+BB112+AT112+AL112+AD112+V112+N112+F112</f>
        <v>0</v>
      </c>
      <c r="CW112" s="1845">
        <f>I112+Q112+Y112+AG112+AO112+AW112+BE112+BM112+BU112+CC112+CK112+CS112</f>
        <v>0</v>
      </c>
      <c r="CX112" s="1844">
        <f>CT112+CL112+CD112+BV112+BN112+BF112+AX112+AP112+AH112+Z112+R112+J112</f>
        <v>0</v>
      </c>
      <c r="CY112" s="1845">
        <f>CZ107</f>
        <v>0</v>
      </c>
      <c r="CZ112" s="1845">
        <f>E116+M116+U116+AC116+AK116+AS116+BA116+BI116+BQ116+BY116+CG116+CO116</f>
        <v>0</v>
      </c>
      <c r="DA112" s="1845">
        <f>CZ112-CY112</f>
        <v>0</v>
      </c>
      <c r="DB112" s="914"/>
    </row>
    <row r="113" spans="1:106" x14ac:dyDescent="0.3">
      <c r="A113" s="1835"/>
      <c r="B113" s="108" t="s">
        <v>310</v>
      </c>
      <c r="C113" s="898">
        <f>C108</f>
        <v>0</v>
      </c>
      <c r="D113" s="899">
        <f>D108</f>
        <v>0</v>
      </c>
      <c r="E113" s="29">
        <f>C113*D113</f>
        <v>0</v>
      </c>
      <c r="F113" s="1836"/>
      <c r="G113" s="1837"/>
      <c r="H113" s="1838"/>
      <c r="I113" s="1839"/>
      <c r="J113" s="1839"/>
      <c r="K113" s="900">
        <f>K108</f>
        <v>0</v>
      </c>
      <c r="L113" s="901">
        <f>L108</f>
        <v>0</v>
      </c>
      <c r="M113" s="902">
        <f>K113*L113</f>
        <v>0</v>
      </c>
      <c r="N113" s="1840"/>
      <c r="O113" s="1841"/>
      <c r="P113" s="1842"/>
      <c r="Q113" s="1843"/>
      <c r="R113" s="1843"/>
      <c r="S113" s="898">
        <f>S108</f>
        <v>0</v>
      </c>
      <c r="T113" s="899">
        <f>T108</f>
        <v>0</v>
      </c>
      <c r="U113" s="29">
        <f>S113*T113</f>
        <v>0</v>
      </c>
      <c r="V113" s="1836"/>
      <c r="W113" s="1837"/>
      <c r="X113" s="1838"/>
      <c r="Y113" s="1839"/>
      <c r="Z113" s="1839"/>
      <c r="AA113" s="900">
        <f>AA108</f>
        <v>0</v>
      </c>
      <c r="AB113" s="901">
        <f>AB108</f>
        <v>0</v>
      </c>
      <c r="AC113" s="902">
        <f>AA113*AB113</f>
        <v>0</v>
      </c>
      <c r="AD113" s="1840"/>
      <c r="AE113" s="1841"/>
      <c r="AF113" s="1842"/>
      <c r="AG113" s="1843"/>
      <c r="AH113" s="1843"/>
      <c r="AI113" s="898">
        <f>AI108</f>
        <v>0</v>
      </c>
      <c r="AJ113" s="899">
        <f>AJ108</f>
        <v>0</v>
      </c>
      <c r="AK113" s="29">
        <f>AI113*AJ113</f>
        <v>0</v>
      </c>
      <c r="AL113" s="1836"/>
      <c r="AM113" s="1837"/>
      <c r="AN113" s="1838"/>
      <c r="AO113" s="1839"/>
      <c r="AP113" s="1839"/>
      <c r="AQ113" s="900">
        <f>AQ108</f>
        <v>0</v>
      </c>
      <c r="AR113" s="901">
        <f>AR108</f>
        <v>0</v>
      </c>
      <c r="AS113" s="902">
        <f>AQ113*AR113</f>
        <v>0</v>
      </c>
      <c r="AT113" s="1840"/>
      <c r="AU113" s="1841"/>
      <c r="AV113" s="1842"/>
      <c r="AW113" s="1843"/>
      <c r="AX113" s="1843"/>
      <c r="AY113" s="898">
        <f>AY108</f>
        <v>0</v>
      </c>
      <c r="AZ113" s="899">
        <f>AZ108</f>
        <v>0</v>
      </c>
      <c r="BA113" s="29">
        <f>AY113*AZ113</f>
        <v>0</v>
      </c>
      <c r="BB113" s="1836"/>
      <c r="BC113" s="1837"/>
      <c r="BD113" s="1838"/>
      <c r="BE113" s="1839"/>
      <c r="BF113" s="1839"/>
      <c r="BG113" s="900">
        <f>BG108</f>
        <v>0</v>
      </c>
      <c r="BH113" s="901">
        <f>BH108</f>
        <v>0</v>
      </c>
      <c r="BI113" s="902">
        <f>BG113*BH113</f>
        <v>0</v>
      </c>
      <c r="BJ113" s="1840"/>
      <c r="BK113" s="1841"/>
      <c r="BL113" s="1842"/>
      <c r="BM113" s="1843"/>
      <c r="BN113" s="1843"/>
      <c r="BO113" s="898">
        <f>BO108</f>
        <v>0</v>
      </c>
      <c r="BP113" s="899">
        <f>BP108</f>
        <v>0</v>
      </c>
      <c r="BQ113" s="29">
        <f>BO113*BP113</f>
        <v>0</v>
      </c>
      <c r="BR113" s="1836"/>
      <c r="BS113" s="1837"/>
      <c r="BT113" s="1838"/>
      <c r="BU113" s="1839"/>
      <c r="BV113" s="1839"/>
      <c r="BW113" s="900">
        <f>BW108</f>
        <v>0</v>
      </c>
      <c r="BX113" s="901">
        <f>BX108</f>
        <v>0</v>
      </c>
      <c r="BY113" s="902">
        <f>BW113*BX113</f>
        <v>0</v>
      </c>
      <c r="BZ113" s="1840"/>
      <c r="CA113" s="1841"/>
      <c r="CB113" s="1842"/>
      <c r="CC113" s="1843"/>
      <c r="CD113" s="1843"/>
      <c r="CE113" s="898">
        <f>CE108</f>
        <v>0</v>
      </c>
      <c r="CF113" s="899">
        <f>CF108</f>
        <v>0</v>
      </c>
      <c r="CG113" s="29">
        <f>CE113*CF113</f>
        <v>0</v>
      </c>
      <c r="CH113" s="1836"/>
      <c r="CI113" s="1837"/>
      <c r="CJ113" s="1838"/>
      <c r="CK113" s="1839"/>
      <c r="CL113" s="1839"/>
      <c r="CM113" s="900">
        <f>CM108</f>
        <v>0</v>
      </c>
      <c r="CN113" s="901">
        <f>CN108</f>
        <v>0</v>
      </c>
      <c r="CO113" s="902">
        <f>CM113*CN113</f>
        <v>0</v>
      </c>
      <c r="CP113" s="1840"/>
      <c r="CQ113" s="1841"/>
      <c r="CR113" s="1842"/>
      <c r="CS113" s="1843"/>
      <c r="CT113" s="1843"/>
      <c r="CU113" s="1844"/>
      <c r="CV113" s="1844"/>
      <c r="CW113" s="1845"/>
      <c r="CX113" s="1844"/>
      <c r="CY113" s="1845"/>
      <c r="CZ113" s="1845"/>
      <c r="DA113" s="1845"/>
      <c r="DB113" s="912"/>
    </row>
    <row r="114" spans="1:106" ht="12.75" hidden="1" customHeight="1" x14ac:dyDescent="0.3">
      <c r="A114" s="1835"/>
      <c r="B114" s="108" t="s">
        <v>315</v>
      </c>
      <c r="C114" s="906">
        <f>C113+C112</f>
        <v>0</v>
      </c>
      <c r="D114" s="29">
        <f>IF(C114=0,0,E114/C114)</f>
        <v>0</v>
      </c>
      <c r="E114" s="29">
        <f>E113+E112</f>
        <v>0</v>
      </c>
      <c r="F114" s="1836"/>
      <c r="G114" s="1837"/>
      <c r="H114" s="1838"/>
      <c r="I114" s="1839"/>
      <c r="J114" s="1839"/>
      <c r="K114" s="907">
        <f>K113+K112</f>
        <v>0</v>
      </c>
      <c r="L114" s="902">
        <f>IF(K114=0,0,M114/K114)</f>
        <v>0</v>
      </c>
      <c r="M114" s="902">
        <f>M113+M112</f>
        <v>0</v>
      </c>
      <c r="N114" s="1840"/>
      <c r="O114" s="1841"/>
      <c r="P114" s="1842"/>
      <c r="Q114" s="1843"/>
      <c r="R114" s="1843"/>
      <c r="S114" s="906">
        <f>S113+S112</f>
        <v>0</v>
      </c>
      <c r="T114" s="29">
        <f>IF(S114=0,0,U114/S114)</f>
        <v>0</v>
      </c>
      <c r="U114" s="29">
        <f>U113+U112</f>
        <v>0</v>
      </c>
      <c r="V114" s="1836"/>
      <c r="W114" s="1837"/>
      <c r="X114" s="1838"/>
      <c r="Y114" s="1839"/>
      <c r="Z114" s="1839"/>
      <c r="AA114" s="907">
        <f>AA113+AA112</f>
        <v>0</v>
      </c>
      <c r="AB114" s="902">
        <f>IF(AA114=0,0,AC114/AA114)</f>
        <v>0</v>
      </c>
      <c r="AC114" s="902">
        <f>AC113+AC112</f>
        <v>0</v>
      </c>
      <c r="AD114" s="1840"/>
      <c r="AE114" s="1841"/>
      <c r="AF114" s="1842"/>
      <c r="AG114" s="1843"/>
      <c r="AH114" s="1843"/>
      <c r="AI114" s="906">
        <f>AI113+AI112</f>
        <v>0</v>
      </c>
      <c r="AJ114" s="29">
        <f>IF(AI114=0,0,AK114/AI114)</f>
        <v>0</v>
      </c>
      <c r="AK114" s="29">
        <f>AK113+AK112</f>
        <v>0</v>
      </c>
      <c r="AL114" s="1836"/>
      <c r="AM114" s="1837"/>
      <c r="AN114" s="1838"/>
      <c r="AO114" s="1839"/>
      <c r="AP114" s="1839"/>
      <c r="AQ114" s="907">
        <f>AQ113+AQ112</f>
        <v>0</v>
      </c>
      <c r="AR114" s="902">
        <f>IF(AQ114=0,0,AS114/AQ114)</f>
        <v>0</v>
      </c>
      <c r="AS114" s="902">
        <f>AS113+AS112</f>
        <v>0</v>
      </c>
      <c r="AT114" s="1840"/>
      <c r="AU114" s="1841"/>
      <c r="AV114" s="1842"/>
      <c r="AW114" s="1843"/>
      <c r="AX114" s="1843"/>
      <c r="AY114" s="906">
        <f>AY113+AY112</f>
        <v>0</v>
      </c>
      <c r="AZ114" s="29">
        <f>IF(AY114=0,0,BA114/AY114)</f>
        <v>0</v>
      </c>
      <c r="BA114" s="29">
        <f>BA113+BA112</f>
        <v>0</v>
      </c>
      <c r="BB114" s="1836"/>
      <c r="BC114" s="1837"/>
      <c r="BD114" s="1838"/>
      <c r="BE114" s="1839"/>
      <c r="BF114" s="1839"/>
      <c r="BG114" s="907">
        <f>BG113+BG112</f>
        <v>0</v>
      </c>
      <c r="BH114" s="902">
        <f>IF(BG114=0,0,BI114/BG114)</f>
        <v>0</v>
      </c>
      <c r="BI114" s="902">
        <f>BI113+BI112</f>
        <v>0</v>
      </c>
      <c r="BJ114" s="1840"/>
      <c r="BK114" s="1841"/>
      <c r="BL114" s="1842"/>
      <c r="BM114" s="1843"/>
      <c r="BN114" s="1843"/>
      <c r="BO114" s="906">
        <f>BO113+BO112</f>
        <v>0</v>
      </c>
      <c r="BP114" s="29">
        <f>IF(BO114=0,0,BQ114/BO114)</f>
        <v>0</v>
      </c>
      <c r="BQ114" s="29">
        <f>BQ113+BQ112</f>
        <v>0</v>
      </c>
      <c r="BR114" s="1836"/>
      <c r="BS114" s="1837"/>
      <c r="BT114" s="1838"/>
      <c r="BU114" s="1839"/>
      <c r="BV114" s="1839"/>
      <c r="BW114" s="907">
        <f>BW113+BW112</f>
        <v>0</v>
      </c>
      <c r="BX114" s="902">
        <f>IF(BW114=0,0,BY114/BW114)</f>
        <v>0</v>
      </c>
      <c r="BY114" s="902">
        <f>BY113+BY112</f>
        <v>0</v>
      </c>
      <c r="BZ114" s="1840"/>
      <c r="CA114" s="1841"/>
      <c r="CB114" s="1842"/>
      <c r="CC114" s="1843"/>
      <c r="CD114" s="1843"/>
      <c r="CE114" s="906">
        <f>CE113+CE112</f>
        <v>0</v>
      </c>
      <c r="CF114" s="29">
        <f>IF(CE114=0,0,CG114/CE114)</f>
        <v>0</v>
      </c>
      <c r="CG114" s="29">
        <f>CG113+CG112</f>
        <v>0</v>
      </c>
      <c r="CH114" s="1836"/>
      <c r="CI114" s="1837"/>
      <c r="CJ114" s="1838"/>
      <c r="CK114" s="1839"/>
      <c r="CL114" s="1839"/>
      <c r="CM114" s="907">
        <f>CM113+CM112</f>
        <v>0</v>
      </c>
      <c r="CN114" s="902">
        <f>IF(CM114=0,0,CO114/CM114)</f>
        <v>0</v>
      </c>
      <c r="CO114" s="902">
        <f>CO113+CO112</f>
        <v>0</v>
      </c>
      <c r="CP114" s="1840"/>
      <c r="CQ114" s="1841"/>
      <c r="CR114" s="1842"/>
      <c r="CS114" s="1843"/>
      <c r="CT114" s="1843"/>
      <c r="CU114" s="1844"/>
      <c r="CV114" s="1844"/>
      <c r="CW114" s="1845"/>
      <c r="CX114" s="1844"/>
      <c r="CY114" s="1845"/>
      <c r="CZ114" s="1845"/>
      <c r="DA114" s="1845"/>
      <c r="DB114" s="912"/>
    </row>
    <row r="115" spans="1:106" x14ac:dyDescent="0.3">
      <c r="A115" s="1835"/>
      <c r="B115" s="108" t="s">
        <v>312</v>
      </c>
      <c r="C115" s="906">
        <f>H112*C114</f>
        <v>0</v>
      </c>
      <c r="D115" s="29">
        <f>D114</f>
        <v>0</v>
      </c>
      <c r="E115" s="29">
        <f>C115*D115</f>
        <v>0</v>
      </c>
      <c r="F115" s="1836"/>
      <c r="G115" s="1837"/>
      <c r="H115" s="1838"/>
      <c r="I115" s="1839"/>
      <c r="J115" s="1839"/>
      <c r="K115" s="907">
        <f>P112*K114</f>
        <v>0</v>
      </c>
      <c r="L115" s="902">
        <f>L114</f>
        <v>0</v>
      </c>
      <c r="M115" s="902">
        <f>K115*L115</f>
        <v>0</v>
      </c>
      <c r="N115" s="1840"/>
      <c r="O115" s="1841"/>
      <c r="P115" s="1842"/>
      <c r="Q115" s="1843"/>
      <c r="R115" s="1843"/>
      <c r="S115" s="906">
        <f>X112*S114</f>
        <v>0</v>
      </c>
      <c r="T115" s="29">
        <f>T114</f>
        <v>0</v>
      </c>
      <c r="U115" s="29">
        <f>S115*T115</f>
        <v>0</v>
      </c>
      <c r="V115" s="1836"/>
      <c r="W115" s="1837"/>
      <c r="X115" s="1838"/>
      <c r="Y115" s="1839"/>
      <c r="Z115" s="1839"/>
      <c r="AA115" s="907">
        <f>AF112*AA114</f>
        <v>0</v>
      </c>
      <c r="AB115" s="902">
        <f>AB114</f>
        <v>0</v>
      </c>
      <c r="AC115" s="902">
        <f>AA115*AB115</f>
        <v>0</v>
      </c>
      <c r="AD115" s="1840"/>
      <c r="AE115" s="1841"/>
      <c r="AF115" s="1842"/>
      <c r="AG115" s="1843"/>
      <c r="AH115" s="1843"/>
      <c r="AI115" s="906">
        <f>AN112*AI114</f>
        <v>0</v>
      </c>
      <c r="AJ115" s="29">
        <f>AJ114</f>
        <v>0</v>
      </c>
      <c r="AK115" s="29">
        <f>AI115*AJ115</f>
        <v>0</v>
      </c>
      <c r="AL115" s="1836"/>
      <c r="AM115" s="1837"/>
      <c r="AN115" s="1838"/>
      <c r="AO115" s="1839"/>
      <c r="AP115" s="1839"/>
      <c r="AQ115" s="907">
        <f>AV112*AQ114</f>
        <v>0</v>
      </c>
      <c r="AR115" s="902">
        <f>AR114</f>
        <v>0</v>
      </c>
      <c r="AS115" s="902">
        <f>AQ115*AR115</f>
        <v>0</v>
      </c>
      <c r="AT115" s="1840"/>
      <c r="AU115" s="1841"/>
      <c r="AV115" s="1842"/>
      <c r="AW115" s="1843"/>
      <c r="AX115" s="1843"/>
      <c r="AY115" s="906">
        <f>BD112*AY114</f>
        <v>0</v>
      </c>
      <c r="AZ115" s="29">
        <f>AZ114</f>
        <v>0</v>
      </c>
      <c r="BA115" s="29">
        <f>AY115*AZ115</f>
        <v>0</v>
      </c>
      <c r="BB115" s="1836"/>
      <c r="BC115" s="1837"/>
      <c r="BD115" s="1838"/>
      <c r="BE115" s="1839"/>
      <c r="BF115" s="1839"/>
      <c r="BG115" s="907">
        <f>BL112*BG114</f>
        <v>0</v>
      </c>
      <c r="BH115" s="902">
        <f>BH114</f>
        <v>0</v>
      </c>
      <c r="BI115" s="902">
        <f>BG115*BH115</f>
        <v>0</v>
      </c>
      <c r="BJ115" s="1840"/>
      <c r="BK115" s="1841"/>
      <c r="BL115" s="1842"/>
      <c r="BM115" s="1843"/>
      <c r="BN115" s="1843"/>
      <c r="BO115" s="906">
        <f>BT112*BO114</f>
        <v>0</v>
      </c>
      <c r="BP115" s="29">
        <f>BP114</f>
        <v>0</v>
      </c>
      <c r="BQ115" s="29">
        <f>BO115*BP115</f>
        <v>0</v>
      </c>
      <c r="BR115" s="1836"/>
      <c r="BS115" s="1837"/>
      <c r="BT115" s="1838"/>
      <c r="BU115" s="1839"/>
      <c r="BV115" s="1839"/>
      <c r="BW115" s="907">
        <f>CB112*BW114</f>
        <v>0</v>
      </c>
      <c r="BX115" s="902">
        <f>BX114</f>
        <v>0</v>
      </c>
      <c r="BY115" s="902">
        <f>BW115*BX115</f>
        <v>0</v>
      </c>
      <c r="BZ115" s="1840"/>
      <c r="CA115" s="1841"/>
      <c r="CB115" s="1842"/>
      <c r="CC115" s="1843"/>
      <c r="CD115" s="1843"/>
      <c r="CE115" s="906">
        <f>CJ112*CE114</f>
        <v>0</v>
      </c>
      <c r="CF115" s="29">
        <f>CF114</f>
        <v>0</v>
      </c>
      <c r="CG115" s="29">
        <f>CE115*CF115</f>
        <v>0</v>
      </c>
      <c r="CH115" s="1836"/>
      <c r="CI115" s="1837"/>
      <c r="CJ115" s="1838"/>
      <c r="CK115" s="1839"/>
      <c r="CL115" s="1839"/>
      <c r="CM115" s="907">
        <f>CR112*CM114</f>
        <v>0</v>
      </c>
      <c r="CN115" s="902">
        <f>CN114</f>
        <v>0</v>
      </c>
      <c r="CO115" s="902">
        <f>CM115*CN115</f>
        <v>0</v>
      </c>
      <c r="CP115" s="1840"/>
      <c r="CQ115" s="1841"/>
      <c r="CR115" s="1842"/>
      <c r="CS115" s="1843"/>
      <c r="CT115" s="1843"/>
      <c r="CU115" s="1844"/>
      <c r="CV115" s="1844"/>
      <c r="CW115" s="1845"/>
      <c r="CX115" s="1844"/>
      <c r="CY115" s="1845"/>
      <c r="CZ115" s="1845"/>
      <c r="DA115" s="1845"/>
      <c r="DB115" s="912"/>
    </row>
    <row r="116" spans="1:106" x14ac:dyDescent="0.3">
      <c r="A116" s="1835"/>
      <c r="B116" s="108" t="s">
        <v>254</v>
      </c>
      <c r="C116" s="906">
        <f>C112+C113-C115</f>
        <v>0</v>
      </c>
      <c r="D116" s="29">
        <f>D115</f>
        <v>0</v>
      </c>
      <c r="E116" s="29">
        <f>D116*C116</f>
        <v>0</v>
      </c>
      <c r="F116" s="1836"/>
      <c r="G116" s="1837"/>
      <c r="H116" s="1838"/>
      <c r="I116" s="1839"/>
      <c r="J116" s="1839"/>
      <c r="K116" s="907">
        <f>K112+K113-K115</f>
        <v>0</v>
      </c>
      <c r="L116" s="902">
        <f>L115</f>
        <v>0</v>
      </c>
      <c r="M116" s="902">
        <f>L116*K116</f>
        <v>0</v>
      </c>
      <c r="N116" s="1840"/>
      <c r="O116" s="1841"/>
      <c r="P116" s="1842"/>
      <c r="Q116" s="1843"/>
      <c r="R116" s="1843"/>
      <c r="S116" s="906">
        <f>S112+S113-S115</f>
        <v>0</v>
      </c>
      <c r="T116" s="29">
        <f>T115</f>
        <v>0</v>
      </c>
      <c r="U116" s="29">
        <f>T116*S116</f>
        <v>0</v>
      </c>
      <c r="V116" s="1836"/>
      <c r="W116" s="1837"/>
      <c r="X116" s="1838"/>
      <c r="Y116" s="1839"/>
      <c r="Z116" s="1839"/>
      <c r="AA116" s="907">
        <f>AA112+AA113-AA115</f>
        <v>0</v>
      </c>
      <c r="AB116" s="902">
        <f>AB115</f>
        <v>0</v>
      </c>
      <c r="AC116" s="902">
        <f>AB116*AA116</f>
        <v>0</v>
      </c>
      <c r="AD116" s="1840"/>
      <c r="AE116" s="1841"/>
      <c r="AF116" s="1842"/>
      <c r="AG116" s="1843"/>
      <c r="AH116" s="1843"/>
      <c r="AI116" s="906">
        <f>AI112+AI113-AI115</f>
        <v>0</v>
      </c>
      <c r="AJ116" s="29">
        <f>AJ115</f>
        <v>0</v>
      </c>
      <c r="AK116" s="29">
        <f>AJ116*AI116</f>
        <v>0</v>
      </c>
      <c r="AL116" s="1836"/>
      <c r="AM116" s="1837"/>
      <c r="AN116" s="1838"/>
      <c r="AO116" s="1839"/>
      <c r="AP116" s="1839"/>
      <c r="AQ116" s="907">
        <f>AQ112+AQ113-AQ115</f>
        <v>0</v>
      </c>
      <c r="AR116" s="902">
        <f>AR115</f>
        <v>0</v>
      </c>
      <c r="AS116" s="902">
        <f>AR116*AQ116</f>
        <v>0</v>
      </c>
      <c r="AT116" s="1840"/>
      <c r="AU116" s="1841"/>
      <c r="AV116" s="1842"/>
      <c r="AW116" s="1843"/>
      <c r="AX116" s="1843"/>
      <c r="AY116" s="906">
        <f>AY112+AY113-AY115</f>
        <v>0</v>
      </c>
      <c r="AZ116" s="29">
        <f>AZ115</f>
        <v>0</v>
      </c>
      <c r="BA116" s="29">
        <f>AZ116*AY116</f>
        <v>0</v>
      </c>
      <c r="BB116" s="1836"/>
      <c r="BC116" s="1837"/>
      <c r="BD116" s="1838"/>
      <c r="BE116" s="1839"/>
      <c r="BF116" s="1839"/>
      <c r="BG116" s="907">
        <f>BG112+BG113-BG115</f>
        <v>0</v>
      </c>
      <c r="BH116" s="902">
        <f>BH115</f>
        <v>0</v>
      </c>
      <c r="BI116" s="902">
        <f>BH116*BG116</f>
        <v>0</v>
      </c>
      <c r="BJ116" s="1840"/>
      <c r="BK116" s="1841"/>
      <c r="BL116" s="1842"/>
      <c r="BM116" s="1843"/>
      <c r="BN116" s="1843"/>
      <c r="BO116" s="906">
        <f>BO112+BO113-BO115</f>
        <v>0</v>
      </c>
      <c r="BP116" s="29">
        <f>BP115</f>
        <v>0</v>
      </c>
      <c r="BQ116" s="29">
        <f>BP116*BO116</f>
        <v>0</v>
      </c>
      <c r="BR116" s="1836"/>
      <c r="BS116" s="1837"/>
      <c r="BT116" s="1838"/>
      <c r="BU116" s="1839"/>
      <c r="BV116" s="1839"/>
      <c r="BW116" s="907">
        <f>BW112+BW113-BW115</f>
        <v>0</v>
      </c>
      <c r="BX116" s="902">
        <f>BX115</f>
        <v>0</v>
      </c>
      <c r="BY116" s="902">
        <f>BX116*BW116</f>
        <v>0</v>
      </c>
      <c r="BZ116" s="1840"/>
      <c r="CA116" s="1841"/>
      <c r="CB116" s="1842"/>
      <c r="CC116" s="1843"/>
      <c r="CD116" s="1843"/>
      <c r="CE116" s="906">
        <f>CE112+CE113-CE115</f>
        <v>0</v>
      </c>
      <c r="CF116" s="29">
        <f>CF115</f>
        <v>0</v>
      </c>
      <c r="CG116" s="29">
        <f>CF116*CE116</f>
        <v>0</v>
      </c>
      <c r="CH116" s="1836"/>
      <c r="CI116" s="1837"/>
      <c r="CJ116" s="1838"/>
      <c r="CK116" s="1839"/>
      <c r="CL116" s="1839"/>
      <c r="CM116" s="907">
        <f>CM112+CM113-CM115</f>
        <v>0</v>
      </c>
      <c r="CN116" s="902">
        <f>CN115</f>
        <v>0</v>
      </c>
      <c r="CO116" s="902">
        <f>CN116*CM116</f>
        <v>0</v>
      </c>
      <c r="CP116" s="1840"/>
      <c r="CQ116" s="1841"/>
      <c r="CR116" s="1842"/>
      <c r="CS116" s="1843"/>
      <c r="CT116" s="1843"/>
      <c r="CU116" s="1844"/>
      <c r="CV116" s="1844"/>
      <c r="CW116" s="1845"/>
      <c r="CX116" s="1844"/>
      <c r="CY116" s="1845"/>
      <c r="CZ116" s="1845"/>
      <c r="DA116" s="1845"/>
      <c r="DB116" s="912"/>
    </row>
    <row r="117" spans="1:106" x14ac:dyDescent="0.3">
      <c r="A117" s="1835" t="str">
        <f>A49</f>
        <v>JULIOL</v>
      </c>
      <c r="B117" s="108" t="s">
        <v>255</v>
      </c>
      <c r="C117" s="906">
        <f>C116</f>
        <v>0</v>
      </c>
      <c r="D117" s="29">
        <f>D116</f>
        <v>0</v>
      </c>
      <c r="E117" s="29">
        <f>C117*D117</f>
        <v>0</v>
      </c>
      <c r="F117" s="1836">
        <f>E118*$I$3</f>
        <v>0</v>
      </c>
      <c r="G117" s="1837">
        <f>G112</f>
        <v>0</v>
      </c>
      <c r="H117" s="1838">
        <f>H112</f>
        <v>0</v>
      </c>
      <c r="I117" s="1839">
        <f>E120/(1-G117)</f>
        <v>0</v>
      </c>
      <c r="J117" s="1839">
        <f>I117*$F$3</f>
        <v>0</v>
      </c>
      <c r="K117" s="907">
        <f>K116</f>
        <v>0</v>
      </c>
      <c r="L117" s="902">
        <f>L116</f>
        <v>0</v>
      </c>
      <c r="M117" s="902">
        <f>K117*L117</f>
        <v>0</v>
      </c>
      <c r="N117" s="1840">
        <f>M118*$I$4</f>
        <v>0</v>
      </c>
      <c r="O117" s="1841">
        <f>O112</f>
        <v>0</v>
      </c>
      <c r="P117" s="1842">
        <f>P112</f>
        <v>0</v>
      </c>
      <c r="Q117" s="1843">
        <f>M120/(1-O117)</f>
        <v>0</v>
      </c>
      <c r="R117" s="1843">
        <f>Q117*$F$4</f>
        <v>0</v>
      </c>
      <c r="S117" s="906">
        <f>S116</f>
        <v>0</v>
      </c>
      <c r="T117" s="29">
        <f>T116</f>
        <v>0</v>
      </c>
      <c r="U117" s="29">
        <f>S117*T117</f>
        <v>0</v>
      </c>
      <c r="V117" s="1836">
        <f>U118*$I$5</f>
        <v>0</v>
      </c>
      <c r="W117" s="1837">
        <f>W112</f>
        <v>0</v>
      </c>
      <c r="X117" s="1838">
        <f>X112</f>
        <v>0</v>
      </c>
      <c r="Y117" s="1839">
        <f>U120/(1-W117)</f>
        <v>0</v>
      </c>
      <c r="Z117" s="1839">
        <f>Y117*$F$5</f>
        <v>0</v>
      </c>
      <c r="AA117" s="907">
        <f>AA116</f>
        <v>0</v>
      </c>
      <c r="AB117" s="902">
        <f>AB116</f>
        <v>0</v>
      </c>
      <c r="AC117" s="902">
        <f>AA117*AB117</f>
        <v>0</v>
      </c>
      <c r="AD117" s="1840">
        <f>AC118*$I$6</f>
        <v>0</v>
      </c>
      <c r="AE117" s="1841">
        <f>AE112</f>
        <v>0</v>
      </c>
      <c r="AF117" s="1842">
        <f>AF112</f>
        <v>0</v>
      </c>
      <c r="AG117" s="1843">
        <f>AC120/(1-AE117)</f>
        <v>0</v>
      </c>
      <c r="AH117" s="1843">
        <f>AG117*$F$6</f>
        <v>0</v>
      </c>
      <c r="AI117" s="906">
        <f>AI116</f>
        <v>0</v>
      </c>
      <c r="AJ117" s="29">
        <f>AJ116</f>
        <v>0</v>
      </c>
      <c r="AK117" s="29">
        <f>AI117*AJ117</f>
        <v>0</v>
      </c>
      <c r="AL117" s="1836">
        <f>AK118*$I$7</f>
        <v>0</v>
      </c>
      <c r="AM117" s="1837">
        <f>AM112</f>
        <v>0</v>
      </c>
      <c r="AN117" s="1838">
        <f>AN112</f>
        <v>0</v>
      </c>
      <c r="AO117" s="1839">
        <f>AK120/(1-AM117)</f>
        <v>0</v>
      </c>
      <c r="AP117" s="1839">
        <f>AO117*$F$7</f>
        <v>0</v>
      </c>
      <c r="AQ117" s="907">
        <f>AQ116</f>
        <v>0</v>
      </c>
      <c r="AR117" s="902">
        <f>AR116</f>
        <v>0</v>
      </c>
      <c r="AS117" s="902">
        <f>AQ117*AR117</f>
        <v>0</v>
      </c>
      <c r="AT117" s="1840">
        <f>AS118*$I$8</f>
        <v>0</v>
      </c>
      <c r="AU117" s="1841">
        <f>AU112</f>
        <v>0</v>
      </c>
      <c r="AV117" s="1842">
        <f>AV112</f>
        <v>0</v>
      </c>
      <c r="AW117" s="1843">
        <f>AS120/(1-AU117)</f>
        <v>0</v>
      </c>
      <c r="AX117" s="1843">
        <f>AW117*$F$8</f>
        <v>0</v>
      </c>
      <c r="AY117" s="906">
        <f>AY116</f>
        <v>0</v>
      </c>
      <c r="AZ117" s="29">
        <f>AZ116</f>
        <v>0</v>
      </c>
      <c r="BA117" s="29">
        <f>AY117*AZ117</f>
        <v>0</v>
      </c>
      <c r="BB117" s="1836">
        <f>BA118*$I$9</f>
        <v>0</v>
      </c>
      <c r="BC117" s="1837">
        <f>BC112</f>
        <v>0</v>
      </c>
      <c r="BD117" s="1838">
        <f>BD112</f>
        <v>0</v>
      </c>
      <c r="BE117" s="1839">
        <f>BA120/(1-BC117)</f>
        <v>0</v>
      </c>
      <c r="BF117" s="1839">
        <f>BE117*$F$9</f>
        <v>0</v>
      </c>
      <c r="BG117" s="907">
        <f>BG116</f>
        <v>0</v>
      </c>
      <c r="BH117" s="902">
        <f>BH116</f>
        <v>0</v>
      </c>
      <c r="BI117" s="902">
        <f>BG117*BH117</f>
        <v>0</v>
      </c>
      <c r="BJ117" s="1840">
        <f>BI118*$I$10</f>
        <v>0</v>
      </c>
      <c r="BK117" s="1841">
        <f>BK112</f>
        <v>0</v>
      </c>
      <c r="BL117" s="1842">
        <f>BL112</f>
        <v>0</v>
      </c>
      <c r="BM117" s="1843">
        <f>BI120/(1-BK117)</f>
        <v>0</v>
      </c>
      <c r="BN117" s="1843">
        <f>BM117*$F$10</f>
        <v>0</v>
      </c>
      <c r="BO117" s="906">
        <f>BO116</f>
        <v>0</v>
      </c>
      <c r="BP117" s="29">
        <f>BP116</f>
        <v>0</v>
      </c>
      <c r="BQ117" s="29">
        <f>BO117*BP117</f>
        <v>0</v>
      </c>
      <c r="BR117" s="1836">
        <f>BQ118*$I$11</f>
        <v>0</v>
      </c>
      <c r="BS117" s="1837">
        <f>BS112</f>
        <v>0</v>
      </c>
      <c r="BT117" s="1838">
        <f>BT112</f>
        <v>0</v>
      </c>
      <c r="BU117" s="1839">
        <f>BQ120/(1-BS117)</f>
        <v>0</v>
      </c>
      <c r="BV117" s="1839">
        <f>BU117*$F$11</f>
        <v>0</v>
      </c>
      <c r="BW117" s="907">
        <f>BW116</f>
        <v>0</v>
      </c>
      <c r="BX117" s="902">
        <f>BX116</f>
        <v>0</v>
      </c>
      <c r="BY117" s="902">
        <f>BW117*BX117</f>
        <v>0</v>
      </c>
      <c r="BZ117" s="1840">
        <f>BY118*$I$12</f>
        <v>0</v>
      </c>
      <c r="CA117" s="1841">
        <f>CA112</f>
        <v>0</v>
      </c>
      <c r="CB117" s="1842">
        <f>CB112</f>
        <v>0</v>
      </c>
      <c r="CC117" s="1843">
        <f>BY120/(1-CA117)</f>
        <v>0</v>
      </c>
      <c r="CD117" s="1843">
        <f>CC117*$F$12</f>
        <v>0</v>
      </c>
      <c r="CE117" s="906">
        <f>CE116</f>
        <v>0</v>
      </c>
      <c r="CF117" s="29">
        <f>CF116</f>
        <v>0</v>
      </c>
      <c r="CG117" s="29">
        <f>CE117*CF117</f>
        <v>0</v>
      </c>
      <c r="CH117" s="1836">
        <f>CG118*$I$13</f>
        <v>0</v>
      </c>
      <c r="CI117" s="1837">
        <f>CI112</f>
        <v>0</v>
      </c>
      <c r="CJ117" s="1838">
        <f>CJ112</f>
        <v>0</v>
      </c>
      <c r="CK117" s="1839">
        <f>CG120/(1-CI117)</f>
        <v>0</v>
      </c>
      <c r="CL117" s="1839">
        <f>CK117*$F$13</f>
        <v>0</v>
      </c>
      <c r="CM117" s="907">
        <f>CM116</f>
        <v>0</v>
      </c>
      <c r="CN117" s="902">
        <f>CN116</f>
        <v>0</v>
      </c>
      <c r="CO117" s="902">
        <f>CM117*CN117</f>
        <v>0</v>
      </c>
      <c r="CP117" s="1840">
        <f>CO118*$I$14</f>
        <v>0</v>
      </c>
      <c r="CQ117" s="1841">
        <f>CQ112</f>
        <v>0</v>
      </c>
      <c r="CR117" s="1842">
        <f>CR112</f>
        <v>0</v>
      </c>
      <c r="CS117" s="1843">
        <f>CO120/(1-CQ117)</f>
        <v>0</v>
      </c>
      <c r="CT117" s="1843">
        <f>CS117*$F$14</f>
        <v>0</v>
      </c>
      <c r="CU117" s="1844">
        <f>E118+M118+U118+AC118+AK118+AS118+BA118+BI118+BQ118+BY118+CG118+CO118</f>
        <v>0</v>
      </c>
      <c r="CV117" s="1844">
        <f>CP117+CH117+BZ117+BR117+BJ117+BB117+AT117+AL117+AD117+V117+N117+F117</f>
        <v>0</v>
      </c>
      <c r="CW117" s="1845">
        <f>I117+Q117+Y117+AG117+AO117+AW117+BE117+BM117+BU117+CC117+CK117+CS117</f>
        <v>0</v>
      </c>
      <c r="CX117" s="1844">
        <f>CT117+CL117+CD117+BV117+BN117+BF117+AX117+AP117+AH117+Z117+R117+J117</f>
        <v>0</v>
      </c>
      <c r="CY117" s="1845">
        <f>CZ112</f>
        <v>0</v>
      </c>
      <c r="CZ117" s="1845">
        <f>E121+M121+U121+AC121+AK121+AS121+BA121+BI121+BQ121+BY121+CG121+CO121</f>
        <v>0</v>
      </c>
      <c r="DA117" s="1845">
        <f>CZ117-CY117</f>
        <v>0</v>
      </c>
      <c r="DB117" s="914"/>
    </row>
    <row r="118" spans="1:106" x14ac:dyDescent="0.3">
      <c r="A118" s="1835"/>
      <c r="B118" s="108" t="s">
        <v>310</v>
      </c>
      <c r="C118" s="898">
        <f>C113</f>
        <v>0</v>
      </c>
      <c r="D118" s="899">
        <f>D113</f>
        <v>0</v>
      </c>
      <c r="E118" s="29">
        <f>C118*D118</f>
        <v>0</v>
      </c>
      <c r="F118" s="1836"/>
      <c r="G118" s="1837"/>
      <c r="H118" s="1838"/>
      <c r="I118" s="1839"/>
      <c r="J118" s="1839"/>
      <c r="K118" s="900">
        <f>K113</f>
        <v>0</v>
      </c>
      <c r="L118" s="901">
        <f>L113</f>
        <v>0</v>
      </c>
      <c r="M118" s="902">
        <f>K118*L118</f>
        <v>0</v>
      </c>
      <c r="N118" s="1840"/>
      <c r="O118" s="1841"/>
      <c r="P118" s="1842"/>
      <c r="Q118" s="1843"/>
      <c r="R118" s="1843"/>
      <c r="S118" s="898">
        <f>S113</f>
        <v>0</v>
      </c>
      <c r="T118" s="899">
        <f>T113</f>
        <v>0</v>
      </c>
      <c r="U118" s="29">
        <f>S118*T118</f>
        <v>0</v>
      </c>
      <c r="V118" s="1836"/>
      <c r="W118" s="1837"/>
      <c r="X118" s="1838"/>
      <c r="Y118" s="1839"/>
      <c r="Z118" s="1839"/>
      <c r="AA118" s="900">
        <f>AA113</f>
        <v>0</v>
      </c>
      <c r="AB118" s="901">
        <f>AB113</f>
        <v>0</v>
      </c>
      <c r="AC118" s="902">
        <f>AA118*AB118</f>
        <v>0</v>
      </c>
      <c r="AD118" s="1840"/>
      <c r="AE118" s="1841"/>
      <c r="AF118" s="1842"/>
      <c r="AG118" s="1843"/>
      <c r="AH118" s="1843"/>
      <c r="AI118" s="898">
        <f>AI113</f>
        <v>0</v>
      </c>
      <c r="AJ118" s="899">
        <f>AJ113</f>
        <v>0</v>
      </c>
      <c r="AK118" s="29">
        <f>AI118*AJ118</f>
        <v>0</v>
      </c>
      <c r="AL118" s="1836"/>
      <c r="AM118" s="1837"/>
      <c r="AN118" s="1838"/>
      <c r="AO118" s="1839"/>
      <c r="AP118" s="1839"/>
      <c r="AQ118" s="900">
        <f>AQ113</f>
        <v>0</v>
      </c>
      <c r="AR118" s="901">
        <f>AR113</f>
        <v>0</v>
      </c>
      <c r="AS118" s="902">
        <f>AQ118*AR118</f>
        <v>0</v>
      </c>
      <c r="AT118" s="1840"/>
      <c r="AU118" s="1841"/>
      <c r="AV118" s="1842"/>
      <c r="AW118" s="1843"/>
      <c r="AX118" s="1843"/>
      <c r="AY118" s="898">
        <f>AY113</f>
        <v>0</v>
      </c>
      <c r="AZ118" s="899">
        <f>AZ113</f>
        <v>0</v>
      </c>
      <c r="BA118" s="29">
        <f>AY118*AZ118</f>
        <v>0</v>
      </c>
      <c r="BB118" s="1836"/>
      <c r="BC118" s="1837"/>
      <c r="BD118" s="1838"/>
      <c r="BE118" s="1839"/>
      <c r="BF118" s="1839"/>
      <c r="BG118" s="900">
        <f>BG113</f>
        <v>0</v>
      </c>
      <c r="BH118" s="901">
        <f>BH113</f>
        <v>0</v>
      </c>
      <c r="BI118" s="902">
        <f>BG118*BH118</f>
        <v>0</v>
      </c>
      <c r="BJ118" s="1840"/>
      <c r="BK118" s="1841"/>
      <c r="BL118" s="1842"/>
      <c r="BM118" s="1843"/>
      <c r="BN118" s="1843"/>
      <c r="BO118" s="898">
        <f>BO113</f>
        <v>0</v>
      </c>
      <c r="BP118" s="899">
        <f>BP113</f>
        <v>0</v>
      </c>
      <c r="BQ118" s="29">
        <f>BO118*BP118</f>
        <v>0</v>
      </c>
      <c r="BR118" s="1836"/>
      <c r="BS118" s="1837"/>
      <c r="BT118" s="1838"/>
      <c r="BU118" s="1839"/>
      <c r="BV118" s="1839"/>
      <c r="BW118" s="900">
        <f>BW113</f>
        <v>0</v>
      </c>
      <c r="BX118" s="901">
        <f>BX113</f>
        <v>0</v>
      </c>
      <c r="BY118" s="902">
        <f>BW118*BX118</f>
        <v>0</v>
      </c>
      <c r="BZ118" s="1840"/>
      <c r="CA118" s="1841"/>
      <c r="CB118" s="1842"/>
      <c r="CC118" s="1843"/>
      <c r="CD118" s="1843"/>
      <c r="CE118" s="898">
        <f>CE113</f>
        <v>0</v>
      </c>
      <c r="CF118" s="899">
        <f>CF113</f>
        <v>0</v>
      </c>
      <c r="CG118" s="29">
        <f>CE118*CF118</f>
        <v>0</v>
      </c>
      <c r="CH118" s="1836"/>
      <c r="CI118" s="1837"/>
      <c r="CJ118" s="1838"/>
      <c r="CK118" s="1839"/>
      <c r="CL118" s="1839"/>
      <c r="CM118" s="900">
        <f>CM113</f>
        <v>0</v>
      </c>
      <c r="CN118" s="901">
        <f>CN113</f>
        <v>0</v>
      </c>
      <c r="CO118" s="902">
        <f>CM118*CN118</f>
        <v>0</v>
      </c>
      <c r="CP118" s="1840"/>
      <c r="CQ118" s="1841"/>
      <c r="CR118" s="1842"/>
      <c r="CS118" s="1843"/>
      <c r="CT118" s="1843"/>
      <c r="CU118" s="1844"/>
      <c r="CV118" s="1844"/>
      <c r="CW118" s="1845"/>
      <c r="CX118" s="1844"/>
      <c r="CY118" s="1845"/>
      <c r="CZ118" s="1845"/>
      <c r="DA118" s="1845"/>
      <c r="DB118" s="912"/>
    </row>
    <row r="119" spans="1:106" ht="12.75" hidden="1" customHeight="1" x14ac:dyDescent="0.3">
      <c r="A119" s="1835"/>
      <c r="B119" s="108" t="s">
        <v>315</v>
      </c>
      <c r="C119" s="906">
        <f>C118+C117</f>
        <v>0</v>
      </c>
      <c r="D119" s="29">
        <f>IF(C119=0,0,E119/C119)</f>
        <v>0</v>
      </c>
      <c r="E119" s="29">
        <f>E118+E117</f>
        <v>0</v>
      </c>
      <c r="F119" s="1836"/>
      <c r="G119" s="1837"/>
      <c r="H119" s="1838"/>
      <c r="I119" s="1839"/>
      <c r="J119" s="1839"/>
      <c r="K119" s="907">
        <f>K118+K117</f>
        <v>0</v>
      </c>
      <c r="L119" s="902">
        <f>IF(K119=0,0,M119/K119)</f>
        <v>0</v>
      </c>
      <c r="M119" s="902">
        <f>M118+M117</f>
        <v>0</v>
      </c>
      <c r="N119" s="1840"/>
      <c r="O119" s="1841"/>
      <c r="P119" s="1842"/>
      <c r="Q119" s="1843"/>
      <c r="R119" s="1843"/>
      <c r="S119" s="906">
        <f>S118+S117</f>
        <v>0</v>
      </c>
      <c r="T119" s="29">
        <f>IF(S119=0,0,U119/S119)</f>
        <v>0</v>
      </c>
      <c r="U119" s="29">
        <f>U118+U117</f>
        <v>0</v>
      </c>
      <c r="V119" s="1836"/>
      <c r="W119" s="1837"/>
      <c r="X119" s="1838"/>
      <c r="Y119" s="1839"/>
      <c r="Z119" s="1839"/>
      <c r="AA119" s="907">
        <f>AA118+AA117</f>
        <v>0</v>
      </c>
      <c r="AB119" s="902">
        <f>IF(AA119=0,0,AC119/AA119)</f>
        <v>0</v>
      </c>
      <c r="AC119" s="902">
        <f>AC118+AC117</f>
        <v>0</v>
      </c>
      <c r="AD119" s="1840"/>
      <c r="AE119" s="1841"/>
      <c r="AF119" s="1842"/>
      <c r="AG119" s="1843"/>
      <c r="AH119" s="1843"/>
      <c r="AI119" s="906">
        <f>AI118+AI117</f>
        <v>0</v>
      </c>
      <c r="AJ119" s="29">
        <f>IF(AI119=0,0,AK119/AI119)</f>
        <v>0</v>
      </c>
      <c r="AK119" s="29">
        <f>AK118+AK117</f>
        <v>0</v>
      </c>
      <c r="AL119" s="1836"/>
      <c r="AM119" s="1837"/>
      <c r="AN119" s="1838"/>
      <c r="AO119" s="1839"/>
      <c r="AP119" s="1839"/>
      <c r="AQ119" s="907">
        <f>AQ118+AQ117</f>
        <v>0</v>
      </c>
      <c r="AR119" s="902">
        <f>IF(AQ119=0,0,AS119/AQ119)</f>
        <v>0</v>
      </c>
      <c r="AS119" s="902">
        <f>AS118+AS117</f>
        <v>0</v>
      </c>
      <c r="AT119" s="1840"/>
      <c r="AU119" s="1841"/>
      <c r="AV119" s="1842"/>
      <c r="AW119" s="1843"/>
      <c r="AX119" s="1843"/>
      <c r="AY119" s="906">
        <f>AY118+AY117</f>
        <v>0</v>
      </c>
      <c r="AZ119" s="29">
        <f>IF(AY119=0,0,BA119/AY119)</f>
        <v>0</v>
      </c>
      <c r="BA119" s="29">
        <f>BA118+BA117</f>
        <v>0</v>
      </c>
      <c r="BB119" s="1836"/>
      <c r="BC119" s="1837"/>
      <c r="BD119" s="1838"/>
      <c r="BE119" s="1839"/>
      <c r="BF119" s="1839"/>
      <c r="BG119" s="907">
        <f>BG118+BG117</f>
        <v>0</v>
      </c>
      <c r="BH119" s="902">
        <f>IF(BG119=0,0,BI119/BG119)</f>
        <v>0</v>
      </c>
      <c r="BI119" s="902">
        <f>BI118+BI117</f>
        <v>0</v>
      </c>
      <c r="BJ119" s="1840"/>
      <c r="BK119" s="1841"/>
      <c r="BL119" s="1842"/>
      <c r="BM119" s="1843"/>
      <c r="BN119" s="1843"/>
      <c r="BO119" s="906">
        <f>BO118+BO117</f>
        <v>0</v>
      </c>
      <c r="BP119" s="29">
        <f>IF(BO119=0,0,BQ119/BO119)</f>
        <v>0</v>
      </c>
      <c r="BQ119" s="29">
        <f>BQ118+BQ117</f>
        <v>0</v>
      </c>
      <c r="BR119" s="1836"/>
      <c r="BS119" s="1837"/>
      <c r="BT119" s="1838"/>
      <c r="BU119" s="1839"/>
      <c r="BV119" s="1839"/>
      <c r="BW119" s="907">
        <f>BW118+BW117</f>
        <v>0</v>
      </c>
      <c r="BX119" s="902">
        <f>IF(BW119=0,0,BY119/BW119)</f>
        <v>0</v>
      </c>
      <c r="BY119" s="902">
        <f>BY118+BY117</f>
        <v>0</v>
      </c>
      <c r="BZ119" s="1840"/>
      <c r="CA119" s="1841"/>
      <c r="CB119" s="1842"/>
      <c r="CC119" s="1843"/>
      <c r="CD119" s="1843"/>
      <c r="CE119" s="906">
        <f>CE118+CE117</f>
        <v>0</v>
      </c>
      <c r="CF119" s="29">
        <f>IF(CE119=0,0,CG119/CE119)</f>
        <v>0</v>
      </c>
      <c r="CG119" s="29">
        <f>CG118+CG117</f>
        <v>0</v>
      </c>
      <c r="CH119" s="1836"/>
      <c r="CI119" s="1837"/>
      <c r="CJ119" s="1838"/>
      <c r="CK119" s="1839"/>
      <c r="CL119" s="1839"/>
      <c r="CM119" s="907">
        <f>CM118+CM117</f>
        <v>0</v>
      </c>
      <c r="CN119" s="902">
        <f>IF(CM119=0,0,CO119/CM119)</f>
        <v>0</v>
      </c>
      <c r="CO119" s="902">
        <f>CO118+CO117</f>
        <v>0</v>
      </c>
      <c r="CP119" s="1840"/>
      <c r="CQ119" s="1841"/>
      <c r="CR119" s="1842"/>
      <c r="CS119" s="1843"/>
      <c r="CT119" s="1843"/>
      <c r="CU119" s="1844"/>
      <c r="CV119" s="1844"/>
      <c r="CW119" s="1845"/>
      <c r="CX119" s="1844"/>
      <c r="CY119" s="1845"/>
      <c r="CZ119" s="1845"/>
      <c r="DA119" s="1845"/>
      <c r="DB119" s="912"/>
    </row>
    <row r="120" spans="1:106" x14ac:dyDescent="0.3">
      <c r="A120" s="1835"/>
      <c r="B120" s="108" t="s">
        <v>312</v>
      </c>
      <c r="C120" s="906">
        <f>H117*C119</f>
        <v>0</v>
      </c>
      <c r="D120" s="29">
        <f>D119</f>
        <v>0</v>
      </c>
      <c r="E120" s="29">
        <f>C120*D120</f>
        <v>0</v>
      </c>
      <c r="F120" s="1836"/>
      <c r="G120" s="1837"/>
      <c r="H120" s="1838"/>
      <c r="I120" s="1839"/>
      <c r="J120" s="1839"/>
      <c r="K120" s="907">
        <f>P117*K119</f>
        <v>0</v>
      </c>
      <c r="L120" s="902">
        <f>L119</f>
        <v>0</v>
      </c>
      <c r="M120" s="902">
        <f>K120*L120</f>
        <v>0</v>
      </c>
      <c r="N120" s="1840"/>
      <c r="O120" s="1841"/>
      <c r="P120" s="1842"/>
      <c r="Q120" s="1843"/>
      <c r="R120" s="1843"/>
      <c r="S120" s="906">
        <f>X117*S119</f>
        <v>0</v>
      </c>
      <c r="T120" s="29">
        <f>T119</f>
        <v>0</v>
      </c>
      <c r="U120" s="29">
        <f>S120*T120</f>
        <v>0</v>
      </c>
      <c r="V120" s="1836"/>
      <c r="W120" s="1837"/>
      <c r="X120" s="1838"/>
      <c r="Y120" s="1839"/>
      <c r="Z120" s="1839"/>
      <c r="AA120" s="907">
        <f>AF117*AA119</f>
        <v>0</v>
      </c>
      <c r="AB120" s="902">
        <f>AB119</f>
        <v>0</v>
      </c>
      <c r="AC120" s="902">
        <f>AA120*AB120</f>
        <v>0</v>
      </c>
      <c r="AD120" s="1840"/>
      <c r="AE120" s="1841"/>
      <c r="AF120" s="1842"/>
      <c r="AG120" s="1843"/>
      <c r="AH120" s="1843"/>
      <c r="AI120" s="906">
        <f>AN117*AI119</f>
        <v>0</v>
      </c>
      <c r="AJ120" s="29">
        <f>AJ119</f>
        <v>0</v>
      </c>
      <c r="AK120" s="29">
        <f>AI120*AJ120</f>
        <v>0</v>
      </c>
      <c r="AL120" s="1836"/>
      <c r="AM120" s="1837"/>
      <c r="AN120" s="1838"/>
      <c r="AO120" s="1839"/>
      <c r="AP120" s="1839"/>
      <c r="AQ120" s="907">
        <f>AV117*AQ119</f>
        <v>0</v>
      </c>
      <c r="AR120" s="902">
        <f>AR119</f>
        <v>0</v>
      </c>
      <c r="AS120" s="902">
        <f>AQ120*AR120</f>
        <v>0</v>
      </c>
      <c r="AT120" s="1840"/>
      <c r="AU120" s="1841"/>
      <c r="AV120" s="1842"/>
      <c r="AW120" s="1843"/>
      <c r="AX120" s="1843"/>
      <c r="AY120" s="906">
        <f>BD117*AY119</f>
        <v>0</v>
      </c>
      <c r="AZ120" s="29">
        <f>AZ119</f>
        <v>0</v>
      </c>
      <c r="BA120" s="29">
        <f>AY120*AZ120</f>
        <v>0</v>
      </c>
      <c r="BB120" s="1836"/>
      <c r="BC120" s="1837"/>
      <c r="BD120" s="1838"/>
      <c r="BE120" s="1839"/>
      <c r="BF120" s="1839"/>
      <c r="BG120" s="907">
        <f>BL117*BG119</f>
        <v>0</v>
      </c>
      <c r="BH120" s="902">
        <f>BH119</f>
        <v>0</v>
      </c>
      <c r="BI120" s="902">
        <f>BG120*BH120</f>
        <v>0</v>
      </c>
      <c r="BJ120" s="1840"/>
      <c r="BK120" s="1841"/>
      <c r="BL120" s="1842"/>
      <c r="BM120" s="1843"/>
      <c r="BN120" s="1843"/>
      <c r="BO120" s="906">
        <f>BT117*BO119</f>
        <v>0</v>
      </c>
      <c r="BP120" s="29">
        <f>BP119</f>
        <v>0</v>
      </c>
      <c r="BQ120" s="29">
        <f>BO120*BP120</f>
        <v>0</v>
      </c>
      <c r="BR120" s="1836"/>
      <c r="BS120" s="1837"/>
      <c r="BT120" s="1838"/>
      <c r="BU120" s="1839"/>
      <c r="BV120" s="1839"/>
      <c r="BW120" s="907">
        <f>CB117*BW119</f>
        <v>0</v>
      </c>
      <c r="BX120" s="902">
        <f>BX119</f>
        <v>0</v>
      </c>
      <c r="BY120" s="902">
        <f>BW120*BX120</f>
        <v>0</v>
      </c>
      <c r="BZ120" s="1840"/>
      <c r="CA120" s="1841"/>
      <c r="CB120" s="1842"/>
      <c r="CC120" s="1843"/>
      <c r="CD120" s="1843"/>
      <c r="CE120" s="906">
        <f>CJ117*CE119</f>
        <v>0</v>
      </c>
      <c r="CF120" s="29">
        <f>CF119</f>
        <v>0</v>
      </c>
      <c r="CG120" s="29">
        <f>CE120*CF120</f>
        <v>0</v>
      </c>
      <c r="CH120" s="1836"/>
      <c r="CI120" s="1837"/>
      <c r="CJ120" s="1838"/>
      <c r="CK120" s="1839"/>
      <c r="CL120" s="1839"/>
      <c r="CM120" s="907">
        <f>CR117*CM119</f>
        <v>0</v>
      </c>
      <c r="CN120" s="902">
        <f>CN119</f>
        <v>0</v>
      </c>
      <c r="CO120" s="902">
        <f>CM120*CN120</f>
        <v>0</v>
      </c>
      <c r="CP120" s="1840"/>
      <c r="CQ120" s="1841"/>
      <c r="CR120" s="1842"/>
      <c r="CS120" s="1843"/>
      <c r="CT120" s="1843"/>
      <c r="CU120" s="1844"/>
      <c r="CV120" s="1844"/>
      <c r="CW120" s="1845"/>
      <c r="CX120" s="1844"/>
      <c r="CY120" s="1845"/>
      <c r="CZ120" s="1845"/>
      <c r="DA120" s="1845"/>
      <c r="DB120" s="912"/>
    </row>
    <row r="121" spans="1:106" x14ac:dyDescent="0.3">
      <c r="A121" s="1835"/>
      <c r="B121" s="108" t="s">
        <v>254</v>
      </c>
      <c r="C121" s="906">
        <f>C117+C118-C120</f>
        <v>0</v>
      </c>
      <c r="D121" s="29">
        <f>D120</f>
        <v>0</v>
      </c>
      <c r="E121" s="29">
        <f>D121*C121</f>
        <v>0</v>
      </c>
      <c r="F121" s="1836"/>
      <c r="G121" s="1837"/>
      <c r="H121" s="1838"/>
      <c r="I121" s="1839"/>
      <c r="J121" s="1839"/>
      <c r="K121" s="907">
        <f>K117+K118-K120</f>
        <v>0</v>
      </c>
      <c r="L121" s="902">
        <f>L120</f>
        <v>0</v>
      </c>
      <c r="M121" s="902">
        <f>L121*K121</f>
        <v>0</v>
      </c>
      <c r="N121" s="1840"/>
      <c r="O121" s="1841"/>
      <c r="P121" s="1842"/>
      <c r="Q121" s="1843"/>
      <c r="R121" s="1843"/>
      <c r="S121" s="906">
        <f>S117+S118-S120</f>
        <v>0</v>
      </c>
      <c r="T121" s="29">
        <f>T120</f>
        <v>0</v>
      </c>
      <c r="U121" s="29">
        <f>T121*S121</f>
        <v>0</v>
      </c>
      <c r="V121" s="1836"/>
      <c r="W121" s="1837"/>
      <c r="X121" s="1838"/>
      <c r="Y121" s="1839"/>
      <c r="Z121" s="1839"/>
      <c r="AA121" s="907">
        <f>AA117+AA118-AA120</f>
        <v>0</v>
      </c>
      <c r="AB121" s="902">
        <f>AB120</f>
        <v>0</v>
      </c>
      <c r="AC121" s="902">
        <f>AB121*AA121</f>
        <v>0</v>
      </c>
      <c r="AD121" s="1840"/>
      <c r="AE121" s="1841"/>
      <c r="AF121" s="1842"/>
      <c r="AG121" s="1843"/>
      <c r="AH121" s="1843"/>
      <c r="AI121" s="906">
        <f>AI117+AI118-AI120</f>
        <v>0</v>
      </c>
      <c r="AJ121" s="29">
        <f>AJ120</f>
        <v>0</v>
      </c>
      <c r="AK121" s="29">
        <f>AJ121*AI121</f>
        <v>0</v>
      </c>
      <c r="AL121" s="1836"/>
      <c r="AM121" s="1837"/>
      <c r="AN121" s="1838"/>
      <c r="AO121" s="1839"/>
      <c r="AP121" s="1839"/>
      <c r="AQ121" s="907">
        <f>AQ117+AQ118-AQ120</f>
        <v>0</v>
      </c>
      <c r="AR121" s="902">
        <f>AR120</f>
        <v>0</v>
      </c>
      <c r="AS121" s="902">
        <f>AR121*AQ121</f>
        <v>0</v>
      </c>
      <c r="AT121" s="1840"/>
      <c r="AU121" s="1841"/>
      <c r="AV121" s="1842"/>
      <c r="AW121" s="1843"/>
      <c r="AX121" s="1843"/>
      <c r="AY121" s="906">
        <f>AY117+AY118-AY120</f>
        <v>0</v>
      </c>
      <c r="AZ121" s="29">
        <f>AZ120</f>
        <v>0</v>
      </c>
      <c r="BA121" s="29">
        <f>AZ121*AY121</f>
        <v>0</v>
      </c>
      <c r="BB121" s="1836"/>
      <c r="BC121" s="1837"/>
      <c r="BD121" s="1838"/>
      <c r="BE121" s="1839"/>
      <c r="BF121" s="1839"/>
      <c r="BG121" s="907">
        <f>BG117+BG118-BG120</f>
        <v>0</v>
      </c>
      <c r="BH121" s="902">
        <f>BH120</f>
        <v>0</v>
      </c>
      <c r="BI121" s="902">
        <f>BH121*BG121</f>
        <v>0</v>
      </c>
      <c r="BJ121" s="1840"/>
      <c r="BK121" s="1841"/>
      <c r="BL121" s="1842"/>
      <c r="BM121" s="1843"/>
      <c r="BN121" s="1843"/>
      <c r="BO121" s="906">
        <f>BO117+BO118-BO120</f>
        <v>0</v>
      </c>
      <c r="BP121" s="29">
        <f>BP120</f>
        <v>0</v>
      </c>
      <c r="BQ121" s="29">
        <f>BP121*BO121</f>
        <v>0</v>
      </c>
      <c r="BR121" s="1836"/>
      <c r="BS121" s="1837"/>
      <c r="BT121" s="1838"/>
      <c r="BU121" s="1839"/>
      <c r="BV121" s="1839"/>
      <c r="BW121" s="907">
        <f>BW117+BW118-BW120</f>
        <v>0</v>
      </c>
      <c r="BX121" s="902">
        <f>BX120</f>
        <v>0</v>
      </c>
      <c r="BY121" s="902">
        <f>BX121*BW121</f>
        <v>0</v>
      </c>
      <c r="BZ121" s="1840"/>
      <c r="CA121" s="1841"/>
      <c r="CB121" s="1842"/>
      <c r="CC121" s="1843"/>
      <c r="CD121" s="1843"/>
      <c r="CE121" s="906">
        <f>CE117+CE118-CE120</f>
        <v>0</v>
      </c>
      <c r="CF121" s="29">
        <f>CF120</f>
        <v>0</v>
      </c>
      <c r="CG121" s="29">
        <f>CF121*CE121</f>
        <v>0</v>
      </c>
      <c r="CH121" s="1836"/>
      <c r="CI121" s="1837"/>
      <c r="CJ121" s="1838"/>
      <c r="CK121" s="1839"/>
      <c r="CL121" s="1839"/>
      <c r="CM121" s="907">
        <f>CM117+CM118-CM120</f>
        <v>0</v>
      </c>
      <c r="CN121" s="902">
        <f>CN120</f>
        <v>0</v>
      </c>
      <c r="CO121" s="902">
        <f>CN121*CM121</f>
        <v>0</v>
      </c>
      <c r="CP121" s="1840"/>
      <c r="CQ121" s="1841"/>
      <c r="CR121" s="1842"/>
      <c r="CS121" s="1843"/>
      <c r="CT121" s="1843"/>
      <c r="CU121" s="1844"/>
      <c r="CV121" s="1844"/>
      <c r="CW121" s="1845"/>
      <c r="CX121" s="1844"/>
      <c r="CY121" s="1845"/>
      <c r="CZ121" s="1845"/>
      <c r="DA121" s="1845"/>
      <c r="DB121" s="912"/>
    </row>
    <row r="122" spans="1:106" x14ac:dyDescent="0.3">
      <c r="A122" s="1835" t="str">
        <f>A54</f>
        <v>AGOST</v>
      </c>
      <c r="B122" s="108" t="s">
        <v>255</v>
      </c>
      <c r="C122" s="906">
        <f>C121</f>
        <v>0</v>
      </c>
      <c r="D122" s="29">
        <f>D121</f>
        <v>0</v>
      </c>
      <c r="E122" s="29">
        <f>C122*D122</f>
        <v>0</v>
      </c>
      <c r="F122" s="1836">
        <f>E123*$I$3</f>
        <v>0</v>
      </c>
      <c r="G122" s="1837">
        <f>G117</f>
        <v>0</v>
      </c>
      <c r="H122" s="1838">
        <f>H117</f>
        <v>0</v>
      </c>
      <c r="I122" s="1839">
        <f>E125/(1-G122)</f>
        <v>0</v>
      </c>
      <c r="J122" s="1839">
        <f>I122*$F$3</f>
        <v>0</v>
      </c>
      <c r="K122" s="907">
        <f>K121</f>
        <v>0</v>
      </c>
      <c r="L122" s="902">
        <f>L121</f>
        <v>0</v>
      </c>
      <c r="M122" s="902">
        <f>K122*L122</f>
        <v>0</v>
      </c>
      <c r="N122" s="1840">
        <f>M123*$I$4</f>
        <v>0</v>
      </c>
      <c r="O122" s="1841">
        <f>O117</f>
        <v>0</v>
      </c>
      <c r="P122" s="1842">
        <f>P117</f>
        <v>0</v>
      </c>
      <c r="Q122" s="1843">
        <f>M125/(1-O122)</f>
        <v>0</v>
      </c>
      <c r="R122" s="1843">
        <f>Q122*$F$4</f>
        <v>0</v>
      </c>
      <c r="S122" s="906">
        <f>S121</f>
        <v>0</v>
      </c>
      <c r="T122" s="29">
        <f>T121</f>
        <v>0</v>
      </c>
      <c r="U122" s="29">
        <f>S122*T122</f>
        <v>0</v>
      </c>
      <c r="V122" s="1836">
        <f>U123*$I$5</f>
        <v>0</v>
      </c>
      <c r="W122" s="1837">
        <f>W117</f>
        <v>0</v>
      </c>
      <c r="X122" s="1838">
        <f>X117</f>
        <v>0</v>
      </c>
      <c r="Y122" s="1839">
        <f>U125/(1-W122)</f>
        <v>0</v>
      </c>
      <c r="Z122" s="1839">
        <f>Y122*$F$5</f>
        <v>0</v>
      </c>
      <c r="AA122" s="907">
        <f>AA121</f>
        <v>0</v>
      </c>
      <c r="AB122" s="902">
        <f>AB121</f>
        <v>0</v>
      </c>
      <c r="AC122" s="902">
        <f>AA122*AB122</f>
        <v>0</v>
      </c>
      <c r="AD122" s="1840">
        <f>AC123*$I$6</f>
        <v>0</v>
      </c>
      <c r="AE122" s="1841">
        <f>AE117</f>
        <v>0</v>
      </c>
      <c r="AF122" s="1842">
        <f>AF117</f>
        <v>0</v>
      </c>
      <c r="AG122" s="1843">
        <f>AC125/(1-AE122)</f>
        <v>0</v>
      </c>
      <c r="AH122" s="1843">
        <f>AG122*$F$6</f>
        <v>0</v>
      </c>
      <c r="AI122" s="906">
        <f>AI121</f>
        <v>0</v>
      </c>
      <c r="AJ122" s="29">
        <f>AJ121</f>
        <v>0</v>
      </c>
      <c r="AK122" s="29">
        <f>AI122*AJ122</f>
        <v>0</v>
      </c>
      <c r="AL122" s="1836">
        <f>AK123*$I$7</f>
        <v>0</v>
      </c>
      <c r="AM122" s="1837">
        <f>AM117</f>
        <v>0</v>
      </c>
      <c r="AN122" s="1838">
        <f>AN117</f>
        <v>0</v>
      </c>
      <c r="AO122" s="1839">
        <f>AK125/(1-AM122)</f>
        <v>0</v>
      </c>
      <c r="AP122" s="1839">
        <f>AO122*$F$7</f>
        <v>0</v>
      </c>
      <c r="AQ122" s="907">
        <f>AQ121</f>
        <v>0</v>
      </c>
      <c r="AR122" s="902">
        <f>AR121</f>
        <v>0</v>
      </c>
      <c r="AS122" s="902">
        <f>AQ122*AR122</f>
        <v>0</v>
      </c>
      <c r="AT122" s="1840">
        <f>AS123*$I$8</f>
        <v>0</v>
      </c>
      <c r="AU122" s="1841">
        <f>AU117</f>
        <v>0</v>
      </c>
      <c r="AV122" s="1842">
        <f>AV117</f>
        <v>0</v>
      </c>
      <c r="AW122" s="1843">
        <f>AS125/(1-AU122)</f>
        <v>0</v>
      </c>
      <c r="AX122" s="1843">
        <f>AW122*$F$8</f>
        <v>0</v>
      </c>
      <c r="AY122" s="906">
        <f>AY121</f>
        <v>0</v>
      </c>
      <c r="AZ122" s="29">
        <f>AZ121</f>
        <v>0</v>
      </c>
      <c r="BA122" s="29">
        <f>AY122*AZ122</f>
        <v>0</v>
      </c>
      <c r="BB122" s="1836">
        <f>BA123*$I$9</f>
        <v>0</v>
      </c>
      <c r="BC122" s="1837">
        <f>BC117</f>
        <v>0</v>
      </c>
      <c r="BD122" s="1838">
        <f>BD117</f>
        <v>0</v>
      </c>
      <c r="BE122" s="1839">
        <f>BA125/(1-BC122)</f>
        <v>0</v>
      </c>
      <c r="BF122" s="1839">
        <f>BE122*$F$9</f>
        <v>0</v>
      </c>
      <c r="BG122" s="907">
        <f>BG121</f>
        <v>0</v>
      </c>
      <c r="BH122" s="902">
        <f>BH121</f>
        <v>0</v>
      </c>
      <c r="BI122" s="902">
        <f>BG122*BH122</f>
        <v>0</v>
      </c>
      <c r="BJ122" s="1840">
        <f>BI123*$I$10</f>
        <v>0</v>
      </c>
      <c r="BK122" s="1841">
        <f>BK117</f>
        <v>0</v>
      </c>
      <c r="BL122" s="1842">
        <f>BL117</f>
        <v>0</v>
      </c>
      <c r="BM122" s="1843">
        <f>BI125/(1-BK122)</f>
        <v>0</v>
      </c>
      <c r="BN122" s="1843">
        <f>BM122*$F$10</f>
        <v>0</v>
      </c>
      <c r="BO122" s="906">
        <f>BO121</f>
        <v>0</v>
      </c>
      <c r="BP122" s="29">
        <f>BP121</f>
        <v>0</v>
      </c>
      <c r="BQ122" s="29">
        <f>BO122*BP122</f>
        <v>0</v>
      </c>
      <c r="BR122" s="1836">
        <f>BQ123*$I$11</f>
        <v>0</v>
      </c>
      <c r="BS122" s="1837">
        <f>BS117</f>
        <v>0</v>
      </c>
      <c r="BT122" s="1838">
        <f>BT117</f>
        <v>0</v>
      </c>
      <c r="BU122" s="1839">
        <f>BQ125/(1-BS122)</f>
        <v>0</v>
      </c>
      <c r="BV122" s="1839">
        <f>BU122*$F$11</f>
        <v>0</v>
      </c>
      <c r="BW122" s="907">
        <f>BW121</f>
        <v>0</v>
      </c>
      <c r="BX122" s="902">
        <f>BX121</f>
        <v>0</v>
      </c>
      <c r="BY122" s="902">
        <f>BW122*BX122</f>
        <v>0</v>
      </c>
      <c r="BZ122" s="1840">
        <f>BY123*$I$12</f>
        <v>0</v>
      </c>
      <c r="CA122" s="1841">
        <f>CA117</f>
        <v>0</v>
      </c>
      <c r="CB122" s="1842">
        <f>CB117</f>
        <v>0</v>
      </c>
      <c r="CC122" s="1843">
        <f>BY125/(1-CA122)</f>
        <v>0</v>
      </c>
      <c r="CD122" s="1843">
        <f>CC122*$F$12</f>
        <v>0</v>
      </c>
      <c r="CE122" s="906">
        <f>CE121</f>
        <v>0</v>
      </c>
      <c r="CF122" s="29">
        <f>CF121</f>
        <v>0</v>
      </c>
      <c r="CG122" s="29">
        <f>CE122*CF122</f>
        <v>0</v>
      </c>
      <c r="CH122" s="1836">
        <f>CG123*$I$13</f>
        <v>0</v>
      </c>
      <c r="CI122" s="1837">
        <f>CI117</f>
        <v>0</v>
      </c>
      <c r="CJ122" s="1838">
        <f>CJ117</f>
        <v>0</v>
      </c>
      <c r="CK122" s="1839">
        <f>CG125/(1-CI122)</f>
        <v>0</v>
      </c>
      <c r="CL122" s="1839">
        <f>CK122*$F$13</f>
        <v>0</v>
      </c>
      <c r="CM122" s="907">
        <f>CM121</f>
        <v>0</v>
      </c>
      <c r="CN122" s="902">
        <f>CN121</f>
        <v>0</v>
      </c>
      <c r="CO122" s="902">
        <f>CM122*CN122</f>
        <v>0</v>
      </c>
      <c r="CP122" s="1840">
        <f>CO123*$I$14</f>
        <v>0</v>
      </c>
      <c r="CQ122" s="1841">
        <f>CQ117</f>
        <v>0</v>
      </c>
      <c r="CR122" s="1842">
        <f>CR117</f>
        <v>0</v>
      </c>
      <c r="CS122" s="1843">
        <f>CO125/(1-CQ122)</f>
        <v>0</v>
      </c>
      <c r="CT122" s="1843">
        <f>CS122*$F$14</f>
        <v>0</v>
      </c>
      <c r="CU122" s="1844">
        <f>E123+M123+U123+AC123+AK123+AS123+BA123+BI123+BQ123+BY123+CG123+CO123</f>
        <v>0</v>
      </c>
      <c r="CV122" s="1844">
        <f>CP122+CH122+BZ122+BR122+BJ122+BB122+AT122+AL122+AD122+V122+N122+F122</f>
        <v>0</v>
      </c>
      <c r="CW122" s="1845">
        <f>I122+Q122+Y122+AG122+AO122+AW122+BE122+BM122+BU122+CC122+CK122+CS122</f>
        <v>0</v>
      </c>
      <c r="CX122" s="1844">
        <f>CT122+CL122+CD122+BV122+BN122+BF122+AX122+AP122+AH122+Z122+R122+J122</f>
        <v>0</v>
      </c>
      <c r="CY122" s="1845">
        <f>CZ117</f>
        <v>0</v>
      </c>
      <c r="CZ122" s="1845">
        <f>E126+M126+U126+AC126+AK126+AS126+BA126+BI126+BQ126+BY126+CG126+CO126</f>
        <v>0</v>
      </c>
      <c r="DA122" s="1845">
        <f>CZ122-CY122</f>
        <v>0</v>
      </c>
      <c r="DB122" s="914"/>
    </row>
    <row r="123" spans="1:106" x14ac:dyDescent="0.3">
      <c r="A123" s="1835"/>
      <c r="B123" s="108" t="s">
        <v>310</v>
      </c>
      <c r="C123" s="898">
        <f>C118</f>
        <v>0</v>
      </c>
      <c r="D123" s="899">
        <f>D118</f>
        <v>0</v>
      </c>
      <c r="E123" s="29">
        <f>C123*D123</f>
        <v>0</v>
      </c>
      <c r="F123" s="1836"/>
      <c r="G123" s="1837"/>
      <c r="H123" s="1838"/>
      <c r="I123" s="1839"/>
      <c r="J123" s="1839"/>
      <c r="K123" s="900">
        <f>K118</f>
        <v>0</v>
      </c>
      <c r="L123" s="901">
        <f>L118</f>
        <v>0</v>
      </c>
      <c r="M123" s="902">
        <f>K123*L123</f>
        <v>0</v>
      </c>
      <c r="N123" s="1840"/>
      <c r="O123" s="1841"/>
      <c r="P123" s="1842"/>
      <c r="Q123" s="1843"/>
      <c r="R123" s="1843"/>
      <c r="S123" s="898">
        <f>S118</f>
        <v>0</v>
      </c>
      <c r="T123" s="899">
        <f>T118</f>
        <v>0</v>
      </c>
      <c r="U123" s="29">
        <f>S123*T123</f>
        <v>0</v>
      </c>
      <c r="V123" s="1836"/>
      <c r="W123" s="1837"/>
      <c r="X123" s="1838"/>
      <c r="Y123" s="1839"/>
      <c r="Z123" s="1839"/>
      <c r="AA123" s="900">
        <f>AA118</f>
        <v>0</v>
      </c>
      <c r="AB123" s="901">
        <f>AB118</f>
        <v>0</v>
      </c>
      <c r="AC123" s="902">
        <f>AA123*AB123</f>
        <v>0</v>
      </c>
      <c r="AD123" s="1840"/>
      <c r="AE123" s="1841"/>
      <c r="AF123" s="1842"/>
      <c r="AG123" s="1843"/>
      <c r="AH123" s="1843"/>
      <c r="AI123" s="898">
        <f>AI118</f>
        <v>0</v>
      </c>
      <c r="AJ123" s="899">
        <f>AJ118</f>
        <v>0</v>
      </c>
      <c r="AK123" s="29">
        <f>AI123*AJ123</f>
        <v>0</v>
      </c>
      <c r="AL123" s="1836"/>
      <c r="AM123" s="1837"/>
      <c r="AN123" s="1838"/>
      <c r="AO123" s="1839"/>
      <c r="AP123" s="1839"/>
      <c r="AQ123" s="900">
        <f>AQ118</f>
        <v>0</v>
      </c>
      <c r="AR123" s="901">
        <f>AR118</f>
        <v>0</v>
      </c>
      <c r="AS123" s="902">
        <f>AQ123*AR123</f>
        <v>0</v>
      </c>
      <c r="AT123" s="1840"/>
      <c r="AU123" s="1841"/>
      <c r="AV123" s="1842"/>
      <c r="AW123" s="1843"/>
      <c r="AX123" s="1843"/>
      <c r="AY123" s="898">
        <f>AY118</f>
        <v>0</v>
      </c>
      <c r="AZ123" s="899">
        <f>AZ118</f>
        <v>0</v>
      </c>
      <c r="BA123" s="29">
        <f>AY123*AZ123</f>
        <v>0</v>
      </c>
      <c r="BB123" s="1836"/>
      <c r="BC123" s="1837"/>
      <c r="BD123" s="1838"/>
      <c r="BE123" s="1839"/>
      <c r="BF123" s="1839"/>
      <c r="BG123" s="900">
        <f>BG118</f>
        <v>0</v>
      </c>
      <c r="BH123" s="901">
        <f>BH118</f>
        <v>0</v>
      </c>
      <c r="BI123" s="902">
        <f>BG123*BH123</f>
        <v>0</v>
      </c>
      <c r="BJ123" s="1840"/>
      <c r="BK123" s="1841"/>
      <c r="BL123" s="1842"/>
      <c r="BM123" s="1843"/>
      <c r="BN123" s="1843"/>
      <c r="BO123" s="898">
        <f>BO118</f>
        <v>0</v>
      </c>
      <c r="BP123" s="899">
        <f>BP118</f>
        <v>0</v>
      </c>
      <c r="BQ123" s="29">
        <f>BO123*BP123</f>
        <v>0</v>
      </c>
      <c r="BR123" s="1836"/>
      <c r="BS123" s="1837"/>
      <c r="BT123" s="1838"/>
      <c r="BU123" s="1839"/>
      <c r="BV123" s="1839"/>
      <c r="BW123" s="900">
        <f>BW118</f>
        <v>0</v>
      </c>
      <c r="BX123" s="901">
        <f>BX118</f>
        <v>0</v>
      </c>
      <c r="BY123" s="902">
        <f>BW123*BX123</f>
        <v>0</v>
      </c>
      <c r="BZ123" s="1840"/>
      <c r="CA123" s="1841"/>
      <c r="CB123" s="1842"/>
      <c r="CC123" s="1843"/>
      <c r="CD123" s="1843"/>
      <c r="CE123" s="898">
        <f>CE118</f>
        <v>0</v>
      </c>
      <c r="CF123" s="899">
        <f>CF118</f>
        <v>0</v>
      </c>
      <c r="CG123" s="29">
        <f>CE123*CF123</f>
        <v>0</v>
      </c>
      <c r="CH123" s="1836"/>
      <c r="CI123" s="1837"/>
      <c r="CJ123" s="1838"/>
      <c r="CK123" s="1839"/>
      <c r="CL123" s="1839"/>
      <c r="CM123" s="900">
        <f>CM118</f>
        <v>0</v>
      </c>
      <c r="CN123" s="901">
        <f>CN118</f>
        <v>0</v>
      </c>
      <c r="CO123" s="902">
        <f>CM123*CN123</f>
        <v>0</v>
      </c>
      <c r="CP123" s="1840"/>
      <c r="CQ123" s="1841"/>
      <c r="CR123" s="1842"/>
      <c r="CS123" s="1843"/>
      <c r="CT123" s="1843"/>
      <c r="CU123" s="1844"/>
      <c r="CV123" s="1844"/>
      <c r="CW123" s="1845"/>
      <c r="CX123" s="1844"/>
      <c r="CY123" s="1845"/>
      <c r="CZ123" s="1845"/>
      <c r="DA123" s="1845"/>
      <c r="DB123" s="912"/>
    </row>
    <row r="124" spans="1:106" ht="12.75" hidden="1" customHeight="1" x14ac:dyDescent="0.3">
      <c r="A124" s="1835"/>
      <c r="B124" s="108" t="s">
        <v>315</v>
      </c>
      <c r="C124" s="906">
        <f>C123+C122</f>
        <v>0</v>
      </c>
      <c r="D124" s="29">
        <f>IF(C124=0,0,E124/C124)</f>
        <v>0</v>
      </c>
      <c r="E124" s="29">
        <f>E123+E122</f>
        <v>0</v>
      </c>
      <c r="F124" s="1836"/>
      <c r="G124" s="1837"/>
      <c r="H124" s="1838"/>
      <c r="I124" s="1839"/>
      <c r="J124" s="1839"/>
      <c r="K124" s="907">
        <f>K123+K122</f>
        <v>0</v>
      </c>
      <c r="L124" s="902">
        <f>IF(K124=0,0,M124/K124)</f>
        <v>0</v>
      </c>
      <c r="M124" s="902">
        <f>M123+M122</f>
        <v>0</v>
      </c>
      <c r="N124" s="1840"/>
      <c r="O124" s="1841"/>
      <c r="P124" s="1842"/>
      <c r="Q124" s="1843"/>
      <c r="R124" s="1843"/>
      <c r="S124" s="906">
        <f>S123+S122</f>
        <v>0</v>
      </c>
      <c r="T124" s="29">
        <f>IF(S124=0,0,U124/S124)</f>
        <v>0</v>
      </c>
      <c r="U124" s="29">
        <f>U123+U122</f>
        <v>0</v>
      </c>
      <c r="V124" s="1836"/>
      <c r="W124" s="1837"/>
      <c r="X124" s="1838"/>
      <c r="Y124" s="1839"/>
      <c r="Z124" s="1839"/>
      <c r="AA124" s="907">
        <f>AA123+AA122</f>
        <v>0</v>
      </c>
      <c r="AB124" s="902">
        <f>IF(AA124=0,0,AC124/AA124)</f>
        <v>0</v>
      </c>
      <c r="AC124" s="902">
        <f>AC123+AC122</f>
        <v>0</v>
      </c>
      <c r="AD124" s="1840"/>
      <c r="AE124" s="1841"/>
      <c r="AF124" s="1842"/>
      <c r="AG124" s="1843"/>
      <c r="AH124" s="1843"/>
      <c r="AI124" s="906">
        <f>AI123+AI122</f>
        <v>0</v>
      </c>
      <c r="AJ124" s="29">
        <f>IF(AI124=0,0,AK124/AI124)</f>
        <v>0</v>
      </c>
      <c r="AK124" s="29">
        <f>AK123+AK122</f>
        <v>0</v>
      </c>
      <c r="AL124" s="1836"/>
      <c r="AM124" s="1837"/>
      <c r="AN124" s="1838"/>
      <c r="AO124" s="1839"/>
      <c r="AP124" s="1839"/>
      <c r="AQ124" s="907">
        <f>AQ123+AQ122</f>
        <v>0</v>
      </c>
      <c r="AR124" s="902">
        <f>IF(AQ124=0,0,AS124/AQ124)</f>
        <v>0</v>
      </c>
      <c r="AS124" s="902">
        <f>AS123+AS122</f>
        <v>0</v>
      </c>
      <c r="AT124" s="1840"/>
      <c r="AU124" s="1841"/>
      <c r="AV124" s="1842"/>
      <c r="AW124" s="1843"/>
      <c r="AX124" s="1843"/>
      <c r="AY124" s="906">
        <f>AY123+AY122</f>
        <v>0</v>
      </c>
      <c r="AZ124" s="29">
        <f>IF(AY124=0,0,BA124/AY124)</f>
        <v>0</v>
      </c>
      <c r="BA124" s="29">
        <f>BA123+BA122</f>
        <v>0</v>
      </c>
      <c r="BB124" s="1836"/>
      <c r="BC124" s="1837"/>
      <c r="BD124" s="1838"/>
      <c r="BE124" s="1839"/>
      <c r="BF124" s="1839"/>
      <c r="BG124" s="907">
        <f>BG123+BG122</f>
        <v>0</v>
      </c>
      <c r="BH124" s="902">
        <f>IF(BG124=0,0,BI124/BG124)</f>
        <v>0</v>
      </c>
      <c r="BI124" s="902">
        <f>BI123+BI122</f>
        <v>0</v>
      </c>
      <c r="BJ124" s="1840"/>
      <c r="BK124" s="1841"/>
      <c r="BL124" s="1842"/>
      <c r="BM124" s="1843"/>
      <c r="BN124" s="1843"/>
      <c r="BO124" s="906">
        <f>BO123+BO122</f>
        <v>0</v>
      </c>
      <c r="BP124" s="29">
        <f>IF(BO124=0,0,BQ124/BO124)</f>
        <v>0</v>
      </c>
      <c r="BQ124" s="29">
        <f>BQ123+BQ122</f>
        <v>0</v>
      </c>
      <c r="BR124" s="1836"/>
      <c r="BS124" s="1837"/>
      <c r="BT124" s="1838"/>
      <c r="BU124" s="1839"/>
      <c r="BV124" s="1839"/>
      <c r="BW124" s="907">
        <f>BW123+BW122</f>
        <v>0</v>
      </c>
      <c r="BX124" s="902">
        <f>IF(BW124=0,0,BY124/BW124)</f>
        <v>0</v>
      </c>
      <c r="BY124" s="902">
        <f>BY123+BY122</f>
        <v>0</v>
      </c>
      <c r="BZ124" s="1840"/>
      <c r="CA124" s="1841"/>
      <c r="CB124" s="1842"/>
      <c r="CC124" s="1843"/>
      <c r="CD124" s="1843"/>
      <c r="CE124" s="906">
        <f>CE123+CE122</f>
        <v>0</v>
      </c>
      <c r="CF124" s="29">
        <f>IF(CE124=0,0,CG124/CE124)</f>
        <v>0</v>
      </c>
      <c r="CG124" s="29">
        <f>CG123+CG122</f>
        <v>0</v>
      </c>
      <c r="CH124" s="1836"/>
      <c r="CI124" s="1837"/>
      <c r="CJ124" s="1838"/>
      <c r="CK124" s="1839"/>
      <c r="CL124" s="1839"/>
      <c r="CM124" s="907">
        <f>CM123+CM122</f>
        <v>0</v>
      </c>
      <c r="CN124" s="902">
        <f>IF(CM124=0,0,CO124/CM124)</f>
        <v>0</v>
      </c>
      <c r="CO124" s="902">
        <f>CO123+CO122</f>
        <v>0</v>
      </c>
      <c r="CP124" s="1840"/>
      <c r="CQ124" s="1841"/>
      <c r="CR124" s="1842"/>
      <c r="CS124" s="1843"/>
      <c r="CT124" s="1843"/>
      <c r="CU124" s="1844"/>
      <c r="CV124" s="1844"/>
      <c r="CW124" s="1845"/>
      <c r="CX124" s="1844"/>
      <c r="CY124" s="1845"/>
      <c r="CZ124" s="1845"/>
      <c r="DA124" s="1845"/>
      <c r="DB124" s="912"/>
    </row>
    <row r="125" spans="1:106" x14ac:dyDescent="0.3">
      <c r="A125" s="1835"/>
      <c r="B125" s="108" t="s">
        <v>312</v>
      </c>
      <c r="C125" s="906">
        <f>H122*C124</f>
        <v>0</v>
      </c>
      <c r="D125" s="29">
        <f>D124</f>
        <v>0</v>
      </c>
      <c r="E125" s="29">
        <f>C125*D125</f>
        <v>0</v>
      </c>
      <c r="F125" s="1836"/>
      <c r="G125" s="1837"/>
      <c r="H125" s="1838"/>
      <c r="I125" s="1839"/>
      <c r="J125" s="1839"/>
      <c r="K125" s="907">
        <f>P122*K124</f>
        <v>0</v>
      </c>
      <c r="L125" s="902">
        <f>L124</f>
        <v>0</v>
      </c>
      <c r="M125" s="902">
        <f>K125*L125</f>
        <v>0</v>
      </c>
      <c r="N125" s="1840"/>
      <c r="O125" s="1841"/>
      <c r="P125" s="1842"/>
      <c r="Q125" s="1843"/>
      <c r="R125" s="1843"/>
      <c r="S125" s="906">
        <f>X122*S124</f>
        <v>0</v>
      </c>
      <c r="T125" s="29">
        <f>T124</f>
        <v>0</v>
      </c>
      <c r="U125" s="29">
        <f>S125*T125</f>
        <v>0</v>
      </c>
      <c r="V125" s="1836"/>
      <c r="W125" s="1837"/>
      <c r="X125" s="1838"/>
      <c r="Y125" s="1839"/>
      <c r="Z125" s="1839"/>
      <c r="AA125" s="907">
        <f>AF122*AA124</f>
        <v>0</v>
      </c>
      <c r="AB125" s="902">
        <f>AB124</f>
        <v>0</v>
      </c>
      <c r="AC125" s="902">
        <f>AA125*AB125</f>
        <v>0</v>
      </c>
      <c r="AD125" s="1840"/>
      <c r="AE125" s="1841"/>
      <c r="AF125" s="1842"/>
      <c r="AG125" s="1843"/>
      <c r="AH125" s="1843"/>
      <c r="AI125" s="906">
        <f>AN122*AI124</f>
        <v>0</v>
      </c>
      <c r="AJ125" s="29">
        <f>AJ124</f>
        <v>0</v>
      </c>
      <c r="AK125" s="29">
        <f>AI125*AJ125</f>
        <v>0</v>
      </c>
      <c r="AL125" s="1836"/>
      <c r="AM125" s="1837"/>
      <c r="AN125" s="1838"/>
      <c r="AO125" s="1839"/>
      <c r="AP125" s="1839"/>
      <c r="AQ125" s="907">
        <f>AV122*AQ124</f>
        <v>0</v>
      </c>
      <c r="AR125" s="902">
        <f>AR124</f>
        <v>0</v>
      </c>
      <c r="AS125" s="902">
        <f>AQ125*AR125</f>
        <v>0</v>
      </c>
      <c r="AT125" s="1840"/>
      <c r="AU125" s="1841"/>
      <c r="AV125" s="1842"/>
      <c r="AW125" s="1843"/>
      <c r="AX125" s="1843"/>
      <c r="AY125" s="906">
        <f>BD122*AY124</f>
        <v>0</v>
      </c>
      <c r="AZ125" s="29">
        <f>AZ124</f>
        <v>0</v>
      </c>
      <c r="BA125" s="29">
        <f>AY125*AZ125</f>
        <v>0</v>
      </c>
      <c r="BB125" s="1836"/>
      <c r="BC125" s="1837"/>
      <c r="BD125" s="1838"/>
      <c r="BE125" s="1839"/>
      <c r="BF125" s="1839"/>
      <c r="BG125" s="907">
        <f>BL122*BG124</f>
        <v>0</v>
      </c>
      <c r="BH125" s="902">
        <f>BH124</f>
        <v>0</v>
      </c>
      <c r="BI125" s="902">
        <f>BG125*BH125</f>
        <v>0</v>
      </c>
      <c r="BJ125" s="1840"/>
      <c r="BK125" s="1841"/>
      <c r="BL125" s="1842"/>
      <c r="BM125" s="1843"/>
      <c r="BN125" s="1843"/>
      <c r="BO125" s="906">
        <f>BT122*BO124</f>
        <v>0</v>
      </c>
      <c r="BP125" s="29">
        <f>BP124</f>
        <v>0</v>
      </c>
      <c r="BQ125" s="29">
        <f>BO125*BP125</f>
        <v>0</v>
      </c>
      <c r="BR125" s="1836"/>
      <c r="BS125" s="1837"/>
      <c r="BT125" s="1838"/>
      <c r="BU125" s="1839"/>
      <c r="BV125" s="1839"/>
      <c r="BW125" s="907">
        <f>CB122*BW124</f>
        <v>0</v>
      </c>
      <c r="BX125" s="902">
        <f>BX124</f>
        <v>0</v>
      </c>
      <c r="BY125" s="902">
        <f>BW125*BX125</f>
        <v>0</v>
      </c>
      <c r="BZ125" s="1840"/>
      <c r="CA125" s="1841"/>
      <c r="CB125" s="1842"/>
      <c r="CC125" s="1843"/>
      <c r="CD125" s="1843"/>
      <c r="CE125" s="906">
        <f>CJ122*CE124</f>
        <v>0</v>
      </c>
      <c r="CF125" s="29">
        <f>CF124</f>
        <v>0</v>
      </c>
      <c r="CG125" s="29">
        <f>CE125*CF125</f>
        <v>0</v>
      </c>
      <c r="CH125" s="1836"/>
      <c r="CI125" s="1837"/>
      <c r="CJ125" s="1838"/>
      <c r="CK125" s="1839"/>
      <c r="CL125" s="1839"/>
      <c r="CM125" s="907">
        <f>CR122*CM124</f>
        <v>0</v>
      </c>
      <c r="CN125" s="902">
        <f>CN124</f>
        <v>0</v>
      </c>
      <c r="CO125" s="902">
        <f>CM125*CN125</f>
        <v>0</v>
      </c>
      <c r="CP125" s="1840"/>
      <c r="CQ125" s="1841"/>
      <c r="CR125" s="1842"/>
      <c r="CS125" s="1843"/>
      <c r="CT125" s="1843"/>
      <c r="CU125" s="1844"/>
      <c r="CV125" s="1844"/>
      <c r="CW125" s="1845"/>
      <c r="CX125" s="1844"/>
      <c r="CY125" s="1845"/>
      <c r="CZ125" s="1845"/>
      <c r="DA125" s="1845"/>
      <c r="DB125" s="912"/>
    </row>
    <row r="126" spans="1:106" x14ac:dyDescent="0.3">
      <c r="A126" s="1835"/>
      <c r="B126" s="108" t="s">
        <v>254</v>
      </c>
      <c r="C126" s="906">
        <f>C122+C123-C125</f>
        <v>0</v>
      </c>
      <c r="D126" s="29">
        <f>D125</f>
        <v>0</v>
      </c>
      <c r="E126" s="29">
        <f>D126*C126</f>
        <v>0</v>
      </c>
      <c r="F126" s="1836"/>
      <c r="G126" s="1837"/>
      <c r="H126" s="1838"/>
      <c r="I126" s="1839"/>
      <c r="J126" s="1839"/>
      <c r="K126" s="907">
        <f>K122+K123-K125</f>
        <v>0</v>
      </c>
      <c r="L126" s="902">
        <f>L125</f>
        <v>0</v>
      </c>
      <c r="M126" s="902">
        <f>L126*K126</f>
        <v>0</v>
      </c>
      <c r="N126" s="1840"/>
      <c r="O126" s="1841"/>
      <c r="P126" s="1842"/>
      <c r="Q126" s="1843"/>
      <c r="R126" s="1843"/>
      <c r="S126" s="906">
        <f>S122+S123-S125</f>
        <v>0</v>
      </c>
      <c r="T126" s="29">
        <f>T125</f>
        <v>0</v>
      </c>
      <c r="U126" s="29">
        <f>T126*S126</f>
        <v>0</v>
      </c>
      <c r="V126" s="1836"/>
      <c r="W126" s="1837"/>
      <c r="X126" s="1838"/>
      <c r="Y126" s="1839"/>
      <c r="Z126" s="1839"/>
      <c r="AA126" s="907">
        <f>AA122+AA123-AA125</f>
        <v>0</v>
      </c>
      <c r="AB126" s="902">
        <f>AB125</f>
        <v>0</v>
      </c>
      <c r="AC126" s="902">
        <f>AB126*AA126</f>
        <v>0</v>
      </c>
      <c r="AD126" s="1840"/>
      <c r="AE126" s="1841"/>
      <c r="AF126" s="1842"/>
      <c r="AG126" s="1843"/>
      <c r="AH126" s="1843"/>
      <c r="AI126" s="906">
        <f>AI122+AI123-AI125</f>
        <v>0</v>
      </c>
      <c r="AJ126" s="29">
        <f>AJ125</f>
        <v>0</v>
      </c>
      <c r="AK126" s="29">
        <f>AJ126*AI126</f>
        <v>0</v>
      </c>
      <c r="AL126" s="1836"/>
      <c r="AM126" s="1837"/>
      <c r="AN126" s="1838"/>
      <c r="AO126" s="1839"/>
      <c r="AP126" s="1839"/>
      <c r="AQ126" s="907">
        <f>AQ122+AQ123-AQ125</f>
        <v>0</v>
      </c>
      <c r="AR126" s="902">
        <f>AR125</f>
        <v>0</v>
      </c>
      <c r="AS126" s="902">
        <f>AR126*AQ126</f>
        <v>0</v>
      </c>
      <c r="AT126" s="1840"/>
      <c r="AU126" s="1841"/>
      <c r="AV126" s="1842"/>
      <c r="AW126" s="1843"/>
      <c r="AX126" s="1843"/>
      <c r="AY126" s="906">
        <f>AY122+AY123-AY125</f>
        <v>0</v>
      </c>
      <c r="AZ126" s="29">
        <f>AZ125</f>
        <v>0</v>
      </c>
      <c r="BA126" s="29">
        <f>AZ126*AY126</f>
        <v>0</v>
      </c>
      <c r="BB126" s="1836"/>
      <c r="BC126" s="1837"/>
      <c r="BD126" s="1838"/>
      <c r="BE126" s="1839"/>
      <c r="BF126" s="1839"/>
      <c r="BG126" s="907">
        <f>BG122+BG123-BG125</f>
        <v>0</v>
      </c>
      <c r="BH126" s="902">
        <f>BH125</f>
        <v>0</v>
      </c>
      <c r="BI126" s="902">
        <f>BH126*BG126</f>
        <v>0</v>
      </c>
      <c r="BJ126" s="1840"/>
      <c r="BK126" s="1841"/>
      <c r="BL126" s="1842"/>
      <c r="BM126" s="1843"/>
      <c r="BN126" s="1843"/>
      <c r="BO126" s="906">
        <f>BO122+BO123-BO125</f>
        <v>0</v>
      </c>
      <c r="BP126" s="29">
        <f>BP125</f>
        <v>0</v>
      </c>
      <c r="BQ126" s="29">
        <f>BP126*BO126</f>
        <v>0</v>
      </c>
      <c r="BR126" s="1836"/>
      <c r="BS126" s="1837"/>
      <c r="BT126" s="1838"/>
      <c r="BU126" s="1839"/>
      <c r="BV126" s="1839"/>
      <c r="BW126" s="907">
        <f>BW122+BW123-BW125</f>
        <v>0</v>
      </c>
      <c r="BX126" s="902">
        <f>BX125</f>
        <v>0</v>
      </c>
      <c r="BY126" s="902">
        <f>BX126*BW126</f>
        <v>0</v>
      </c>
      <c r="BZ126" s="1840"/>
      <c r="CA126" s="1841"/>
      <c r="CB126" s="1842"/>
      <c r="CC126" s="1843"/>
      <c r="CD126" s="1843"/>
      <c r="CE126" s="906">
        <f>CE122+CE123-CE125</f>
        <v>0</v>
      </c>
      <c r="CF126" s="29">
        <f>CF125</f>
        <v>0</v>
      </c>
      <c r="CG126" s="29">
        <f>CF126*CE126</f>
        <v>0</v>
      </c>
      <c r="CH126" s="1836"/>
      <c r="CI126" s="1837"/>
      <c r="CJ126" s="1838"/>
      <c r="CK126" s="1839"/>
      <c r="CL126" s="1839"/>
      <c r="CM126" s="907">
        <f>CM122+CM123-CM125</f>
        <v>0</v>
      </c>
      <c r="CN126" s="902">
        <f>CN125</f>
        <v>0</v>
      </c>
      <c r="CO126" s="902">
        <f>CN126*CM126</f>
        <v>0</v>
      </c>
      <c r="CP126" s="1840"/>
      <c r="CQ126" s="1841"/>
      <c r="CR126" s="1842"/>
      <c r="CS126" s="1843"/>
      <c r="CT126" s="1843"/>
      <c r="CU126" s="1844"/>
      <c r="CV126" s="1844"/>
      <c r="CW126" s="1845"/>
      <c r="CX126" s="1844"/>
      <c r="CY126" s="1845"/>
      <c r="CZ126" s="1845"/>
      <c r="DA126" s="1845"/>
      <c r="DB126" s="912"/>
    </row>
    <row r="127" spans="1:106" x14ac:dyDescent="0.3">
      <c r="A127" s="1835" t="str">
        <f>A59</f>
        <v>SETEMBRE</v>
      </c>
      <c r="B127" s="108" t="s">
        <v>255</v>
      </c>
      <c r="C127" s="906">
        <f>C126</f>
        <v>0</v>
      </c>
      <c r="D127" s="29">
        <f>D126</f>
        <v>0</v>
      </c>
      <c r="E127" s="29">
        <f>C127*D127</f>
        <v>0</v>
      </c>
      <c r="F127" s="1836">
        <f>E128*$I$3</f>
        <v>0</v>
      </c>
      <c r="G127" s="1837">
        <f>G122</f>
        <v>0</v>
      </c>
      <c r="H127" s="1838">
        <f>H122</f>
        <v>0</v>
      </c>
      <c r="I127" s="1839">
        <f>E130/(1-G127)</f>
        <v>0</v>
      </c>
      <c r="J127" s="1839">
        <f>I127*$F$3</f>
        <v>0</v>
      </c>
      <c r="K127" s="907">
        <f>K126</f>
        <v>0</v>
      </c>
      <c r="L127" s="902">
        <f>L126</f>
        <v>0</v>
      </c>
      <c r="M127" s="902">
        <f>K127*L127</f>
        <v>0</v>
      </c>
      <c r="N127" s="1840">
        <f>M128*$I$4</f>
        <v>0</v>
      </c>
      <c r="O127" s="1841">
        <f>O122</f>
        <v>0</v>
      </c>
      <c r="P127" s="1842">
        <f>P122</f>
        <v>0</v>
      </c>
      <c r="Q127" s="1843">
        <f>M130/(1-O127)</f>
        <v>0</v>
      </c>
      <c r="R127" s="1843">
        <f>Q127*$F$4</f>
        <v>0</v>
      </c>
      <c r="S127" s="906">
        <f>S126</f>
        <v>0</v>
      </c>
      <c r="T127" s="29">
        <f>T126</f>
        <v>0</v>
      </c>
      <c r="U127" s="29">
        <f>S127*T127</f>
        <v>0</v>
      </c>
      <c r="V127" s="1836">
        <f>U128*$I$5</f>
        <v>0</v>
      </c>
      <c r="W127" s="1837">
        <f>W122</f>
        <v>0</v>
      </c>
      <c r="X127" s="1838">
        <f>X122</f>
        <v>0</v>
      </c>
      <c r="Y127" s="1839">
        <f>U130/(1-W127)</f>
        <v>0</v>
      </c>
      <c r="Z127" s="1839">
        <f>Y127*$F$5</f>
        <v>0</v>
      </c>
      <c r="AA127" s="907">
        <f>AA126</f>
        <v>0</v>
      </c>
      <c r="AB127" s="902">
        <f>AB126</f>
        <v>0</v>
      </c>
      <c r="AC127" s="902">
        <f>AA127*AB127</f>
        <v>0</v>
      </c>
      <c r="AD127" s="1840">
        <f>AC128*$I$6</f>
        <v>0</v>
      </c>
      <c r="AE127" s="1841">
        <f>AE122</f>
        <v>0</v>
      </c>
      <c r="AF127" s="1842">
        <f>AF122</f>
        <v>0</v>
      </c>
      <c r="AG127" s="1843">
        <f>AC130/(1-AE127)</f>
        <v>0</v>
      </c>
      <c r="AH127" s="1843">
        <f>AG127*$F$6</f>
        <v>0</v>
      </c>
      <c r="AI127" s="906">
        <f>AI126</f>
        <v>0</v>
      </c>
      <c r="AJ127" s="29">
        <f>AJ126</f>
        <v>0</v>
      </c>
      <c r="AK127" s="29">
        <f>AI127*AJ127</f>
        <v>0</v>
      </c>
      <c r="AL127" s="1836">
        <f>AK128*$I$7</f>
        <v>0</v>
      </c>
      <c r="AM127" s="1837">
        <f>AM122</f>
        <v>0</v>
      </c>
      <c r="AN127" s="1838">
        <f>AN122</f>
        <v>0</v>
      </c>
      <c r="AO127" s="1839">
        <f>AK130/(1-AM127)</f>
        <v>0</v>
      </c>
      <c r="AP127" s="1839">
        <f>AO127*$F$7</f>
        <v>0</v>
      </c>
      <c r="AQ127" s="907">
        <f>AQ126</f>
        <v>0</v>
      </c>
      <c r="AR127" s="902">
        <f>AR126</f>
        <v>0</v>
      </c>
      <c r="AS127" s="902">
        <f>AQ127*AR127</f>
        <v>0</v>
      </c>
      <c r="AT127" s="1840">
        <f>AS128*$I$8</f>
        <v>0</v>
      </c>
      <c r="AU127" s="1841">
        <f>AU122</f>
        <v>0</v>
      </c>
      <c r="AV127" s="1842">
        <f>AV122</f>
        <v>0</v>
      </c>
      <c r="AW127" s="1843">
        <f>AS130/(1-AU127)</f>
        <v>0</v>
      </c>
      <c r="AX127" s="1843">
        <f>AW127*$F$8</f>
        <v>0</v>
      </c>
      <c r="AY127" s="906">
        <f>AY126</f>
        <v>0</v>
      </c>
      <c r="AZ127" s="29">
        <f>AZ126</f>
        <v>0</v>
      </c>
      <c r="BA127" s="29">
        <f>AY127*AZ127</f>
        <v>0</v>
      </c>
      <c r="BB127" s="1836">
        <f>BA128*$I$9</f>
        <v>0</v>
      </c>
      <c r="BC127" s="1837">
        <f>BC122</f>
        <v>0</v>
      </c>
      <c r="BD127" s="1838">
        <f>BD122</f>
        <v>0</v>
      </c>
      <c r="BE127" s="1839">
        <f>BA130/(1-BC127)</f>
        <v>0</v>
      </c>
      <c r="BF127" s="1839">
        <f>BE127*$F$9</f>
        <v>0</v>
      </c>
      <c r="BG127" s="907">
        <f>BG126</f>
        <v>0</v>
      </c>
      <c r="BH127" s="902">
        <f>BH126</f>
        <v>0</v>
      </c>
      <c r="BI127" s="902">
        <f>BG127*BH127</f>
        <v>0</v>
      </c>
      <c r="BJ127" s="1840">
        <f>BI128*$I$10</f>
        <v>0</v>
      </c>
      <c r="BK127" s="1841">
        <f>BK122</f>
        <v>0</v>
      </c>
      <c r="BL127" s="1842">
        <f>BL122</f>
        <v>0</v>
      </c>
      <c r="BM127" s="1843">
        <f>BI130/(1-BK127)</f>
        <v>0</v>
      </c>
      <c r="BN127" s="1843">
        <f>BM127*$F$10</f>
        <v>0</v>
      </c>
      <c r="BO127" s="906">
        <f>BO126</f>
        <v>0</v>
      </c>
      <c r="BP127" s="29">
        <f>BP126</f>
        <v>0</v>
      </c>
      <c r="BQ127" s="29">
        <f>BO127*BP127</f>
        <v>0</v>
      </c>
      <c r="BR127" s="1836">
        <f>BQ128*$I$11</f>
        <v>0</v>
      </c>
      <c r="BS127" s="1837">
        <f>BS122</f>
        <v>0</v>
      </c>
      <c r="BT127" s="1838">
        <f>BT122</f>
        <v>0</v>
      </c>
      <c r="BU127" s="1839">
        <f>BQ130/(1-BS127)</f>
        <v>0</v>
      </c>
      <c r="BV127" s="1839">
        <f>BU127*$F$11</f>
        <v>0</v>
      </c>
      <c r="BW127" s="907">
        <f>BW126</f>
        <v>0</v>
      </c>
      <c r="BX127" s="902">
        <f>BX126</f>
        <v>0</v>
      </c>
      <c r="BY127" s="902">
        <f>BW127*BX127</f>
        <v>0</v>
      </c>
      <c r="BZ127" s="1840">
        <f>BY128*$I$12</f>
        <v>0</v>
      </c>
      <c r="CA127" s="1841">
        <f>CA122</f>
        <v>0</v>
      </c>
      <c r="CB127" s="1842">
        <f>CB122</f>
        <v>0</v>
      </c>
      <c r="CC127" s="1843">
        <f>BY130/(1-CA127)</f>
        <v>0</v>
      </c>
      <c r="CD127" s="1843">
        <f>CC127*$F$12</f>
        <v>0</v>
      </c>
      <c r="CE127" s="906">
        <f>CE126</f>
        <v>0</v>
      </c>
      <c r="CF127" s="29">
        <f>CF126</f>
        <v>0</v>
      </c>
      <c r="CG127" s="29">
        <f>CE127*CF127</f>
        <v>0</v>
      </c>
      <c r="CH127" s="1836">
        <f>CG128*$I$13</f>
        <v>0</v>
      </c>
      <c r="CI127" s="1837">
        <f>CI122</f>
        <v>0</v>
      </c>
      <c r="CJ127" s="1838">
        <f>CJ122</f>
        <v>0</v>
      </c>
      <c r="CK127" s="1839">
        <f>CG130/(1-CI127)</f>
        <v>0</v>
      </c>
      <c r="CL127" s="1839">
        <f>CK127*$F$13</f>
        <v>0</v>
      </c>
      <c r="CM127" s="907">
        <f>CM126</f>
        <v>0</v>
      </c>
      <c r="CN127" s="902">
        <f>CN126</f>
        <v>0</v>
      </c>
      <c r="CO127" s="902">
        <f>CM127*CN127</f>
        <v>0</v>
      </c>
      <c r="CP127" s="1840">
        <f>CO128*$I$14</f>
        <v>0</v>
      </c>
      <c r="CQ127" s="1841">
        <f>CQ122</f>
        <v>0</v>
      </c>
      <c r="CR127" s="1842">
        <f>CR122</f>
        <v>0</v>
      </c>
      <c r="CS127" s="1843">
        <f>CO130/(1-CQ127)</f>
        <v>0</v>
      </c>
      <c r="CT127" s="1843">
        <f>CS127*$F$14</f>
        <v>0</v>
      </c>
      <c r="CU127" s="1844">
        <f>E128+M128+U128+AC128+AK128+AS128+BA128+BI128+BQ128+BY128+CG128+CO128</f>
        <v>0</v>
      </c>
      <c r="CV127" s="1844">
        <f>CP127+CH127+BZ127+BR127+BJ127+BB127+AT127+AL127+AD127+V127+N127+F127</f>
        <v>0</v>
      </c>
      <c r="CW127" s="1845">
        <f>I127+Q127+Y127+AG127+AO127+AW127+BE127+BM127+BU127+CC127+CK127+CS127</f>
        <v>0</v>
      </c>
      <c r="CX127" s="1844">
        <f>CT127+CL127+CD127+BV127+BN127+BF127+AX127+AP127+AH127+Z127+R127+J127</f>
        <v>0</v>
      </c>
      <c r="CY127" s="1845">
        <f>CZ122</f>
        <v>0</v>
      </c>
      <c r="CZ127" s="1845">
        <f>E131+M131+U131+AC131+AK131+AS131+BA131+BI131+BQ131+BY131+CG131+CO131</f>
        <v>0</v>
      </c>
      <c r="DA127" s="1845">
        <f>CZ127-CY127</f>
        <v>0</v>
      </c>
      <c r="DB127" s="914"/>
    </row>
    <row r="128" spans="1:106" x14ac:dyDescent="0.3">
      <c r="A128" s="1835"/>
      <c r="B128" s="108" t="s">
        <v>310</v>
      </c>
      <c r="C128" s="898">
        <f>C123</f>
        <v>0</v>
      </c>
      <c r="D128" s="899">
        <f>D123</f>
        <v>0</v>
      </c>
      <c r="E128" s="29">
        <f>C128*D128</f>
        <v>0</v>
      </c>
      <c r="F128" s="1836"/>
      <c r="G128" s="1837"/>
      <c r="H128" s="1838"/>
      <c r="I128" s="1839"/>
      <c r="J128" s="1839"/>
      <c r="K128" s="900">
        <f>K123</f>
        <v>0</v>
      </c>
      <c r="L128" s="901">
        <f>L123</f>
        <v>0</v>
      </c>
      <c r="M128" s="902">
        <f>K128*L128</f>
        <v>0</v>
      </c>
      <c r="N128" s="1840"/>
      <c r="O128" s="1841"/>
      <c r="P128" s="1842"/>
      <c r="Q128" s="1843"/>
      <c r="R128" s="1843"/>
      <c r="S128" s="898">
        <f>S123</f>
        <v>0</v>
      </c>
      <c r="T128" s="899">
        <f>T123</f>
        <v>0</v>
      </c>
      <c r="U128" s="29">
        <f>S128*T128</f>
        <v>0</v>
      </c>
      <c r="V128" s="1836"/>
      <c r="W128" s="1837"/>
      <c r="X128" s="1838"/>
      <c r="Y128" s="1839"/>
      <c r="Z128" s="1839"/>
      <c r="AA128" s="900">
        <f>AA123</f>
        <v>0</v>
      </c>
      <c r="AB128" s="901">
        <f>AB123</f>
        <v>0</v>
      </c>
      <c r="AC128" s="902">
        <f>AA128*AB128</f>
        <v>0</v>
      </c>
      <c r="AD128" s="1840"/>
      <c r="AE128" s="1841"/>
      <c r="AF128" s="1842"/>
      <c r="AG128" s="1843"/>
      <c r="AH128" s="1843"/>
      <c r="AI128" s="898">
        <f>AI123</f>
        <v>0</v>
      </c>
      <c r="AJ128" s="899">
        <f>AJ123</f>
        <v>0</v>
      </c>
      <c r="AK128" s="29">
        <f>AI128*AJ128</f>
        <v>0</v>
      </c>
      <c r="AL128" s="1836"/>
      <c r="AM128" s="1837"/>
      <c r="AN128" s="1838"/>
      <c r="AO128" s="1839"/>
      <c r="AP128" s="1839"/>
      <c r="AQ128" s="900">
        <f>AQ123</f>
        <v>0</v>
      </c>
      <c r="AR128" s="901">
        <f>AR123</f>
        <v>0</v>
      </c>
      <c r="AS128" s="902">
        <f>AQ128*AR128</f>
        <v>0</v>
      </c>
      <c r="AT128" s="1840"/>
      <c r="AU128" s="1841"/>
      <c r="AV128" s="1842"/>
      <c r="AW128" s="1843"/>
      <c r="AX128" s="1843"/>
      <c r="AY128" s="898">
        <f>AY123</f>
        <v>0</v>
      </c>
      <c r="AZ128" s="899">
        <f>AZ123</f>
        <v>0</v>
      </c>
      <c r="BA128" s="29">
        <f>AY128*AZ128</f>
        <v>0</v>
      </c>
      <c r="BB128" s="1836"/>
      <c r="BC128" s="1837"/>
      <c r="BD128" s="1838"/>
      <c r="BE128" s="1839"/>
      <c r="BF128" s="1839"/>
      <c r="BG128" s="900">
        <f>BG123</f>
        <v>0</v>
      </c>
      <c r="BH128" s="901">
        <f>BH123</f>
        <v>0</v>
      </c>
      <c r="BI128" s="902">
        <f>BG128*BH128</f>
        <v>0</v>
      </c>
      <c r="BJ128" s="1840"/>
      <c r="BK128" s="1841"/>
      <c r="BL128" s="1842"/>
      <c r="BM128" s="1843"/>
      <c r="BN128" s="1843"/>
      <c r="BO128" s="898">
        <f>BO123</f>
        <v>0</v>
      </c>
      <c r="BP128" s="899">
        <f>BP123</f>
        <v>0</v>
      </c>
      <c r="BQ128" s="29">
        <f>BO128*BP128</f>
        <v>0</v>
      </c>
      <c r="BR128" s="1836"/>
      <c r="BS128" s="1837"/>
      <c r="BT128" s="1838"/>
      <c r="BU128" s="1839"/>
      <c r="BV128" s="1839"/>
      <c r="BW128" s="900">
        <f>BW123</f>
        <v>0</v>
      </c>
      <c r="BX128" s="901">
        <f>BX123</f>
        <v>0</v>
      </c>
      <c r="BY128" s="902">
        <f>BW128*BX128</f>
        <v>0</v>
      </c>
      <c r="BZ128" s="1840"/>
      <c r="CA128" s="1841"/>
      <c r="CB128" s="1842"/>
      <c r="CC128" s="1843"/>
      <c r="CD128" s="1843"/>
      <c r="CE128" s="898">
        <f>CE123</f>
        <v>0</v>
      </c>
      <c r="CF128" s="899">
        <f>CF123</f>
        <v>0</v>
      </c>
      <c r="CG128" s="29">
        <f>CE128*CF128</f>
        <v>0</v>
      </c>
      <c r="CH128" s="1836"/>
      <c r="CI128" s="1837"/>
      <c r="CJ128" s="1838"/>
      <c r="CK128" s="1839"/>
      <c r="CL128" s="1839"/>
      <c r="CM128" s="900">
        <f>CM123</f>
        <v>0</v>
      </c>
      <c r="CN128" s="901">
        <f>CN123</f>
        <v>0</v>
      </c>
      <c r="CO128" s="902">
        <f>CM128*CN128</f>
        <v>0</v>
      </c>
      <c r="CP128" s="1840"/>
      <c r="CQ128" s="1841"/>
      <c r="CR128" s="1842"/>
      <c r="CS128" s="1843"/>
      <c r="CT128" s="1843"/>
      <c r="CU128" s="1844"/>
      <c r="CV128" s="1844"/>
      <c r="CW128" s="1845"/>
      <c r="CX128" s="1844"/>
      <c r="CY128" s="1845"/>
      <c r="CZ128" s="1845"/>
      <c r="DA128" s="1845"/>
      <c r="DB128" s="912"/>
    </row>
    <row r="129" spans="1:106" ht="12.75" hidden="1" customHeight="1" x14ac:dyDescent="0.3">
      <c r="A129" s="1835"/>
      <c r="B129" s="108" t="s">
        <v>315</v>
      </c>
      <c r="C129" s="906">
        <f>C128+C127</f>
        <v>0</v>
      </c>
      <c r="D129" s="29">
        <f>IF(C129=0,0,E129/C129)</f>
        <v>0</v>
      </c>
      <c r="E129" s="29">
        <f>E128+E127</f>
        <v>0</v>
      </c>
      <c r="F129" s="1836"/>
      <c r="G129" s="1837"/>
      <c r="H129" s="1838"/>
      <c r="I129" s="1839"/>
      <c r="J129" s="1839"/>
      <c r="K129" s="907">
        <f>K128+K127</f>
        <v>0</v>
      </c>
      <c r="L129" s="902">
        <f>IF(K129=0,0,M129/K129)</f>
        <v>0</v>
      </c>
      <c r="M129" s="902">
        <f>M128+M127</f>
        <v>0</v>
      </c>
      <c r="N129" s="1840"/>
      <c r="O129" s="1841"/>
      <c r="P129" s="1842"/>
      <c r="Q129" s="1843"/>
      <c r="R129" s="1843"/>
      <c r="S129" s="906">
        <f>S128+S127</f>
        <v>0</v>
      </c>
      <c r="T129" s="29">
        <f>IF(S129=0,0,U129/S129)</f>
        <v>0</v>
      </c>
      <c r="U129" s="29">
        <f>U128+U127</f>
        <v>0</v>
      </c>
      <c r="V129" s="1836"/>
      <c r="W129" s="1837"/>
      <c r="X129" s="1838"/>
      <c r="Y129" s="1839"/>
      <c r="Z129" s="1839"/>
      <c r="AA129" s="907">
        <f>AA128+AA127</f>
        <v>0</v>
      </c>
      <c r="AB129" s="902">
        <f>IF(AA129=0,0,AC129/AA129)</f>
        <v>0</v>
      </c>
      <c r="AC129" s="902">
        <f>AC128+AC127</f>
        <v>0</v>
      </c>
      <c r="AD129" s="1840"/>
      <c r="AE129" s="1841"/>
      <c r="AF129" s="1842"/>
      <c r="AG129" s="1843"/>
      <c r="AH129" s="1843"/>
      <c r="AI129" s="906">
        <f>AI128+AI127</f>
        <v>0</v>
      </c>
      <c r="AJ129" s="29">
        <f>IF(AI129=0,0,AK129/AI129)</f>
        <v>0</v>
      </c>
      <c r="AK129" s="29">
        <f>AK128+AK127</f>
        <v>0</v>
      </c>
      <c r="AL129" s="1836"/>
      <c r="AM129" s="1837"/>
      <c r="AN129" s="1838"/>
      <c r="AO129" s="1839"/>
      <c r="AP129" s="1839"/>
      <c r="AQ129" s="907">
        <f>AQ128+AQ127</f>
        <v>0</v>
      </c>
      <c r="AR129" s="902">
        <f>IF(AQ129=0,0,AS129/AQ129)</f>
        <v>0</v>
      </c>
      <c r="AS129" s="902">
        <f>AS128+AS127</f>
        <v>0</v>
      </c>
      <c r="AT129" s="1840"/>
      <c r="AU129" s="1841"/>
      <c r="AV129" s="1842"/>
      <c r="AW129" s="1843"/>
      <c r="AX129" s="1843"/>
      <c r="AY129" s="906">
        <f>AY128+AY127</f>
        <v>0</v>
      </c>
      <c r="AZ129" s="29">
        <f>IF(AY129=0,0,BA129/AY129)</f>
        <v>0</v>
      </c>
      <c r="BA129" s="29">
        <f>BA128+BA127</f>
        <v>0</v>
      </c>
      <c r="BB129" s="1836"/>
      <c r="BC129" s="1837"/>
      <c r="BD129" s="1838"/>
      <c r="BE129" s="1839"/>
      <c r="BF129" s="1839"/>
      <c r="BG129" s="907">
        <f>BG128+BG127</f>
        <v>0</v>
      </c>
      <c r="BH129" s="902">
        <f>IF(BG129=0,0,BI129/BG129)</f>
        <v>0</v>
      </c>
      <c r="BI129" s="902">
        <f>BI128+BI127</f>
        <v>0</v>
      </c>
      <c r="BJ129" s="1840"/>
      <c r="BK129" s="1841"/>
      <c r="BL129" s="1842"/>
      <c r="BM129" s="1843"/>
      <c r="BN129" s="1843"/>
      <c r="BO129" s="906">
        <f>BO128+BO127</f>
        <v>0</v>
      </c>
      <c r="BP129" s="29">
        <f>IF(BO129=0,0,BQ129/BO129)</f>
        <v>0</v>
      </c>
      <c r="BQ129" s="29">
        <f>BQ128+BQ127</f>
        <v>0</v>
      </c>
      <c r="BR129" s="1836"/>
      <c r="BS129" s="1837"/>
      <c r="BT129" s="1838"/>
      <c r="BU129" s="1839"/>
      <c r="BV129" s="1839"/>
      <c r="BW129" s="907">
        <f>BW128+BW127</f>
        <v>0</v>
      </c>
      <c r="BX129" s="902">
        <f>IF(BW129=0,0,BY129/BW129)</f>
        <v>0</v>
      </c>
      <c r="BY129" s="902">
        <f>BY128+BY127</f>
        <v>0</v>
      </c>
      <c r="BZ129" s="1840"/>
      <c r="CA129" s="1841"/>
      <c r="CB129" s="1842"/>
      <c r="CC129" s="1843"/>
      <c r="CD129" s="1843"/>
      <c r="CE129" s="906">
        <f>CE128+CE127</f>
        <v>0</v>
      </c>
      <c r="CF129" s="29">
        <f>IF(CE129=0,0,CG129/CE129)</f>
        <v>0</v>
      </c>
      <c r="CG129" s="29">
        <f>CG128+CG127</f>
        <v>0</v>
      </c>
      <c r="CH129" s="1836"/>
      <c r="CI129" s="1837"/>
      <c r="CJ129" s="1838"/>
      <c r="CK129" s="1839"/>
      <c r="CL129" s="1839"/>
      <c r="CM129" s="907">
        <f>CM128+CM127</f>
        <v>0</v>
      </c>
      <c r="CN129" s="902">
        <f>IF(CM129=0,0,CO129/CM129)</f>
        <v>0</v>
      </c>
      <c r="CO129" s="902">
        <f>CO128+CO127</f>
        <v>0</v>
      </c>
      <c r="CP129" s="1840"/>
      <c r="CQ129" s="1841"/>
      <c r="CR129" s="1842"/>
      <c r="CS129" s="1843"/>
      <c r="CT129" s="1843"/>
      <c r="CU129" s="1844"/>
      <c r="CV129" s="1844"/>
      <c r="CW129" s="1845"/>
      <c r="CX129" s="1844"/>
      <c r="CY129" s="1845"/>
      <c r="CZ129" s="1845"/>
      <c r="DA129" s="1845"/>
      <c r="DB129" s="912"/>
    </row>
    <row r="130" spans="1:106" x14ac:dyDescent="0.3">
      <c r="A130" s="1835"/>
      <c r="B130" s="108" t="s">
        <v>312</v>
      </c>
      <c r="C130" s="906">
        <f>H127*C129</f>
        <v>0</v>
      </c>
      <c r="D130" s="29">
        <f>D129</f>
        <v>0</v>
      </c>
      <c r="E130" s="29">
        <f>C130*D130</f>
        <v>0</v>
      </c>
      <c r="F130" s="1836"/>
      <c r="G130" s="1837"/>
      <c r="H130" s="1838"/>
      <c r="I130" s="1839"/>
      <c r="J130" s="1839"/>
      <c r="K130" s="907">
        <f>P127*K129</f>
        <v>0</v>
      </c>
      <c r="L130" s="902">
        <f>L129</f>
        <v>0</v>
      </c>
      <c r="M130" s="902">
        <f>K130*L130</f>
        <v>0</v>
      </c>
      <c r="N130" s="1840"/>
      <c r="O130" s="1841"/>
      <c r="P130" s="1842"/>
      <c r="Q130" s="1843"/>
      <c r="R130" s="1843"/>
      <c r="S130" s="906">
        <f>X127*S129</f>
        <v>0</v>
      </c>
      <c r="T130" s="29">
        <f>T129</f>
        <v>0</v>
      </c>
      <c r="U130" s="29">
        <f>S130*T130</f>
        <v>0</v>
      </c>
      <c r="V130" s="1836"/>
      <c r="W130" s="1837"/>
      <c r="X130" s="1838"/>
      <c r="Y130" s="1839"/>
      <c r="Z130" s="1839"/>
      <c r="AA130" s="907">
        <f>AF127*AA129</f>
        <v>0</v>
      </c>
      <c r="AB130" s="902">
        <f>AB129</f>
        <v>0</v>
      </c>
      <c r="AC130" s="902">
        <f>AA130*AB130</f>
        <v>0</v>
      </c>
      <c r="AD130" s="1840"/>
      <c r="AE130" s="1841"/>
      <c r="AF130" s="1842"/>
      <c r="AG130" s="1843"/>
      <c r="AH130" s="1843"/>
      <c r="AI130" s="906">
        <f>AN127*AI129</f>
        <v>0</v>
      </c>
      <c r="AJ130" s="29">
        <f>AJ129</f>
        <v>0</v>
      </c>
      <c r="AK130" s="29">
        <f>AI130*AJ130</f>
        <v>0</v>
      </c>
      <c r="AL130" s="1836"/>
      <c r="AM130" s="1837"/>
      <c r="AN130" s="1838"/>
      <c r="AO130" s="1839"/>
      <c r="AP130" s="1839"/>
      <c r="AQ130" s="907">
        <f>AV127*AQ129</f>
        <v>0</v>
      </c>
      <c r="AR130" s="902">
        <f>AR129</f>
        <v>0</v>
      </c>
      <c r="AS130" s="902">
        <f>AQ130*AR130</f>
        <v>0</v>
      </c>
      <c r="AT130" s="1840"/>
      <c r="AU130" s="1841"/>
      <c r="AV130" s="1842"/>
      <c r="AW130" s="1843"/>
      <c r="AX130" s="1843"/>
      <c r="AY130" s="906">
        <f>BD127*AY129</f>
        <v>0</v>
      </c>
      <c r="AZ130" s="29">
        <f>AZ129</f>
        <v>0</v>
      </c>
      <c r="BA130" s="29">
        <f>AY130*AZ130</f>
        <v>0</v>
      </c>
      <c r="BB130" s="1836"/>
      <c r="BC130" s="1837"/>
      <c r="BD130" s="1838"/>
      <c r="BE130" s="1839"/>
      <c r="BF130" s="1839"/>
      <c r="BG130" s="907">
        <f>BL127*BG129</f>
        <v>0</v>
      </c>
      <c r="BH130" s="902">
        <f>BH129</f>
        <v>0</v>
      </c>
      <c r="BI130" s="902">
        <f>BG130*BH130</f>
        <v>0</v>
      </c>
      <c r="BJ130" s="1840"/>
      <c r="BK130" s="1841"/>
      <c r="BL130" s="1842"/>
      <c r="BM130" s="1843"/>
      <c r="BN130" s="1843"/>
      <c r="BO130" s="906">
        <f>BT127*BO129</f>
        <v>0</v>
      </c>
      <c r="BP130" s="29">
        <f>BP129</f>
        <v>0</v>
      </c>
      <c r="BQ130" s="29">
        <f>BO130*BP130</f>
        <v>0</v>
      </c>
      <c r="BR130" s="1836"/>
      <c r="BS130" s="1837"/>
      <c r="BT130" s="1838"/>
      <c r="BU130" s="1839"/>
      <c r="BV130" s="1839"/>
      <c r="BW130" s="907">
        <f>CB127*BW129</f>
        <v>0</v>
      </c>
      <c r="BX130" s="902">
        <f>BX129</f>
        <v>0</v>
      </c>
      <c r="BY130" s="902">
        <f>BW130*BX130</f>
        <v>0</v>
      </c>
      <c r="BZ130" s="1840"/>
      <c r="CA130" s="1841"/>
      <c r="CB130" s="1842"/>
      <c r="CC130" s="1843"/>
      <c r="CD130" s="1843"/>
      <c r="CE130" s="906">
        <f>CJ127*CE129</f>
        <v>0</v>
      </c>
      <c r="CF130" s="29">
        <f>CF129</f>
        <v>0</v>
      </c>
      <c r="CG130" s="29">
        <f>CE130*CF130</f>
        <v>0</v>
      </c>
      <c r="CH130" s="1836"/>
      <c r="CI130" s="1837"/>
      <c r="CJ130" s="1838"/>
      <c r="CK130" s="1839"/>
      <c r="CL130" s="1839"/>
      <c r="CM130" s="907">
        <f>CR127*CM129</f>
        <v>0</v>
      </c>
      <c r="CN130" s="902">
        <f>CN129</f>
        <v>0</v>
      </c>
      <c r="CO130" s="902">
        <f>CM130*CN130</f>
        <v>0</v>
      </c>
      <c r="CP130" s="1840"/>
      <c r="CQ130" s="1841"/>
      <c r="CR130" s="1842"/>
      <c r="CS130" s="1843"/>
      <c r="CT130" s="1843"/>
      <c r="CU130" s="1844"/>
      <c r="CV130" s="1844"/>
      <c r="CW130" s="1845"/>
      <c r="CX130" s="1844"/>
      <c r="CY130" s="1845"/>
      <c r="CZ130" s="1845"/>
      <c r="DA130" s="1845"/>
      <c r="DB130" s="912"/>
    </row>
    <row r="131" spans="1:106" x14ac:dyDescent="0.3">
      <c r="A131" s="1835"/>
      <c r="B131" s="108" t="s">
        <v>254</v>
      </c>
      <c r="C131" s="906">
        <f>C127+C128-C130</f>
        <v>0</v>
      </c>
      <c r="D131" s="29">
        <f>D130</f>
        <v>0</v>
      </c>
      <c r="E131" s="29">
        <f>D131*C131</f>
        <v>0</v>
      </c>
      <c r="F131" s="1836"/>
      <c r="G131" s="1837"/>
      <c r="H131" s="1838"/>
      <c r="I131" s="1839"/>
      <c r="J131" s="1839"/>
      <c r="K131" s="907">
        <f>K127+K128-K130</f>
        <v>0</v>
      </c>
      <c r="L131" s="902">
        <f>L130</f>
        <v>0</v>
      </c>
      <c r="M131" s="902">
        <f>L131*K131</f>
        <v>0</v>
      </c>
      <c r="N131" s="1840"/>
      <c r="O131" s="1841"/>
      <c r="P131" s="1842"/>
      <c r="Q131" s="1843"/>
      <c r="R131" s="1843"/>
      <c r="S131" s="906">
        <f>S127+S128-S130</f>
        <v>0</v>
      </c>
      <c r="T131" s="29">
        <f>T130</f>
        <v>0</v>
      </c>
      <c r="U131" s="29">
        <f>T131*S131</f>
        <v>0</v>
      </c>
      <c r="V131" s="1836"/>
      <c r="W131" s="1837"/>
      <c r="X131" s="1838"/>
      <c r="Y131" s="1839"/>
      <c r="Z131" s="1839"/>
      <c r="AA131" s="907">
        <f>AA127+AA128-AA130</f>
        <v>0</v>
      </c>
      <c r="AB131" s="902">
        <f>AB130</f>
        <v>0</v>
      </c>
      <c r="AC131" s="902">
        <f>AB131*AA131</f>
        <v>0</v>
      </c>
      <c r="AD131" s="1840"/>
      <c r="AE131" s="1841"/>
      <c r="AF131" s="1842"/>
      <c r="AG131" s="1843"/>
      <c r="AH131" s="1843"/>
      <c r="AI131" s="906">
        <f>AI127+AI128-AI130</f>
        <v>0</v>
      </c>
      <c r="AJ131" s="29">
        <f>AJ130</f>
        <v>0</v>
      </c>
      <c r="AK131" s="29">
        <f>AJ131*AI131</f>
        <v>0</v>
      </c>
      <c r="AL131" s="1836"/>
      <c r="AM131" s="1837"/>
      <c r="AN131" s="1838"/>
      <c r="AO131" s="1839"/>
      <c r="AP131" s="1839"/>
      <c r="AQ131" s="907">
        <f>AQ127+AQ128-AQ130</f>
        <v>0</v>
      </c>
      <c r="AR131" s="902">
        <f>AR130</f>
        <v>0</v>
      </c>
      <c r="AS131" s="902">
        <f>AR131*AQ131</f>
        <v>0</v>
      </c>
      <c r="AT131" s="1840"/>
      <c r="AU131" s="1841"/>
      <c r="AV131" s="1842"/>
      <c r="AW131" s="1843"/>
      <c r="AX131" s="1843"/>
      <c r="AY131" s="906">
        <f>AY127+AY128-AY130</f>
        <v>0</v>
      </c>
      <c r="AZ131" s="29">
        <f>AZ130</f>
        <v>0</v>
      </c>
      <c r="BA131" s="29">
        <f>AZ131*AY131</f>
        <v>0</v>
      </c>
      <c r="BB131" s="1836"/>
      <c r="BC131" s="1837"/>
      <c r="BD131" s="1838"/>
      <c r="BE131" s="1839"/>
      <c r="BF131" s="1839"/>
      <c r="BG131" s="907">
        <f>BG127+BG128-BG130</f>
        <v>0</v>
      </c>
      <c r="BH131" s="902">
        <f>BH130</f>
        <v>0</v>
      </c>
      <c r="BI131" s="902">
        <f>BH131*BG131</f>
        <v>0</v>
      </c>
      <c r="BJ131" s="1840"/>
      <c r="BK131" s="1841"/>
      <c r="BL131" s="1842"/>
      <c r="BM131" s="1843"/>
      <c r="BN131" s="1843"/>
      <c r="BO131" s="906">
        <f>BO127+BO128-BO130</f>
        <v>0</v>
      </c>
      <c r="BP131" s="29">
        <f>BP130</f>
        <v>0</v>
      </c>
      <c r="BQ131" s="29">
        <f>BP131*BO131</f>
        <v>0</v>
      </c>
      <c r="BR131" s="1836"/>
      <c r="BS131" s="1837"/>
      <c r="BT131" s="1838"/>
      <c r="BU131" s="1839"/>
      <c r="BV131" s="1839"/>
      <c r="BW131" s="907">
        <f>BW127+BW128-BW130</f>
        <v>0</v>
      </c>
      <c r="BX131" s="902">
        <f>BX130</f>
        <v>0</v>
      </c>
      <c r="BY131" s="902">
        <f>BX131*BW131</f>
        <v>0</v>
      </c>
      <c r="BZ131" s="1840"/>
      <c r="CA131" s="1841"/>
      <c r="CB131" s="1842"/>
      <c r="CC131" s="1843"/>
      <c r="CD131" s="1843"/>
      <c r="CE131" s="906">
        <f>CE127+CE128-CE130</f>
        <v>0</v>
      </c>
      <c r="CF131" s="29">
        <f>CF130</f>
        <v>0</v>
      </c>
      <c r="CG131" s="29">
        <f>CF131*CE131</f>
        <v>0</v>
      </c>
      <c r="CH131" s="1836"/>
      <c r="CI131" s="1837"/>
      <c r="CJ131" s="1838"/>
      <c r="CK131" s="1839"/>
      <c r="CL131" s="1839"/>
      <c r="CM131" s="907">
        <f>CM127+CM128-CM130</f>
        <v>0</v>
      </c>
      <c r="CN131" s="902">
        <f>CN130</f>
        <v>0</v>
      </c>
      <c r="CO131" s="902">
        <f>CN131*CM131</f>
        <v>0</v>
      </c>
      <c r="CP131" s="1840"/>
      <c r="CQ131" s="1841"/>
      <c r="CR131" s="1842"/>
      <c r="CS131" s="1843"/>
      <c r="CT131" s="1843"/>
      <c r="CU131" s="1844"/>
      <c r="CV131" s="1844"/>
      <c r="CW131" s="1845"/>
      <c r="CX131" s="1844"/>
      <c r="CY131" s="1845"/>
      <c r="CZ131" s="1845"/>
      <c r="DA131" s="1845"/>
      <c r="DB131" s="912"/>
    </row>
    <row r="132" spans="1:106" x14ac:dyDescent="0.3">
      <c r="A132" s="1835" t="str">
        <f>A64</f>
        <v>OCTUBRE</v>
      </c>
      <c r="B132" s="108" t="s">
        <v>255</v>
      </c>
      <c r="C132" s="906">
        <f>C131</f>
        <v>0</v>
      </c>
      <c r="D132" s="29">
        <f>D131</f>
        <v>0</v>
      </c>
      <c r="E132" s="29">
        <f>C132*D132</f>
        <v>0</v>
      </c>
      <c r="F132" s="1836">
        <f>E133*$I$3</f>
        <v>0</v>
      </c>
      <c r="G132" s="1837">
        <f>G127</f>
        <v>0</v>
      </c>
      <c r="H132" s="1838">
        <f>H127</f>
        <v>0</v>
      </c>
      <c r="I132" s="1839">
        <f>E135/(1-G132)</f>
        <v>0</v>
      </c>
      <c r="J132" s="1839">
        <f>I132*$F$3</f>
        <v>0</v>
      </c>
      <c r="K132" s="907">
        <f>K131</f>
        <v>0</v>
      </c>
      <c r="L132" s="902">
        <f>L131</f>
        <v>0</v>
      </c>
      <c r="M132" s="902">
        <f>K132*L132</f>
        <v>0</v>
      </c>
      <c r="N132" s="1840">
        <f>M133*$I$4</f>
        <v>0</v>
      </c>
      <c r="O132" s="1841">
        <f>O127</f>
        <v>0</v>
      </c>
      <c r="P132" s="1842">
        <f>P127</f>
        <v>0</v>
      </c>
      <c r="Q132" s="1843">
        <f>M135/(1-O132)</f>
        <v>0</v>
      </c>
      <c r="R132" s="1843">
        <f>Q132*$F$4</f>
        <v>0</v>
      </c>
      <c r="S132" s="906">
        <f>S131</f>
        <v>0</v>
      </c>
      <c r="T132" s="29">
        <f>T131</f>
        <v>0</v>
      </c>
      <c r="U132" s="29">
        <f>S132*T132</f>
        <v>0</v>
      </c>
      <c r="V132" s="1836">
        <f>U133*$I$5</f>
        <v>0</v>
      </c>
      <c r="W132" s="1837">
        <f>W127</f>
        <v>0</v>
      </c>
      <c r="X132" s="1838">
        <f>X127</f>
        <v>0</v>
      </c>
      <c r="Y132" s="1839">
        <f>U135/(1-W132)</f>
        <v>0</v>
      </c>
      <c r="Z132" s="1839">
        <f>Y132*$F$5</f>
        <v>0</v>
      </c>
      <c r="AA132" s="907">
        <f>AA131</f>
        <v>0</v>
      </c>
      <c r="AB132" s="902">
        <f>AB131</f>
        <v>0</v>
      </c>
      <c r="AC132" s="902">
        <f>AA132*AB132</f>
        <v>0</v>
      </c>
      <c r="AD132" s="1840">
        <f>AC133*$I$6</f>
        <v>0</v>
      </c>
      <c r="AE132" s="1841">
        <f>AE127</f>
        <v>0</v>
      </c>
      <c r="AF132" s="1842">
        <f>AF127</f>
        <v>0</v>
      </c>
      <c r="AG132" s="1843">
        <f>AC135/(1-AE132)</f>
        <v>0</v>
      </c>
      <c r="AH132" s="1843">
        <f>AG132*$F$6</f>
        <v>0</v>
      </c>
      <c r="AI132" s="906">
        <f>AI131</f>
        <v>0</v>
      </c>
      <c r="AJ132" s="29">
        <f>AJ131</f>
        <v>0</v>
      </c>
      <c r="AK132" s="29">
        <f>AI132*AJ132</f>
        <v>0</v>
      </c>
      <c r="AL132" s="1836">
        <f>AK133*$I$7</f>
        <v>0</v>
      </c>
      <c r="AM132" s="1837">
        <f>AM127</f>
        <v>0</v>
      </c>
      <c r="AN132" s="1838">
        <f>AN127</f>
        <v>0</v>
      </c>
      <c r="AO132" s="1839">
        <f>AK135/(1-AM132)</f>
        <v>0</v>
      </c>
      <c r="AP132" s="1839">
        <f>AO132*$F$7</f>
        <v>0</v>
      </c>
      <c r="AQ132" s="907">
        <f>AQ131</f>
        <v>0</v>
      </c>
      <c r="AR132" s="902">
        <f>AR131</f>
        <v>0</v>
      </c>
      <c r="AS132" s="902">
        <f>AQ132*AR132</f>
        <v>0</v>
      </c>
      <c r="AT132" s="1840">
        <f>AS133*$I$8</f>
        <v>0</v>
      </c>
      <c r="AU132" s="1841">
        <f>AU127</f>
        <v>0</v>
      </c>
      <c r="AV132" s="1842">
        <f>AV127</f>
        <v>0</v>
      </c>
      <c r="AW132" s="1843">
        <f>AS135/(1-AU132)</f>
        <v>0</v>
      </c>
      <c r="AX132" s="1843">
        <f>AW132*$F$8</f>
        <v>0</v>
      </c>
      <c r="AY132" s="906">
        <f>AY131</f>
        <v>0</v>
      </c>
      <c r="AZ132" s="29">
        <f>AZ131</f>
        <v>0</v>
      </c>
      <c r="BA132" s="29">
        <f>AY132*AZ132</f>
        <v>0</v>
      </c>
      <c r="BB132" s="1836">
        <f>BA133*$I$9</f>
        <v>0</v>
      </c>
      <c r="BC132" s="1837">
        <f>BC127</f>
        <v>0</v>
      </c>
      <c r="BD132" s="1838">
        <f>BD127</f>
        <v>0</v>
      </c>
      <c r="BE132" s="1839">
        <f>BA135/(1-BC132)</f>
        <v>0</v>
      </c>
      <c r="BF132" s="1839">
        <f>BE132*$F$9</f>
        <v>0</v>
      </c>
      <c r="BG132" s="907">
        <f>BG131</f>
        <v>0</v>
      </c>
      <c r="BH132" s="902">
        <f>BH131</f>
        <v>0</v>
      </c>
      <c r="BI132" s="902">
        <f>BG132*BH132</f>
        <v>0</v>
      </c>
      <c r="BJ132" s="1840">
        <f>BI133*$I$10</f>
        <v>0</v>
      </c>
      <c r="BK132" s="1841">
        <f>BK127</f>
        <v>0</v>
      </c>
      <c r="BL132" s="1842">
        <f>BL127</f>
        <v>0</v>
      </c>
      <c r="BM132" s="1843">
        <f>BI135/(1-BK132)</f>
        <v>0</v>
      </c>
      <c r="BN132" s="1843">
        <f>BM132*$F$10</f>
        <v>0</v>
      </c>
      <c r="BO132" s="906">
        <f>BO131</f>
        <v>0</v>
      </c>
      <c r="BP132" s="29">
        <f>BP131</f>
        <v>0</v>
      </c>
      <c r="BQ132" s="29">
        <f>BO132*BP132</f>
        <v>0</v>
      </c>
      <c r="BR132" s="1836">
        <f>BQ133*$I$11</f>
        <v>0</v>
      </c>
      <c r="BS132" s="1837">
        <f>BS127</f>
        <v>0</v>
      </c>
      <c r="BT132" s="1838">
        <f>BT127</f>
        <v>0</v>
      </c>
      <c r="BU132" s="1839">
        <f>BQ135/(1-BS132)</f>
        <v>0</v>
      </c>
      <c r="BV132" s="1839">
        <f>BU132*$F$11</f>
        <v>0</v>
      </c>
      <c r="BW132" s="907">
        <f>BW131</f>
        <v>0</v>
      </c>
      <c r="BX132" s="902">
        <f>BX131</f>
        <v>0</v>
      </c>
      <c r="BY132" s="902">
        <f>BW132*BX132</f>
        <v>0</v>
      </c>
      <c r="BZ132" s="1840">
        <f>BY133*$I$12</f>
        <v>0</v>
      </c>
      <c r="CA132" s="1841">
        <f>CA127</f>
        <v>0</v>
      </c>
      <c r="CB132" s="1842">
        <f>CB127</f>
        <v>0</v>
      </c>
      <c r="CC132" s="1843">
        <f>BY135/(1-CA132)</f>
        <v>0</v>
      </c>
      <c r="CD132" s="1843">
        <f>CC132*$F$12</f>
        <v>0</v>
      </c>
      <c r="CE132" s="906">
        <f>CE131</f>
        <v>0</v>
      </c>
      <c r="CF132" s="29">
        <f>CF131</f>
        <v>0</v>
      </c>
      <c r="CG132" s="29">
        <f>CE132*CF132</f>
        <v>0</v>
      </c>
      <c r="CH132" s="1836">
        <f>CG133*$I$13</f>
        <v>0</v>
      </c>
      <c r="CI132" s="1837">
        <f>CI127</f>
        <v>0</v>
      </c>
      <c r="CJ132" s="1838">
        <f>CJ127</f>
        <v>0</v>
      </c>
      <c r="CK132" s="1839">
        <f>CG135/(1-CI132)</f>
        <v>0</v>
      </c>
      <c r="CL132" s="1839">
        <f>CK132*$F$13</f>
        <v>0</v>
      </c>
      <c r="CM132" s="907">
        <f>CM131</f>
        <v>0</v>
      </c>
      <c r="CN132" s="902">
        <f>CN131</f>
        <v>0</v>
      </c>
      <c r="CO132" s="902">
        <f>CM132*CN132</f>
        <v>0</v>
      </c>
      <c r="CP132" s="1840">
        <f>CO133*$I$14</f>
        <v>0</v>
      </c>
      <c r="CQ132" s="1841">
        <f>CQ127</f>
        <v>0</v>
      </c>
      <c r="CR132" s="1842">
        <f>CR127</f>
        <v>0</v>
      </c>
      <c r="CS132" s="1843">
        <f>CO135/(1-CQ132)</f>
        <v>0</v>
      </c>
      <c r="CT132" s="1843">
        <f>CS132*$F$14</f>
        <v>0</v>
      </c>
      <c r="CU132" s="1844">
        <f>E133+M133+U133+AC133+AK133+AS133+BA133+BI133+BQ133+BY133+CG133+CO133</f>
        <v>0</v>
      </c>
      <c r="CV132" s="1844">
        <f>CP132+CH132+BZ132+BR132+BJ132+BB132+AT132+AL132+AD132+V132+N132+F132</f>
        <v>0</v>
      </c>
      <c r="CW132" s="1845">
        <f>I132+Q132+Y132+AG132+AO132+AW132+BE132+BM132+BU132+CC132+CK132+CS132</f>
        <v>0</v>
      </c>
      <c r="CX132" s="1844">
        <f>CT132+CL132+CD132+BV132+BN132+BF132+AX132+AP132+AH132+Z132+R132+J132</f>
        <v>0</v>
      </c>
      <c r="CY132" s="1845">
        <f>CZ127</f>
        <v>0</v>
      </c>
      <c r="CZ132" s="1845">
        <f>E136+M136+U136+AC136+AK136+AS136+BA136+BI136+BQ136+BY136+CG136+CO136</f>
        <v>0</v>
      </c>
      <c r="DA132" s="1845">
        <f>CZ132-CY132</f>
        <v>0</v>
      </c>
      <c r="DB132" s="914"/>
    </row>
    <row r="133" spans="1:106" x14ac:dyDescent="0.3">
      <c r="A133" s="1835"/>
      <c r="B133" s="108" t="s">
        <v>310</v>
      </c>
      <c r="C133" s="898">
        <f>C128</f>
        <v>0</v>
      </c>
      <c r="D133" s="899">
        <f>D128</f>
        <v>0</v>
      </c>
      <c r="E133" s="29">
        <f>C133*D133</f>
        <v>0</v>
      </c>
      <c r="F133" s="1836"/>
      <c r="G133" s="1837"/>
      <c r="H133" s="1838"/>
      <c r="I133" s="1839"/>
      <c r="J133" s="1839"/>
      <c r="K133" s="900">
        <f>K128</f>
        <v>0</v>
      </c>
      <c r="L133" s="901">
        <f>L128</f>
        <v>0</v>
      </c>
      <c r="M133" s="902">
        <f>K133*L133</f>
        <v>0</v>
      </c>
      <c r="N133" s="1840"/>
      <c r="O133" s="1841"/>
      <c r="P133" s="1842"/>
      <c r="Q133" s="1843"/>
      <c r="R133" s="1843"/>
      <c r="S133" s="898">
        <f>S128</f>
        <v>0</v>
      </c>
      <c r="T133" s="899">
        <f>T128</f>
        <v>0</v>
      </c>
      <c r="U133" s="29">
        <f>S133*T133</f>
        <v>0</v>
      </c>
      <c r="V133" s="1836"/>
      <c r="W133" s="1837"/>
      <c r="X133" s="1838"/>
      <c r="Y133" s="1839"/>
      <c r="Z133" s="1839"/>
      <c r="AA133" s="900">
        <f>AA128</f>
        <v>0</v>
      </c>
      <c r="AB133" s="901">
        <f>AB128</f>
        <v>0</v>
      </c>
      <c r="AC133" s="902">
        <f>AA133*AB133</f>
        <v>0</v>
      </c>
      <c r="AD133" s="1840"/>
      <c r="AE133" s="1841"/>
      <c r="AF133" s="1842"/>
      <c r="AG133" s="1843"/>
      <c r="AH133" s="1843"/>
      <c r="AI133" s="898">
        <f>AI128</f>
        <v>0</v>
      </c>
      <c r="AJ133" s="899">
        <f>AJ128</f>
        <v>0</v>
      </c>
      <c r="AK133" s="29">
        <f>AI133*AJ133</f>
        <v>0</v>
      </c>
      <c r="AL133" s="1836"/>
      <c r="AM133" s="1837"/>
      <c r="AN133" s="1838"/>
      <c r="AO133" s="1839"/>
      <c r="AP133" s="1839"/>
      <c r="AQ133" s="900">
        <f>AQ128</f>
        <v>0</v>
      </c>
      <c r="AR133" s="901">
        <f>AR128</f>
        <v>0</v>
      </c>
      <c r="AS133" s="902">
        <f>AQ133*AR133</f>
        <v>0</v>
      </c>
      <c r="AT133" s="1840"/>
      <c r="AU133" s="1841"/>
      <c r="AV133" s="1842"/>
      <c r="AW133" s="1843"/>
      <c r="AX133" s="1843"/>
      <c r="AY133" s="898">
        <f>AY128</f>
        <v>0</v>
      </c>
      <c r="AZ133" s="899">
        <f>AZ128</f>
        <v>0</v>
      </c>
      <c r="BA133" s="29">
        <f>AY133*AZ133</f>
        <v>0</v>
      </c>
      <c r="BB133" s="1836"/>
      <c r="BC133" s="1837"/>
      <c r="BD133" s="1838"/>
      <c r="BE133" s="1839"/>
      <c r="BF133" s="1839"/>
      <c r="BG133" s="900">
        <f>BG128</f>
        <v>0</v>
      </c>
      <c r="BH133" s="901">
        <f>BH128</f>
        <v>0</v>
      </c>
      <c r="BI133" s="902">
        <f>BG133*BH133</f>
        <v>0</v>
      </c>
      <c r="BJ133" s="1840"/>
      <c r="BK133" s="1841"/>
      <c r="BL133" s="1842"/>
      <c r="BM133" s="1843"/>
      <c r="BN133" s="1843"/>
      <c r="BO133" s="898">
        <f>BO128</f>
        <v>0</v>
      </c>
      <c r="BP133" s="899">
        <f>BP128</f>
        <v>0</v>
      </c>
      <c r="BQ133" s="29">
        <f>BO133*BP133</f>
        <v>0</v>
      </c>
      <c r="BR133" s="1836"/>
      <c r="BS133" s="1837"/>
      <c r="BT133" s="1838"/>
      <c r="BU133" s="1839"/>
      <c r="BV133" s="1839"/>
      <c r="BW133" s="900">
        <f>BW128</f>
        <v>0</v>
      </c>
      <c r="BX133" s="901">
        <f>BX128</f>
        <v>0</v>
      </c>
      <c r="BY133" s="902">
        <f>BW133*BX133</f>
        <v>0</v>
      </c>
      <c r="BZ133" s="1840"/>
      <c r="CA133" s="1841"/>
      <c r="CB133" s="1842"/>
      <c r="CC133" s="1843"/>
      <c r="CD133" s="1843"/>
      <c r="CE133" s="898">
        <f>CE128</f>
        <v>0</v>
      </c>
      <c r="CF133" s="899">
        <f>CF128</f>
        <v>0</v>
      </c>
      <c r="CG133" s="29">
        <f>CE133*CF133</f>
        <v>0</v>
      </c>
      <c r="CH133" s="1836"/>
      <c r="CI133" s="1837"/>
      <c r="CJ133" s="1838"/>
      <c r="CK133" s="1839"/>
      <c r="CL133" s="1839"/>
      <c r="CM133" s="900">
        <f>CM128</f>
        <v>0</v>
      </c>
      <c r="CN133" s="901">
        <f>CN128</f>
        <v>0</v>
      </c>
      <c r="CO133" s="902">
        <f>CM133*CN133</f>
        <v>0</v>
      </c>
      <c r="CP133" s="1840"/>
      <c r="CQ133" s="1841"/>
      <c r="CR133" s="1842"/>
      <c r="CS133" s="1843"/>
      <c r="CT133" s="1843"/>
      <c r="CU133" s="1844"/>
      <c r="CV133" s="1844"/>
      <c r="CW133" s="1845"/>
      <c r="CX133" s="1844"/>
      <c r="CY133" s="1845"/>
      <c r="CZ133" s="1845"/>
      <c r="DA133" s="1845"/>
      <c r="DB133" s="912"/>
    </row>
    <row r="134" spans="1:106" ht="12.75" hidden="1" customHeight="1" x14ac:dyDescent="0.3">
      <c r="A134" s="1835"/>
      <c r="B134" s="108" t="s">
        <v>315</v>
      </c>
      <c r="C134" s="906">
        <f>C133+C132</f>
        <v>0</v>
      </c>
      <c r="D134" s="29">
        <f>IF(C134=0,0,E134/C134)</f>
        <v>0</v>
      </c>
      <c r="E134" s="29">
        <f>E133+E132</f>
        <v>0</v>
      </c>
      <c r="F134" s="1836"/>
      <c r="G134" s="1837"/>
      <c r="H134" s="1838"/>
      <c r="I134" s="1839"/>
      <c r="J134" s="1839"/>
      <c r="K134" s="907">
        <f>K133+K132</f>
        <v>0</v>
      </c>
      <c r="L134" s="902">
        <f>IF(K134=0,0,M134/K134)</f>
        <v>0</v>
      </c>
      <c r="M134" s="902">
        <f>M133+M132</f>
        <v>0</v>
      </c>
      <c r="N134" s="1840"/>
      <c r="O134" s="1841"/>
      <c r="P134" s="1842"/>
      <c r="Q134" s="1843"/>
      <c r="R134" s="1843"/>
      <c r="S134" s="906">
        <f>S133+S132</f>
        <v>0</v>
      </c>
      <c r="T134" s="29">
        <f>IF(S134=0,0,U134/S134)</f>
        <v>0</v>
      </c>
      <c r="U134" s="29">
        <f>U133+U132</f>
        <v>0</v>
      </c>
      <c r="V134" s="1836"/>
      <c r="W134" s="1837"/>
      <c r="X134" s="1838"/>
      <c r="Y134" s="1839"/>
      <c r="Z134" s="1839"/>
      <c r="AA134" s="907">
        <f>AA133+AA132</f>
        <v>0</v>
      </c>
      <c r="AB134" s="902">
        <f>IF(AA134=0,0,AC134/AA134)</f>
        <v>0</v>
      </c>
      <c r="AC134" s="902">
        <f>AC133+AC132</f>
        <v>0</v>
      </c>
      <c r="AD134" s="1840"/>
      <c r="AE134" s="1841"/>
      <c r="AF134" s="1842"/>
      <c r="AG134" s="1843"/>
      <c r="AH134" s="1843"/>
      <c r="AI134" s="906">
        <f>AI133+AI132</f>
        <v>0</v>
      </c>
      <c r="AJ134" s="29">
        <f>IF(AI134=0,0,AK134/AI134)</f>
        <v>0</v>
      </c>
      <c r="AK134" s="29">
        <f>AK133+AK132</f>
        <v>0</v>
      </c>
      <c r="AL134" s="1836"/>
      <c r="AM134" s="1837"/>
      <c r="AN134" s="1838"/>
      <c r="AO134" s="1839"/>
      <c r="AP134" s="1839"/>
      <c r="AQ134" s="907">
        <f>AQ133+AQ132</f>
        <v>0</v>
      </c>
      <c r="AR134" s="902">
        <f>IF(AQ134=0,0,AS134/AQ134)</f>
        <v>0</v>
      </c>
      <c r="AS134" s="902">
        <f>AS133+AS132</f>
        <v>0</v>
      </c>
      <c r="AT134" s="1840"/>
      <c r="AU134" s="1841"/>
      <c r="AV134" s="1842"/>
      <c r="AW134" s="1843"/>
      <c r="AX134" s="1843"/>
      <c r="AY134" s="906">
        <f>AY133+AY132</f>
        <v>0</v>
      </c>
      <c r="AZ134" s="29">
        <f>IF(AY134=0,0,BA134/AY134)</f>
        <v>0</v>
      </c>
      <c r="BA134" s="29">
        <f>BA133+BA132</f>
        <v>0</v>
      </c>
      <c r="BB134" s="1836"/>
      <c r="BC134" s="1837"/>
      <c r="BD134" s="1838"/>
      <c r="BE134" s="1839"/>
      <c r="BF134" s="1839"/>
      <c r="BG134" s="907">
        <f>BG133+BG132</f>
        <v>0</v>
      </c>
      <c r="BH134" s="902">
        <f>IF(BG134=0,0,BI134/BG134)</f>
        <v>0</v>
      </c>
      <c r="BI134" s="902">
        <f>BI133+BI132</f>
        <v>0</v>
      </c>
      <c r="BJ134" s="1840"/>
      <c r="BK134" s="1841"/>
      <c r="BL134" s="1842"/>
      <c r="BM134" s="1843"/>
      <c r="BN134" s="1843"/>
      <c r="BO134" s="906">
        <f>BO133+BO132</f>
        <v>0</v>
      </c>
      <c r="BP134" s="29">
        <f>IF(BO134=0,0,BQ134/BO134)</f>
        <v>0</v>
      </c>
      <c r="BQ134" s="29">
        <f>BQ133+BQ132</f>
        <v>0</v>
      </c>
      <c r="BR134" s="1836"/>
      <c r="BS134" s="1837"/>
      <c r="BT134" s="1838"/>
      <c r="BU134" s="1839"/>
      <c r="BV134" s="1839"/>
      <c r="BW134" s="907">
        <f>BW133+BW132</f>
        <v>0</v>
      </c>
      <c r="BX134" s="902">
        <f>IF(BW134=0,0,BY134/BW134)</f>
        <v>0</v>
      </c>
      <c r="BY134" s="902">
        <f>BY133+BY132</f>
        <v>0</v>
      </c>
      <c r="BZ134" s="1840"/>
      <c r="CA134" s="1841"/>
      <c r="CB134" s="1842"/>
      <c r="CC134" s="1843"/>
      <c r="CD134" s="1843"/>
      <c r="CE134" s="906">
        <f>CE133+CE132</f>
        <v>0</v>
      </c>
      <c r="CF134" s="29">
        <f>IF(CE134=0,0,CG134/CE134)</f>
        <v>0</v>
      </c>
      <c r="CG134" s="29">
        <f>CG133+CG132</f>
        <v>0</v>
      </c>
      <c r="CH134" s="1836"/>
      <c r="CI134" s="1837"/>
      <c r="CJ134" s="1838"/>
      <c r="CK134" s="1839"/>
      <c r="CL134" s="1839"/>
      <c r="CM134" s="907">
        <f>CM133+CM132</f>
        <v>0</v>
      </c>
      <c r="CN134" s="902">
        <f>IF(CM134=0,0,CO134/CM134)</f>
        <v>0</v>
      </c>
      <c r="CO134" s="902">
        <f>CO133+CO132</f>
        <v>0</v>
      </c>
      <c r="CP134" s="1840"/>
      <c r="CQ134" s="1841"/>
      <c r="CR134" s="1842"/>
      <c r="CS134" s="1843"/>
      <c r="CT134" s="1843"/>
      <c r="CU134" s="1844"/>
      <c r="CV134" s="1844"/>
      <c r="CW134" s="1845"/>
      <c r="CX134" s="1844"/>
      <c r="CY134" s="1845"/>
      <c r="CZ134" s="1845"/>
      <c r="DA134" s="1845"/>
      <c r="DB134" s="912"/>
    </row>
    <row r="135" spans="1:106" x14ac:dyDescent="0.3">
      <c r="A135" s="1835"/>
      <c r="B135" s="108" t="s">
        <v>312</v>
      </c>
      <c r="C135" s="906">
        <f>H132*C134</f>
        <v>0</v>
      </c>
      <c r="D135" s="29">
        <f>D134</f>
        <v>0</v>
      </c>
      <c r="E135" s="29">
        <f>C135*D135</f>
        <v>0</v>
      </c>
      <c r="F135" s="1836"/>
      <c r="G135" s="1837"/>
      <c r="H135" s="1838"/>
      <c r="I135" s="1839"/>
      <c r="J135" s="1839"/>
      <c r="K135" s="907">
        <f>P132*K134</f>
        <v>0</v>
      </c>
      <c r="L135" s="902">
        <f>L134</f>
        <v>0</v>
      </c>
      <c r="M135" s="902">
        <f>K135*L135</f>
        <v>0</v>
      </c>
      <c r="N135" s="1840"/>
      <c r="O135" s="1841"/>
      <c r="P135" s="1842"/>
      <c r="Q135" s="1843"/>
      <c r="R135" s="1843"/>
      <c r="S135" s="906">
        <f>X132*S134</f>
        <v>0</v>
      </c>
      <c r="T135" s="29">
        <f>T134</f>
        <v>0</v>
      </c>
      <c r="U135" s="29">
        <f>S135*T135</f>
        <v>0</v>
      </c>
      <c r="V135" s="1836"/>
      <c r="W135" s="1837"/>
      <c r="X135" s="1838"/>
      <c r="Y135" s="1839"/>
      <c r="Z135" s="1839"/>
      <c r="AA135" s="907">
        <f>AF132*AA134</f>
        <v>0</v>
      </c>
      <c r="AB135" s="902">
        <f>AB134</f>
        <v>0</v>
      </c>
      <c r="AC135" s="902">
        <f>AA135*AB135</f>
        <v>0</v>
      </c>
      <c r="AD135" s="1840"/>
      <c r="AE135" s="1841"/>
      <c r="AF135" s="1842"/>
      <c r="AG135" s="1843"/>
      <c r="AH135" s="1843"/>
      <c r="AI135" s="906">
        <f>AN132*AI134</f>
        <v>0</v>
      </c>
      <c r="AJ135" s="29">
        <f>AJ134</f>
        <v>0</v>
      </c>
      <c r="AK135" s="29">
        <f>AI135*AJ135</f>
        <v>0</v>
      </c>
      <c r="AL135" s="1836"/>
      <c r="AM135" s="1837"/>
      <c r="AN135" s="1838"/>
      <c r="AO135" s="1839"/>
      <c r="AP135" s="1839"/>
      <c r="AQ135" s="907">
        <f>AV132*AQ134</f>
        <v>0</v>
      </c>
      <c r="AR135" s="902">
        <f>AR134</f>
        <v>0</v>
      </c>
      <c r="AS135" s="902">
        <f>AQ135*AR135</f>
        <v>0</v>
      </c>
      <c r="AT135" s="1840"/>
      <c r="AU135" s="1841"/>
      <c r="AV135" s="1842"/>
      <c r="AW135" s="1843"/>
      <c r="AX135" s="1843"/>
      <c r="AY135" s="906">
        <f>BD132*AY134</f>
        <v>0</v>
      </c>
      <c r="AZ135" s="29">
        <f>AZ134</f>
        <v>0</v>
      </c>
      <c r="BA135" s="29">
        <f>AY135*AZ135</f>
        <v>0</v>
      </c>
      <c r="BB135" s="1836"/>
      <c r="BC135" s="1837"/>
      <c r="BD135" s="1838"/>
      <c r="BE135" s="1839"/>
      <c r="BF135" s="1839"/>
      <c r="BG135" s="907">
        <f>BL132*BG134</f>
        <v>0</v>
      </c>
      <c r="BH135" s="902">
        <f>BH134</f>
        <v>0</v>
      </c>
      <c r="BI135" s="902">
        <f>BG135*BH135</f>
        <v>0</v>
      </c>
      <c r="BJ135" s="1840"/>
      <c r="BK135" s="1841"/>
      <c r="BL135" s="1842"/>
      <c r="BM135" s="1843"/>
      <c r="BN135" s="1843"/>
      <c r="BO135" s="906">
        <f>BT132*BO134</f>
        <v>0</v>
      </c>
      <c r="BP135" s="29">
        <f>BP134</f>
        <v>0</v>
      </c>
      <c r="BQ135" s="29">
        <f>BO135*BP135</f>
        <v>0</v>
      </c>
      <c r="BR135" s="1836"/>
      <c r="BS135" s="1837"/>
      <c r="BT135" s="1838"/>
      <c r="BU135" s="1839"/>
      <c r="BV135" s="1839"/>
      <c r="BW135" s="907">
        <f>CB132*BW134</f>
        <v>0</v>
      </c>
      <c r="BX135" s="902">
        <f>BX134</f>
        <v>0</v>
      </c>
      <c r="BY135" s="902">
        <f>BW135*BX135</f>
        <v>0</v>
      </c>
      <c r="BZ135" s="1840"/>
      <c r="CA135" s="1841"/>
      <c r="CB135" s="1842"/>
      <c r="CC135" s="1843"/>
      <c r="CD135" s="1843"/>
      <c r="CE135" s="906">
        <f>CJ132*CE134</f>
        <v>0</v>
      </c>
      <c r="CF135" s="29">
        <f>CF134</f>
        <v>0</v>
      </c>
      <c r="CG135" s="29">
        <f>CE135*CF135</f>
        <v>0</v>
      </c>
      <c r="CH135" s="1836"/>
      <c r="CI135" s="1837"/>
      <c r="CJ135" s="1838"/>
      <c r="CK135" s="1839"/>
      <c r="CL135" s="1839"/>
      <c r="CM135" s="907">
        <f>CR132*CM134</f>
        <v>0</v>
      </c>
      <c r="CN135" s="902">
        <f>CN134</f>
        <v>0</v>
      </c>
      <c r="CO135" s="902">
        <f>CM135*CN135</f>
        <v>0</v>
      </c>
      <c r="CP135" s="1840"/>
      <c r="CQ135" s="1841"/>
      <c r="CR135" s="1842"/>
      <c r="CS135" s="1843"/>
      <c r="CT135" s="1843"/>
      <c r="CU135" s="1844"/>
      <c r="CV135" s="1844"/>
      <c r="CW135" s="1845"/>
      <c r="CX135" s="1844"/>
      <c r="CY135" s="1845"/>
      <c r="CZ135" s="1845"/>
      <c r="DA135" s="1845"/>
      <c r="DB135" s="912"/>
    </row>
    <row r="136" spans="1:106" x14ac:dyDescent="0.3">
      <c r="A136" s="1835"/>
      <c r="B136" s="108" t="s">
        <v>254</v>
      </c>
      <c r="C136" s="906">
        <f>C132+C133-C135</f>
        <v>0</v>
      </c>
      <c r="D136" s="29">
        <f>D135</f>
        <v>0</v>
      </c>
      <c r="E136" s="29">
        <f>D136*C136</f>
        <v>0</v>
      </c>
      <c r="F136" s="1836"/>
      <c r="G136" s="1837"/>
      <c r="H136" s="1838"/>
      <c r="I136" s="1839"/>
      <c r="J136" s="1839"/>
      <c r="K136" s="907">
        <f>K132+K133-K135</f>
        <v>0</v>
      </c>
      <c r="L136" s="902">
        <f>L135</f>
        <v>0</v>
      </c>
      <c r="M136" s="902">
        <f>L136*K136</f>
        <v>0</v>
      </c>
      <c r="N136" s="1840"/>
      <c r="O136" s="1841"/>
      <c r="P136" s="1842"/>
      <c r="Q136" s="1843"/>
      <c r="R136" s="1843"/>
      <c r="S136" s="906">
        <f>S132+S133-S135</f>
        <v>0</v>
      </c>
      <c r="T136" s="29">
        <f>T135</f>
        <v>0</v>
      </c>
      <c r="U136" s="29">
        <f>T136*S136</f>
        <v>0</v>
      </c>
      <c r="V136" s="1836"/>
      <c r="W136" s="1837"/>
      <c r="X136" s="1838"/>
      <c r="Y136" s="1839"/>
      <c r="Z136" s="1839"/>
      <c r="AA136" s="907">
        <f>AA132+AA133-AA135</f>
        <v>0</v>
      </c>
      <c r="AB136" s="902">
        <f>AB135</f>
        <v>0</v>
      </c>
      <c r="AC136" s="902">
        <f>AB136*AA136</f>
        <v>0</v>
      </c>
      <c r="AD136" s="1840"/>
      <c r="AE136" s="1841"/>
      <c r="AF136" s="1842"/>
      <c r="AG136" s="1843"/>
      <c r="AH136" s="1843"/>
      <c r="AI136" s="906">
        <f>AI132+AI133-AI135</f>
        <v>0</v>
      </c>
      <c r="AJ136" s="29">
        <f>AJ135</f>
        <v>0</v>
      </c>
      <c r="AK136" s="29">
        <f>AJ136*AI136</f>
        <v>0</v>
      </c>
      <c r="AL136" s="1836"/>
      <c r="AM136" s="1837"/>
      <c r="AN136" s="1838"/>
      <c r="AO136" s="1839"/>
      <c r="AP136" s="1839"/>
      <c r="AQ136" s="907">
        <f>AQ132+AQ133-AQ135</f>
        <v>0</v>
      </c>
      <c r="AR136" s="902">
        <f>AR135</f>
        <v>0</v>
      </c>
      <c r="AS136" s="902">
        <f>AR136*AQ136</f>
        <v>0</v>
      </c>
      <c r="AT136" s="1840"/>
      <c r="AU136" s="1841"/>
      <c r="AV136" s="1842"/>
      <c r="AW136" s="1843"/>
      <c r="AX136" s="1843"/>
      <c r="AY136" s="906">
        <f>AY132+AY133-AY135</f>
        <v>0</v>
      </c>
      <c r="AZ136" s="29">
        <f>AZ135</f>
        <v>0</v>
      </c>
      <c r="BA136" s="29">
        <f>AZ136*AY136</f>
        <v>0</v>
      </c>
      <c r="BB136" s="1836"/>
      <c r="BC136" s="1837"/>
      <c r="BD136" s="1838"/>
      <c r="BE136" s="1839"/>
      <c r="BF136" s="1839"/>
      <c r="BG136" s="907">
        <f>BG132+BG133-BG135</f>
        <v>0</v>
      </c>
      <c r="BH136" s="902">
        <f>BH135</f>
        <v>0</v>
      </c>
      <c r="BI136" s="902">
        <f>BH136*BG136</f>
        <v>0</v>
      </c>
      <c r="BJ136" s="1840"/>
      <c r="BK136" s="1841"/>
      <c r="BL136" s="1842"/>
      <c r="BM136" s="1843"/>
      <c r="BN136" s="1843"/>
      <c r="BO136" s="906">
        <f>BO132+BO133-BO135</f>
        <v>0</v>
      </c>
      <c r="BP136" s="29">
        <f>BP135</f>
        <v>0</v>
      </c>
      <c r="BQ136" s="29">
        <f>BP136*BO136</f>
        <v>0</v>
      </c>
      <c r="BR136" s="1836"/>
      <c r="BS136" s="1837"/>
      <c r="BT136" s="1838"/>
      <c r="BU136" s="1839"/>
      <c r="BV136" s="1839"/>
      <c r="BW136" s="907">
        <f>BW132+BW133-BW135</f>
        <v>0</v>
      </c>
      <c r="BX136" s="902">
        <f>BX135</f>
        <v>0</v>
      </c>
      <c r="BY136" s="902">
        <f>BX136*BW136</f>
        <v>0</v>
      </c>
      <c r="BZ136" s="1840"/>
      <c r="CA136" s="1841"/>
      <c r="CB136" s="1842"/>
      <c r="CC136" s="1843"/>
      <c r="CD136" s="1843"/>
      <c r="CE136" s="906">
        <f>CE132+CE133-CE135</f>
        <v>0</v>
      </c>
      <c r="CF136" s="29">
        <f>CF135</f>
        <v>0</v>
      </c>
      <c r="CG136" s="29">
        <f>CF136*CE136</f>
        <v>0</v>
      </c>
      <c r="CH136" s="1836"/>
      <c r="CI136" s="1837"/>
      <c r="CJ136" s="1838"/>
      <c r="CK136" s="1839"/>
      <c r="CL136" s="1839"/>
      <c r="CM136" s="907">
        <f>CM132+CM133-CM135</f>
        <v>0</v>
      </c>
      <c r="CN136" s="902">
        <f>CN135</f>
        <v>0</v>
      </c>
      <c r="CO136" s="902">
        <f>CN136*CM136</f>
        <v>0</v>
      </c>
      <c r="CP136" s="1840"/>
      <c r="CQ136" s="1841"/>
      <c r="CR136" s="1842"/>
      <c r="CS136" s="1843"/>
      <c r="CT136" s="1843"/>
      <c r="CU136" s="1844"/>
      <c r="CV136" s="1844"/>
      <c r="CW136" s="1845"/>
      <c r="CX136" s="1844"/>
      <c r="CY136" s="1845"/>
      <c r="CZ136" s="1845"/>
      <c r="DA136" s="1845"/>
      <c r="DB136" s="912"/>
    </row>
    <row r="137" spans="1:106" x14ac:dyDescent="0.3">
      <c r="A137" s="1835" t="str">
        <f>A69</f>
        <v>NOVEMBRE</v>
      </c>
      <c r="B137" s="108" t="s">
        <v>255</v>
      </c>
      <c r="C137" s="906">
        <f>C136</f>
        <v>0</v>
      </c>
      <c r="D137" s="29">
        <f>D136</f>
        <v>0</v>
      </c>
      <c r="E137" s="29">
        <f>C137*D137</f>
        <v>0</v>
      </c>
      <c r="F137" s="1836">
        <f>E138*$I$3</f>
        <v>0</v>
      </c>
      <c r="G137" s="1837">
        <f>G132</f>
        <v>0</v>
      </c>
      <c r="H137" s="1838">
        <f>H132</f>
        <v>0</v>
      </c>
      <c r="I137" s="1839">
        <f>E140/(1-G137)</f>
        <v>0</v>
      </c>
      <c r="J137" s="1839">
        <f>I137*$F$3</f>
        <v>0</v>
      </c>
      <c r="K137" s="907">
        <f>K136</f>
        <v>0</v>
      </c>
      <c r="L137" s="902">
        <f>L136</f>
        <v>0</v>
      </c>
      <c r="M137" s="902">
        <f>K137*L137</f>
        <v>0</v>
      </c>
      <c r="N137" s="1840">
        <f>M138*$I$4</f>
        <v>0</v>
      </c>
      <c r="O137" s="1841">
        <f>O132</f>
        <v>0</v>
      </c>
      <c r="P137" s="1842">
        <f>P132</f>
        <v>0</v>
      </c>
      <c r="Q137" s="1843">
        <f>M140/(1-O137)</f>
        <v>0</v>
      </c>
      <c r="R137" s="1843">
        <f>Q137*$F$4</f>
        <v>0</v>
      </c>
      <c r="S137" s="906">
        <f>S136</f>
        <v>0</v>
      </c>
      <c r="T137" s="29">
        <f>T136</f>
        <v>0</v>
      </c>
      <c r="U137" s="29">
        <f>S137*T137</f>
        <v>0</v>
      </c>
      <c r="V137" s="1836">
        <f>U138*$I$5</f>
        <v>0</v>
      </c>
      <c r="W137" s="1837">
        <f>W132</f>
        <v>0</v>
      </c>
      <c r="X137" s="1838">
        <f>X132</f>
        <v>0</v>
      </c>
      <c r="Y137" s="1839">
        <f>U140/(1-W137)</f>
        <v>0</v>
      </c>
      <c r="Z137" s="1839">
        <f>Y137*$F$5</f>
        <v>0</v>
      </c>
      <c r="AA137" s="907">
        <f>AA136</f>
        <v>0</v>
      </c>
      <c r="AB137" s="902">
        <f>AB136</f>
        <v>0</v>
      </c>
      <c r="AC137" s="902">
        <f>AA137*AB137</f>
        <v>0</v>
      </c>
      <c r="AD137" s="1840">
        <f>AC138*$I$6</f>
        <v>0</v>
      </c>
      <c r="AE137" s="1841">
        <f>AE132</f>
        <v>0</v>
      </c>
      <c r="AF137" s="1842">
        <f>AF132</f>
        <v>0</v>
      </c>
      <c r="AG137" s="1843">
        <f>AC140/(1-AE137)</f>
        <v>0</v>
      </c>
      <c r="AH137" s="1843">
        <f>AG137*$F$6</f>
        <v>0</v>
      </c>
      <c r="AI137" s="906">
        <f>AI136</f>
        <v>0</v>
      </c>
      <c r="AJ137" s="29">
        <f>AJ136</f>
        <v>0</v>
      </c>
      <c r="AK137" s="29">
        <f>AI137*AJ137</f>
        <v>0</v>
      </c>
      <c r="AL137" s="1836">
        <f>AK138*$I$7</f>
        <v>0</v>
      </c>
      <c r="AM137" s="1837">
        <f>AM132</f>
        <v>0</v>
      </c>
      <c r="AN137" s="1838">
        <f>AN132</f>
        <v>0</v>
      </c>
      <c r="AO137" s="1839">
        <f>AK140/(1-AM137)</f>
        <v>0</v>
      </c>
      <c r="AP137" s="1839">
        <f>AO137*$F$7</f>
        <v>0</v>
      </c>
      <c r="AQ137" s="907">
        <f>AQ136</f>
        <v>0</v>
      </c>
      <c r="AR137" s="902">
        <f>AR136</f>
        <v>0</v>
      </c>
      <c r="AS137" s="902">
        <f>AQ137*AR137</f>
        <v>0</v>
      </c>
      <c r="AT137" s="1840">
        <f>AS138*$I$8</f>
        <v>0</v>
      </c>
      <c r="AU137" s="1841">
        <f>AU132</f>
        <v>0</v>
      </c>
      <c r="AV137" s="1842">
        <f>AV132</f>
        <v>0</v>
      </c>
      <c r="AW137" s="1843">
        <f>AS140/(1-AU137)</f>
        <v>0</v>
      </c>
      <c r="AX137" s="1843">
        <f>AW137*$F$8</f>
        <v>0</v>
      </c>
      <c r="AY137" s="906">
        <f>AY136</f>
        <v>0</v>
      </c>
      <c r="AZ137" s="29">
        <f>AZ136</f>
        <v>0</v>
      </c>
      <c r="BA137" s="29">
        <f>AY137*AZ137</f>
        <v>0</v>
      </c>
      <c r="BB137" s="1836">
        <f>BA138*$I$9</f>
        <v>0</v>
      </c>
      <c r="BC137" s="1837">
        <f>BC132</f>
        <v>0</v>
      </c>
      <c r="BD137" s="1838">
        <f>BD132</f>
        <v>0</v>
      </c>
      <c r="BE137" s="1839">
        <f>BA140/(1-BC137)</f>
        <v>0</v>
      </c>
      <c r="BF137" s="1839">
        <f>BE137*$F$9</f>
        <v>0</v>
      </c>
      <c r="BG137" s="907">
        <f>BG136</f>
        <v>0</v>
      </c>
      <c r="BH137" s="902">
        <f>BH136</f>
        <v>0</v>
      </c>
      <c r="BI137" s="902">
        <f>BG137*BH137</f>
        <v>0</v>
      </c>
      <c r="BJ137" s="1840">
        <f>BI138*$I$10</f>
        <v>0</v>
      </c>
      <c r="BK137" s="1841">
        <f>BK132</f>
        <v>0</v>
      </c>
      <c r="BL137" s="1842">
        <f>BL132</f>
        <v>0</v>
      </c>
      <c r="BM137" s="1843">
        <f>BI140/(1-BK137)</f>
        <v>0</v>
      </c>
      <c r="BN137" s="1843">
        <f>BM137*$F$10</f>
        <v>0</v>
      </c>
      <c r="BO137" s="906">
        <f>BO136</f>
        <v>0</v>
      </c>
      <c r="BP137" s="29">
        <f>BP136</f>
        <v>0</v>
      </c>
      <c r="BQ137" s="29">
        <f>BO137*BP137</f>
        <v>0</v>
      </c>
      <c r="BR137" s="1836">
        <f>BQ138*$I$11</f>
        <v>0</v>
      </c>
      <c r="BS137" s="1837">
        <f>BS132</f>
        <v>0</v>
      </c>
      <c r="BT137" s="1838">
        <f>BT132</f>
        <v>0</v>
      </c>
      <c r="BU137" s="1839">
        <f>BQ140/(1-BS137)</f>
        <v>0</v>
      </c>
      <c r="BV137" s="1839">
        <f>BU137*$F$11</f>
        <v>0</v>
      </c>
      <c r="BW137" s="907">
        <f>BW136</f>
        <v>0</v>
      </c>
      <c r="BX137" s="902">
        <f>BX136</f>
        <v>0</v>
      </c>
      <c r="BY137" s="902">
        <f>BW137*BX137</f>
        <v>0</v>
      </c>
      <c r="BZ137" s="1840">
        <f>BY138*$I$12</f>
        <v>0</v>
      </c>
      <c r="CA137" s="1841">
        <f>CA132</f>
        <v>0</v>
      </c>
      <c r="CB137" s="1842">
        <f>CB132</f>
        <v>0</v>
      </c>
      <c r="CC137" s="1843">
        <f>BY140/(1-CA137)</f>
        <v>0</v>
      </c>
      <c r="CD137" s="1843">
        <f>CC137*$F$12</f>
        <v>0</v>
      </c>
      <c r="CE137" s="906">
        <f>CE136</f>
        <v>0</v>
      </c>
      <c r="CF137" s="29">
        <f>CF136</f>
        <v>0</v>
      </c>
      <c r="CG137" s="29">
        <f>CE137*CF137</f>
        <v>0</v>
      </c>
      <c r="CH137" s="1836">
        <f>CG138*$I$13</f>
        <v>0</v>
      </c>
      <c r="CI137" s="1837">
        <f>CI132</f>
        <v>0</v>
      </c>
      <c r="CJ137" s="1838">
        <f>CJ132</f>
        <v>0</v>
      </c>
      <c r="CK137" s="1839">
        <f>CG140/(1-CI137)</f>
        <v>0</v>
      </c>
      <c r="CL137" s="1839">
        <f>CK137*$F$13</f>
        <v>0</v>
      </c>
      <c r="CM137" s="907">
        <f>CM136</f>
        <v>0</v>
      </c>
      <c r="CN137" s="902">
        <f>CN136</f>
        <v>0</v>
      </c>
      <c r="CO137" s="902">
        <f>CM137*CN137</f>
        <v>0</v>
      </c>
      <c r="CP137" s="1840">
        <f>CO138*$I$14</f>
        <v>0</v>
      </c>
      <c r="CQ137" s="1841">
        <f>CQ132</f>
        <v>0</v>
      </c>
      <c r="CR137" s="1842">
        <f>CR132</f>
        <v>0</v>
      </c>
      <c r="CS137" s="1843">
        <f>CO140/(1-CQ137)</f>
        <v>0</v>
      </c>
      <c r="CT137" s="1843">
        <f>CS137*$F$14</f>
        <v>0</v>
      </c>
      <c r="CU137" s="1844">
        <f>E138+M138+U138+AC138+AK138+AS138+BA138+BI138+BQ138+BY138+CG138+CO138</f>
        <v>0</v>
      </c>
      <c r="CV137" s="1844">
        <f>CP137+CH137+BZ137+BR137+BJ137+BB137+AT137+AL137+AD137+V137+N137+F137</f>
        <v>0</v>
      </c>
      <c r="CW137" s="1845">
        <f>I137+Q137+Y137+AG137+AO137+AW137+BE137+BM137+BU137+CC137+CK137+CS137</f>
        <v>0</v>
      </c>
      <c r="CX137" s="1844">
        <f>CT137+CL137+CD137+BV137+BN137+BF137+AX137+AP137+AH137+Z137+R137+J137</f>
        <v>0</v>
      </c>
      <c r="CY137" s="1845">
        <f>CZ132</f>
        <v>0</v>
      </c>
      <c r="CZ137" s="1845">
        <f>E141+M141+U141+AC141+AK141+AS141+BA141+BI141+BQ141+BY141+CG141+CO141</f>
        <v>0</v>
      </c>
      <c r="DA137" s="1845">
        <f>CZ137-CY137</f>
        <v>0</v>
      </c>
      <c r="DB137" s="914"/>
    </row>
    <row r="138" spans="1:106" x14ac:dyDescent="0.3">
      <c r="A138" s="1835"/>
      <c r="B138" s="108" t="s">
        <v>310</v>
      </c>
      <c r="C138" s="898">
        <f>C133</f>
        <v>0</v>
      </c>
      <c r="D138" s="899">
        <f>D133</f>
        <v>0</v>
      </c>
      <c r="E138" s="29">
        <f>C138*D138</f>
        <v>0</v>
      </c>
      <c r="F138" s="1836"/>
      <c r="G138" s="1837"/>
      <c r="H138" s="1838"/>
      <c r="I138" s="1839"/>
      <c r="J138" s="1839"/>
      <c r="K138" s="900">
        <f>K133</f>
        <v>0</v>
      </c>
      <c r="L138" s="901">
        <f>L133</f>
        <v>0</v>
      </c>
      <c r="M138" s="902">
        <f>K138*L138</f>
        <v>0</v>
      </c>
      <c r="N138" s="1840"/>
      <c r="O138" s="1841"/>
      <c r="P138" s="1842"/>
      <c r="Q138" s="1843"/>
      <c r="R138" s="1843"/>
      <c r="S138" s="898">
        <f>S133</f>
        <v>0</v>
      </c>
      <c r="T138" s="899">
        <f>T133</f>
        <v>0</v>
      </c>
      <c r="U138" s="29">
        <f>S138*T138</f>
        <v>0</v>
      </c>
      <c r="V138" s="1836"/>
      <c r="W138" s="1837"/>
      <c r="X138" s="1838"/>
      <c r="Y138" s="1839"/>
      <c r="Z138" s="1839"/>
      <c r="AA138" s="900">
        <f>AA133</f>
        <v>0</v>
      </c>
      <c r="AB138" s="901">
        <f>AB133</f>
        <v>0</v>
      </c>
      <c r="AC138" s="902">
        <f>AA138*AB138</f>
        <v>0</v>
      </c>
      <c r="AD138" s="1840"/>
      <c r="AE138" s="1841"/>
      <c r="AF138" s="1842"/>
      <c r="AG138" s="1843"/>
      <c r="AH138" s="1843"/>
      <c r="AI138" s="898">
        <f>AI133</f>
        <v>0</v>
      </c>
      <c r="AJ138" s="899">
        <f>AJ133</f>
        <v>0</v>
      </c>
      <c r="AK138" s="29">
        <f>AI138*AJ138</f>
        <v>0</v>
      </c>
      <c r="AL138" s="1836"/>
      <c r="AM138" s="1837"/>
      <c r="AN138" s="1838"/>
      <c r="AO138" s="1839"/>
      <c r="AP138" s="1839"/>
      <c r="AQ138" s="900">
        <f>AQ133</f>
        <v>0</v>
      </c>
      <c r="AR138" s="901">
        <f>AR133</f>
        <v>0</v>
      </c>
      <c r="AS138" s="902">
        <f>AQ138*AR138</f>
        <v>0</v>
      </c>
      <c r="AT138" s="1840"/>
      <c r="AU138" s="1841"/>
      <c r="AV138" s="1842"/>
      <c r="AW138" s="1843"/>
      <c r="AX138" s="1843"/>
      <c r="AY138" s="898">
        <f>AY133</f>
        <v>0</v>
      </c>
      <c r="AZ138" s="899">
        <f>AZ133</f>
        <v>0</v>
      </c>
      <c r="BA138" s="29">
        <f>AY138*AZ138</f>
        <v>0</v>
      </c>
      <c r="BB138" s="1836"/>
      <c r="BC138" s="1837"/>
      <c r="BD138" s="1838"/>
      <c r="BE138" s="1839"/>
      <c r="BF138" s="1839"/>
      <c r="BG138" s="900">
        <f>BG133</f>
        <v>0</v>
      </c>
      <c r="BH138" s="901">
        <f>BH133</f>
        <v>0</v>
      </c>
      <c r="BI138" s="902">
        <f>BG138*BH138</f>
        <v>0</v>
      </c>
      <c r="BJ138" s="1840"/>
      <c r="BK138" s="1841"/>
      <c r="BL138" s="1842"/>
      <c r="BM138" s="1843"/>
      <c r="BN138" s="1843"/>
      <c r="BO138" s="898">
        <f>BO133</f>
        <v>0</v>
      </c>
      <c r="BP138" s="899">
        <f>BP133</f>
        <v>0</v>
      </c>
      <c r="BQ138" s="29">
        <f>BO138*BP138</f>
        <v>0</v>
      </c>
      <c r="BR138" s="1836"/>
      <c r="BS138" s="1837"/>
      <c r="BT138" s="1838"/>
      <c r="BU138" s="1839"/>
      <c r="BV138" s="1839"/>
      <c r="BW138" s="900">
        <f>BW133</f>
        <v>0</v>
      </c>
      <c r="BX138" s="901">
        <f>BX133</f>
        <v>0</v>
      </c>
      <c r="BY138" s="902">
        <f>BW138*BX138</f>
        <v>0</v>
      </c>
      <c r="BZ138" s="1840"/>
      <c r="CA138" s="1841"/>
      <c r="CB138" s="1842"/>
      <c r="CC138" s="1843"/>
      <c r="CD138" s="1843"/>
      <c r="CE138" s="898">
        <f>CE133</f>
        <v>0</v>
      </c>
      <c r="CF138" s="899">
        <f>CF133</f>
        <v>0</v>
      </c>
      <c r="CG138" s="29">
        <f>CE138*CF138</f>
        <v>0</v>
      </c>
      <c r="CH138" s="1836"/>
      <c r="CI138" s="1837"/>
      <c r="CJ138" s="1838"/>
      <c r="CK138" s="1839"/>
      <c r="CL138" s="1839"/>
      <c r="CM138" s="900">
        <f>CM133</f>
        <v>0</v>
      </c>
      <c r="CN138" s="901">
        <f>CN133</f>
        <v>0</v>
      </c>
      <c r="CO138" s="902">
        <f>CM138*CN138</f>
        <v>0</v>
      </c>
      <c r="CP138" s="1840"/>
      <c r="CQ138" s="1841"/>
      <c r="CR138" s="1842"/>
      <c r="CS138" s="1843"/>
      <c r="CT138" s="1843"/>
      <c r="CU138" s="1844"/>
      <c r="CV138" s="1844"/>
      <c r="CW138" s="1845"/>
      <c r="CX138" s="1844"/>
      <c r="CY138" s="1845"/>
      <c r="CZ138" s="1845"/>
      <c r="DA138" s="1845"/>
      <c r="DB138" s="912"/>
    </row>
    <row r="139" spans="1:106" ht="12.75" hidden="1" customHeight="1" x14ac:dyDescent="0.3">
      <c r="A139" s="1835"/>
      <c r="B139" s="108" t="s">
        <v>315</v>
      </c>
      <c r="C139" s="906">
        <f>C138+C137</f>
        <v>0</v>
      </c>
      <c r="D139" s="29">
        <f>IF(C139=0,0,E139/C139)</f>
        <v>0</v>
      </c>
      <c r="E139" s="29">
        <f>E138+E137</f>
        <v>0</v>
      </c>
      <c r="F139" s="1836"/>
      <c r="G139" s="1837"/>
      <c r="H139" s="1838"/>
      <c r="I139" s="1839"/>
      <c r="J139" s="1839"/>
      <c r="K139" s="907">
        <f>K138+K137</f>
        <v>0</v>
      </c>
      <c r="L139" s="902">
        <f>IF(K139=0,0,M139/K139)</f>
        <v>0</v>
      </c>
      <c r="M139" s="902">
        <f>M138+M137</f>
        <v>0</v>
      </c>
      <c r="N139" s="1840"/>
      <c r="O139" s="1841"/>
      <c r="P139" s="1842"/>
      <c r="Q139" s="1843"/>
      <c r="R139" s="1843"/>
      <c r="S139" s="906">
        <f>S138+S137</f>
        <v>0</v>
      </c>
      <c r="T139" s="29">
        <f>IF(S139=0,0,U139/S139)</f>
        <v>0</v>
      </c>
      <c r="U139" s="29">
        <f>U138+U137</f>
        <v>0</v>
      </c>
      <c r="V139" s="1836"/>
      <c r="W139" s="1837"/>
      <c r="X139" s="1838"/>
      <c r="Y139" s="1839"/>
      <c r="Z139" s="1839"/>
      <c r="AA139" s="907">
        <f>AA138+AA137</f>
        <v>0</v>
      </c>
      <c r="AB139" s="902">
        <f>IF(AA139=0,0,AC139/AA139)</f>
        <v>0</v>
      </c>
      <c r="AC139" s="902">
        <f>AC138+AC137</f>
        <v>0</v>
      </c>
      <c r="AD139" s="1840"/>
      <c r="AE139" s="1841"/>
      <c r="AF139" s="1842"/>
      <c r="AG139" s="1843"/>
      <c r="AH139" s="1843"/>
      <c r="AI139" s="906">
        <f>AI138+AI137</f>
        <v>0</v>
      </c>
      <c r="AJ139" s="29">
        <f>IF(AI139=0,0,AK139/AI139)</f>
        <v>0</v>
      </c>
      <c r="AK139" s="29">
        <f>AK138+AK137</f>
        <v>0</v>
      </c>
      <c r="AL139" s="1836"/>
      <c r="AM139" s="1837"/>
      <c r="AN139" s="1838"/>
      <c r="AO139" s="1839"/>
      <c r="AP139" s="1839"/>
      <c r="AQ139" s="907">
        <f>AQ138+AQ137</f>
        <v>0</v>
      </c>
      <c r="AR139" s="902">
        <f>IF(AQ139=0,0,AS139/AQ139)</f>
        <v>0</v>
      </c>
      <c r="AS139" s="902">
        <f>AS138+AS137</f>
        <v>0</v>
      </c>
      <c r="AT139" s="1840"/>
      <c r="AU139" s="1841"/>
      <c r="AV139" s="1842"/>
      <c r="AW139" s="1843"/>
      <c r="AX139" s="1843"/>
      <c r="AY139" s="906">
        <f>AY138+AY137</f>
        <v>0</v>
      </c>
      <c r="AZ139" s="29">
        <f>IF(AY139=0,0,BA139/AY139)</f>
        <v>0</v>
      </c>
      <c r="BA139" s="29">
        <f>BA138+BA137</f>
        <v>0</v>
      </c>
      <c r="BB139" s="1836"/>
      <c r="BC139" s="1837"/>
      <c r="BD139" s="1838"/>
      <c r="BE139" s="1839"/>
      <c r="BF139" s="1839"/>
      <c r="BG139" s="907">
        <f>BG138+BG137</f>
        <v>0</v>
      </c>
      <c r="BH139" s="902">
        <f>IF(BG139=0,0,BI139/BG139)</f>
        <v>0</v>
      </c>
      <c r="BI139" s="902">
        <f>BI138+BI137</f>
        <v>0</v>
      </c>
      <c r="BJ139" s="1840"/>
      <c r="BK139" s="1841"/>
      <c r="BL139" s="1842"/>
      <c r="BM139" s="1843"/>
      <c r="BN139" s="1843"/>
      <c r="BO139" s="906">
        <f>BO138+BO137</f>
        <v>0</v>
      </c>
      <c r="BP139" s="29">
        <f>IF(BO139=0,0,BQ139/BO139)</f>
        <v>0</v>
      </c>
      <c r="BQ139" s="29">
        <f>BQ138+BQ137</f>
        <v>0</v>
      </c>
      <c r="BR139" s="1836"/>
      <c r="BS139" s="1837"/>
      <c r="BT139" s="1838"/>
      <c r="BU139" s="1839"/>
      <c r="BV139" s="1839"/>
      <c r="BW139" s="907">
        <f>BW138+BW137</f>
        <v>0</v>
      </c>
      <c r="BX139" s="902">
        <f>IF(BW139=0,0,BY139/BW139)</f>
        <v>0</v>
      </c>
      <c r="BY139" s="902">
        <f>BY138+BY137</f>
        <v>0</v>
      </c>
      <c r="BZ139" s="1840"/>
      <c r="CA139" s="1841"/>
      <c r="CB139" s="1842"/>
      <c r="CC139" s="1843"/>
      <c r="CD139" s="1843"/>
      <c r="CE139" s="906">
        <f>CE138+CE137</f>
        <v>0</v>
      </c>
      <c r="CF139" s="29">
        <f>IF(CE139=0,0,CG139/CE139)</f>
        <v>0</v>
      </c>
      <c r="CG139" s="29">
        <f>CG138+CG137</f>
        <v>0</v>
      </c>
      <c r="CH139" s="1836"/>
      <c r="CI139" s="1837"/>
      <c r="CJ139" s="1838"/>
      <c r="CK139" s="1839"/>
      <c r="CL139" s="1839"/>
      <c r="CM139" s="907">
        <f>CM138+CM137</f>
        <v>0</v>
      </c>
      <c r="CN139" s="902">
        <f>IF(CM139=0,0,CO139/CM139)</f>
        <v>0</v>
      </c>
      <c r="CO139" s="902">
        <f>CO138+CO137</f>
        <v>0</v>
      </c>
      <c r="CP139" s="1840"/>
      <c r="CQ139" s="1841"/>
      <c r="CR139" s="1842"/>
      <c r="CS139" s="1843"/>
      <c r="CT139" s="1843"/>
      <c r="CU139" s="1844"/>
      <c r="CV139" s="1844"/>
      <c r="CW139" s="1845"/>
      <c r="CX139" s="1844"/>
      <c r="CY139" s="1845"/>
      <c r="CZ139" s="1845"/>
      <c r="DA139" s="1845"/>
      <c r="DB139" s="912"/>
    </row>
    <row r="140" spans="1:106" x14ac:dyDescent="0.3">
      <c r="A140" s="1835"/>
      <c r="B140" s="108" t="s">
        <v>312</v>
      </c>
      <c r="C140" s="906">
        <f>H137*C139</f>
        <v>0</v>
      </c>
      <c r="D140" s="29">
        <f>D139</f>
        <v>0</v>
      </c>
      <c r="E140" s="29">
        <f>C140*D140</f>
        <v>0</v>
      </c>
      <c r="F140" s="1836"/>
      <c r="G140" s="1837"/>
      <c r="H140" s="1838"/>
      <c r="I140" s="1839"/>
      <c r="J140" s="1839"/>
      <c r="K140" s="907">
        <f>P137*K139</f>
        <v>0</v>
      </c>
      <c r="L140" s="902">
        <f>L139</f>
        <v>0</v>
      </c>
      <c r="M140" s="902">
        <f>K140*L140</f>
        <v>0</v>
      </c>
      <c r="N140" s="1840"/>
      <c r="O140" s="1841"/>
      <c r="P140" s="1842"/>
      <c r="Q140" s="1843"/>
      <c r="R140" s="1843"/>
      <c r="S140" s="906">
        <f>X137*S139</f>
        <v>0</v>
      </c>
      <c r="T140" s="29">
        <f>T139</f>
        <v>0</v>
      </c>
      <c r="U140" s="29">
        <f>S140*T140</f>
        <v>0</v>
      </c>
      <c r="V140" s="1836"/>
      <c r="W140" s="1837"/>
      <c r="X140" s="1838"/>
      <c r="Y140" s="1839"/>
      <c r="Z140" s="1839"/>
      <c r="AA140" s="907">
        <f>AF137*AA139</f>
        <v>0</v>
      </c>
      <c r="AB140" s="902">
        <f>AB139</f>
        <v>0</v>
      </c>
      <c r="AC140" s="902">
        <f>AA140*AB140</f>
        <v>0</v>
      </c>
      <c r="AD140" s="1840"/>
      <c r="AE140" s="1841"/>
      <c r="AF140" s="1842"/>
      <c r="AG140" s="1843"/>
      <c r="AH140" s="1843"/>
      <c r="AI140" s="906">
        <f>AN137*AI139</f>
        <v>0</v>
      </c>
      <c r="AJ140" s="29">
        <f>AJ139</f>
        <v>0</v>
      </c>
      <c r="AK140" s="29">
        <f>AI140*AJ140</f>
        <v>0</v>
      </c>
      <c r="AL140" s="1836"/>
      <c r="AM140" s="1837"/>
      <c r="AN140" s="1838"/>
      <c r="AO140" s="1839"/>
      <c r="AP140" s="1839"/>
      <c r="AQ140" s="907">
        <f>AV137*AQ139</f>
        <v>0</v>
      </c>
      <c r="AR140" s="902">
        <f>AR139</f>
        <v>0</v>
      </c>
      <c r="AS140" s="902">
        <f>AQ140*AR140</f>
        <v>0</v>
      </c>
      <c r="AT140" s="1840"/>
      <c r="AU140" s="1841"/>
      <c r="AV140" s="1842"/>
      <c r="AW140" s="1843"/>
      <c r="AX140" s="1843"/>
      <c r="AY140" s="906">
        <f>BD137*AY139</f>
        <v>0</v>
      </c>
      <c r="AZ140" s="29">
        <f>AZ139</f>
        <v>0</v>
      </c>
      <c r="BA140" s="29">
        <f>AY140*AZ140</f>
        <v>0</v>
      </c>
      <c r="BB140" s="1836"/>
      <c r="BC140" s="1837"/>
      <c r="BD140" s="1838"/>
      <c r="BE140" s="1839"/>
      <c r="BF140" s="1839"/>
      <c r="BG140" s="907">
        <f>BL137*BG139</f>
        <v>0</v>
      </c>
      <c r="BH140" s="902">
        <f>BH139</f>
        <v>0</v>
      </c>
      <c r="BI140" s="902">
        <f>BG140*BH140</f>
        <v>0</v>
      </c>
      <c r="BJ140" s="1840"/>
      <c r="BK140" s="1841"/>
      <c r="BL140" s="1842"/>
      <c r="BM140" s="1843"/>
      <c r="BN140" s="1843"/>
      <c r="BO140" s="906">
        <f>BT137*BO139</f>
        <v>0</v>
      </c>
      <c r="BP140" s="29">
        <f>BP139</f>
        <v>0</v>
      </c>
      <c r="BQ140" s="29">
        <f>BO140*BP140</f>
        <v>0</v>
      </c>
      <c r="BR140" s="1836"/>
      <c r="BS140" s="1837"/>
      <c r="BT140" s="1838"/>
      <c r="BU140" s="1839"/>
      <c r="BV140" s="1839"/>
      <c r="BW140" s="907">
        <f>CB137*BW139</f>
        <v>0</v>
      </c>
      <c r="BX140" s="902">
        <f>BX139</f>
        <v>0</v>
      </c>
      <c r="BY140" s="902">
        <f>BW140*BX140</f>
        <v>0</v>
      </c>
      <c r="BZ140" s="1840"/>
      <c r="CA140" s="1841"/>
      <c r="CB140" s="1842"/>
      <c r="CC140" s="1843"/>
      <c r="CD140" s="1843"/>
      <c r="CE140" s="906">
        <f>CJ137*CE139</f>
        <v>0</v>
      </c>
      <c r="CF140" s="29">
        <f>CF139</f>
        <v>0</v>
      </c>
      <c r="CG140" s="29">
        <f>CE140*CF140</f>
        <v>0</v>
      </c>
      <c r="CH140" s="1836"/>
      <c r="CI140" s="1837"/>
      <c r="CJ140" s="1838"/>
      <c r="CK140" s="1839"/>
      <c r="CL140" s="1839"/>
      <c r="CM140" s="907">
        <f>CR137*CM139</f>
        <v>0</v>
      </c>
      <c r="CN140" s="902">
        <f>CN139</f>
        <v>0</v>
      </c>
      <c r="CO140" s="902">
        <f>CM140*CN140</f>
        <v>0</v>
      </c>
      <c r="CP140" s="1840"/>
      <c r="CQ140" s="1841"/>
      <c r="CR140" s="1842"/>
      <c r="CS140" s="1843"/>
      <c r="CT140" s="1843"/>
      <c r="CU140" s="1844"/>
      <c r="CV140" s="1844"/>
      <c r="CW140" s="1845"/>
      <c r="CX140" s="1844"/>
      <c r="CY140" s="1845"/>
      <c r="CZ140" s="1845"/>
      <c r="DA140" s="1845"/>
      <c r="DB140" s="912"/>
    </row>
    <row r="141" spans="1:106" x14ac:dyDescent="0.3">
      <c r="A141" s="1835"/>
      <c r="B141" s="108" t="s">
        <v>254</v>
      </c>
      <c r="C141" s="906">
        <f>C137+C138-C140</f>
        <v>0</v>
      </c>
      <c r="D141" s="29">
        <f>D140</f>
        <v>0</v>
      </c>
      <c r="E141" s="29">
        <f>D141*C141</f>
        <v>0</v>
      </c>
      <c r="F141" s="1836"/>
      <c r="G141" s="1837"/>
      <c r="H141" s="1838"/>
      <c r="I141" s="1839"/>
      <c r="J141" s="1839"/>
      <c r="K141" s="907">
        <f>K137+K138-K140</f>
        <v>0</v>
      </c>
      <c r="L141" s="902">
        <f>L140</f>
        <v>0</v>
      </c>
      <c r="M141" s="902">
        <f>L141*K141</f>
        <v>0</v>
      </c>
      <c r="N141" s="1840"/>
      <c r="O141" s="1841"/>
      <c r="P141" s="1842"/>
      <c r="Q141" s="1843"/>
      <c r="R141" s="1843"/>
      <c r="S141" s="906">
        <f>S137+S138-S140</f>
        <v>0</v>
      </c>
      <c r="T141" s="29">
        <f>T140</f>
        <v>0</v>
      </c>
      <c r="U141" s="29">
        <f>T141*S141</f>
        <v>0</v>
      </c>
      <c r="V141" s="1836"/>
      <c r="W141" s="1837"/>
      <c r="X141" s="1838"/>
      <c r="Y141" s="1839"/>
      <c r="Z141" s="1839"/>
      <c r="AA141" s="907">
        <f>AA137+AA138-AA140</f>
        <v>0</v>
      </c>
      <c r="AB141" s="902">
        <f>AB140</f>
        <v>0</v>
      </c>
      <c r="AC141" s="902">
        <f>AB141*AA141</f>
        <v>0</v>
      </c>
      <c r="AD141" s="1840"/>
      <c r="AE141" s="1841"/>
      <c r="AF141" s="1842"/>
      <c r="AG141" s="1843"/>
      <c r="AH141" s="1843"/>
      <c r="AI141" s="906">
        <f>AI137+AI138-AI140</f>
        <v>0</v>
      </c>
      <c r="AJ141" s="29">
        <f>AJ140</f>
        <v>0</v>
      </c>
      <c r="AK141" s="29">
        <f>AJ141*AI141</f>
        <v>0</v>
      </c>
      <c r="AL141" s="1836"/>
      <c r="AM141" s="1837"/>
      <c r="AN141" s="1838"/>
      <c r="AO141" s="1839"/>
      <c r="AP141" s="1839"/>
      <c r="AQ141" s="907">
        <f>AQ137+AQ138-AQ140</f>
        <v>0</v>
      </c>
      <c r="AR141" s="902">
        <f>AR140</f>
        <v>0</v>
      </c>
      <c r="AS141" s="902">
        <f>AR141*AQ141</f>
        <v>0</v>
      </c>
      <c r="AT141" s="1840"/>
      <c r="AU141" s="1841"/>
      <c r="AV141" s="1842"/>
      <c r="AW141" s="1843"/>
      <c r="AX141" s="1843"/>
      <c r="AY141" s="906">
        <f>AY137+AY138-AY140</f>
        <v>0</v>
      </c>
      <c r="AZ141" s="29">
        <f>AZ140</f>
        <v>0</v>
      </c>
      <c r="BA141" s="29">
        <f>AZ141*AY141</f>
        <v>0</v>
      </c>
      <c r="BB141" s="1836"/>
      <c r="BC141" s="1837"/>
      <c r="BD141" s="1838"/>
      <c r="BE141" s="1839"/>
      <c r="BF141" s="1839"/>
      <c r="BG141" s="907">
        <f>BG137+BG138-BG140</f>
        <v>0</v>
      </c>
      <c r="BH141" s="902">
        <f>BH140</f>
        <v>0</v>
      </c>
      <c r="BI141" s="902">
        <f>BH141*BG141</f>
        <v>0</v>
      </c>
      <c r="BJ141" s="1840"/>
      <c r="BK141" s="1841"/>
      <c r="BL141" s="1842"/>
      <c r="BM141" s="1843"/>
      <c r="BN141" s="1843"/>
      <c r="BO141" s="906">
        <f>BO137+BO138-BO140</f>
        <v>0</v>
      </c>
      <c r="BP141" s="29">
        <f>BP140</f>
        <v>0</v>
      </c>
      <c r="BQ141" s="29">
        <f>BP141*BO141</f>
        <v>0</v>
      </c>
      <c r="BR141" s="1836"/>
      <c r="BS141" s="1837"/>
      <c r="BT141" s="1838"/>
      <c r="BU141" s="1839"/>
      <c r="BV141" s="1839"/>
      <c r="BW141" s="907">
        <f>BW137+BW138-BW140</f>
        <v>0</v>
      </c>
      <c r="BX141" s="902">
        <f>BX140</f>
        <v>0</v>
      </c>
      <c r="BY141" s="902">
        <f>BX141*BW141</f>
        <v>0</v>
      </c>
      <c r="BZ141" s="1840"/>
      <c r="CA141" s="1841"/>
      <c r="CB141" s="1842"/>
      <c r="CC141" s="1843"/>
      <c r="CD141" s="1843"/>
      <c r="CE141" s="906">
        <f>CE137+CE138-CE140</f>
        <v>0</v>
      </c>
      <c r="CF141" s="29">
        <f>CF140</f>
        <v>0</v>
      </c>
      <c r="CG141" s="29">
        <f>CF141*CE141</f>
        <v>0</v>
      </c>
      <c r="CH141" s="1836"/>
      <c r="CI141" s="1837"/>
      <c r="CJ141" s="1838"/>
      <c r="CK141" s="1839"/>
      <c r="CL141" s="1839"/>
      <c r="CM141" s="907">
        <f>CM137+CM138-CM140</f>
        <v>0</v>
      </c>
      <c r="CN141" s="902">
        <f>CN140</f>
        <v>0</v>
      </c>
      <c r="CO141" s="902">
        <f>CN141*CM141</f>
        <v>0</v>
      </c>
      <c r="CP141" s="1840"/>
      <c r="CQ141" s="1841"/>
      <c r="CR141" s="1842"/>
      <c r="CS141" s="1843"/>
      <c r="CT141" s="1843"/>
      <c r="CU141" s="1844"/>
      <c r="CV141" s="1844"/>
      <c r="CW141" s="1845"/>
      <c r="CX141" s="1844"/>
      <c r="CY141" s="1845"/>
      <c r="CZ141" s="1845"/>
      <c r="DA141" s="1845"/>
      <c r="DB141" s="912"/>
    </row>
    <row r="142" spans="1:106" x14ac:dyDescent="0.3">
      <c r="A142" s="1835" t="str">
        <f>A74</f>
        <v>DESEMBRE</v>
      </c>
      <c r="B142" s="108" t="s">
        <v>255</v>
      </c>
      <c r="C142" s="906">
        <f>C141</f>
        <v>0</v>
      </c>
      <c r="D142" s="29">
        <f>D141</f>
        <v>0</v>
      </c>
      <c r="E142" s="29">
        <f>C142*D142</f>
        <v>0</v>
      </c>
      <c r="F142" s="1836">
        <f>E143*$I$3</f>
        <v>0</v>
      </c>
      <c r="G142" s="1837">
        <f>G137</f>
        <v>0</v>
      </c>
      <c r="H142" s="1838">
        <f>H137</f>
        <v>0</v>
      </c>
      <c r="I142" s="1839">
        <f>E145/(1-G142)</f>
        <v>0</v>
      </c>
      <c r="J142" s="1839">
        <f>I142*$F$3</f>
        <v>0</v>
      </c>
      <c r="K142" s="907">
        <f>K141</f>
        <v>0</v>
      </c>
      <c r="L142" s="902">
        <f>L141</f>
        <v>0</v>
      </c>
      <c r="M142" s="902">
        <f>K142*L142</f>
        <v>0</v>
      </c>
      <c r="N142" s="1840">
        <f>M143*$I$4</f>
        <v>0</v>
      </c>
      <c r="O142" s="1841">
        <f>O137</f>
        <v>0</v>
      </c>
      <c r="P142" s="1842">
        <f>P137</f>
        <v>0</v>
      </c>
      <c r="Q142" s="1843">
        <f>M145/(1-O142)</f>
        <v>0</v>
      </c>
      <c r="R142" s="1843">
        <f>Q142*$F$4</f>
        <v>0</v>
      </c>
      <c r="S142" s="906">
        <f>S141</f>
        <v>0</v>
      </c>
      <c r="T142" s="29">
        <f>T141</f>
        <v>0</v>
      </c>
      <c r="U142" s="29">
        <f>S142*T142</f>
        <v>0</v>
      </c>
      <c r="V142" s="1836">
        <f>U143*$I$5</f>
        <v>0</v>
      </c>
      <c r="W142" s="1837">
        <f>W137</f>
        <v>0</v>
      </c>
      <c r="X142" s="1838">
        <f>X137</f>
        <v>0</v>
      </c>
      <c r="Y142" s="1839">
        <f>U145/(1-W142)</f>
        <v>0</v>
      </c>
      <c r="Z142" s="1839">
        <f>Y142*$F$5</f>
        <v>0</v>
      </c>
      <c r="AA142" s="907">
        <f>AA141</f>
        <v>0</v>
      </c>
      <c r="AB142" s="902">
        <f>AB141</f>
        <v>0</v>
      </c>
      <c r="AC142" s="902">
        <f>AA142*AB142</f>
        <v>0</v>
      </c>
      <c r="AD142" s="1840">
        <f>AC143*$I$6</f>
        <v>0</v>
      </c>
      <c r="AE142" s="1841">
        <f>AE137</f>
        <v>0</v>
      </c>
      <c r="AF142" s="1842">
        <f>AF137</f>
        <v>0</v>
      </c>
      <c r="AG142" s="1843">
        <f>AC145/(1-AE142)</f>
        <v>0</v>
      </c>
      <c r="AH142" s="1843">
        <f>AG142*$F$6</f>
        <v>0</v>
      </c>
      <c r="AI142" s="906">
        <f>AI141</f>
        <v>0</v>
      </c>
      <c r="AJ142" s="29">
        <f>AJ141</f>
        <v>0</v>
      </c>
      <c r="AK142" s="29">
        <f>AI142*AJ142</f>
        <v>0</v>
      </c>
      <c r="AL142" s="1836">
        <f>AK143*$I$7</f>
        <v>0</v>
      </c>
      <c r="AM142" s="1837">
        <f>AM137</f>
        <v>0</v>
      </c>
      <c r="AN142" s="1838">
        <f>AN137</f>
        <v>0</v>
      </c>
      <c r="AO142" s="1839">
        <f>AK145/(1-AM142)</f>
        <v>0</v>
      </c>
      <c r="AP142" s="1839">
        <f>AO142*$F$7</f>
        <v>0</v>
      </c>
      <c r="AQ142" s="907">
        <f>AQ141</f>
        <v>0</v>
      </c>
      <c r="AR142" s="902">
        <f>AR141</f>
        <v>0</v>
      </c>
      <c r="AS142" s="902">
        <f>AQ142*AR142</f>
        <v>0</v>
      </c>
      <c r="AT142" s="1840">
        <f>AS143*$I$8</f>
        <v>0</v>
      </c>
      <c r="AU142" s="1841">
        <f>AU137</f>
        <v>0</v>
      </c>
      <c r="AV142" s="1842">
        <f>AV137</f>
        <v>0</v>
      </c>
      <c r="AW142" s="1843">
        <f>AS145/(1-AU142)</f>
        <v>0</v>
      </c>
      <c r="AX142" s="1843">
        <f>AW142*$F$8</f>
        <v>0</v>
      </c>
      <c r="AY142" s="906">
        <f>AY141</f>
        <v>0</v>
      </c>
      <c r="AZ142" s="29">
        <f>AZ141</f>
        <v>0</v>
      </c>
      <c r="BA142" s="29">
        <f>AY142*AZ142</f>
        <v>0</v>
      </c>
      <c r="BB142" s="1836">
        <f>BA143*$I$9</f>
        <v>0</v>
      </c>
      <c r="BC142" s="1837">
        <f>BC137</f>
        <v>0</v>
      </c>
      <c r="BD142" s="1838">
        <f>BD137</f>
        <v>0</v>
      </c>
      <c r="BE142" s="1839">
        <f>BA145/(1-BC142)</f>
        <v>0</v>
      </c>
      <c r="BF142" s="1839">
        <f>BE142*$F$9</f>
        <v>0</v>
      </c>
      <c r="BG142" s="907">
        <f>BG141</f>
        <v>0</v>
      </c>
      <c r="BH142" s="902">
        <f>BH141</f>
        <v>0</v>
      </c>
      <c r="BI142" s="902">
        <f>BG142*BH142</f>
        <v>0</v>
      </c>
      <c r="BJ142" s="1840">
        <f>BI143*$I$10</f>
        <v>0</v>
      </c>
      <c r="BK142" s="1841">
        <f>BK137</f>
        <v>0</v>
      </c>
      <c r="BL142" s="1842">
        <f>BL137</f>
        <v>0</v>
      </c>
      <c r="BM142" s="1843">
        <f>BI145/(1-BK142)</f>
        <v>0</v>
      </c>
      <c r="BN142" s="1843">
        <f>BM142*$F$10</f>
        <v>0</v>
      </c>
      <c r="BO142" s="906">
        <f>BO141</f>
        <v>0</v>
      </c>
      <c r="BP142" s="29">
        <f>BP141</f>
        <v>0</v>
      </c>
      <c r="BQ142" s="29">
        <f>BO142*BP142</f>
        <v>0</v>
      </c>
      <c r="BR142" s="1836">
        <f>BQ143*$I$11</f>
        <v>0</v>
      </c>
      <c r="BS142" s="1837">
        <f>BS137</f>
        <v>0</v>
      </c>
      <c r="BT142" s="1838">
        <f>BT137</f>
        <v>0</v>
      </c>
      <c r="BU142" s="1839">
        <f>BQ145/(1-BS142)</f>
        <v>0</v>
      </c>
      <c r="BV142" s="1839">
        <f>BU142*$F$11</f>
        <v>0</v>
      </c>
      <c r="BW142" s="907">
        <f>BW141</f>
        <v>0</v>
      </c>
      <c r="BX142" s="902">
        <f>BX141</f>
        <v>0</v>
      </c>
      <c r="BY142" s="902">
        <f>BW142*BX142</f>
        <v>0</v>
      </c>
      <c r="BZ142" s="1840">
        <f>BY143*$I$12</f>
        <v>0</v>
      </c>
      <c r="CA142" s="1841">
        <f>CA137</f>
        <v>0</v>
      </c>
      <c r="CB142" s="1842">
        <f>CB137</f>
        <v>0</v>
      </c>
      <c r="CC142" s="1843">
        <f>BY145/(1-CA142)</f>
        <v>0</v>
      </c>
      <c r="CD142" s="1843">
        <f>CC142*$F$12</f>
        <v>0</v>
      </c>
      <c r="CE142" s="906">
        <f>CE141</f>
        <v>0</v>
      </c>
      <c r="CF142" s="29">
        <f>CF141</f>
        <v>0</v>
      </c>
      <c r="CG142" s="29">
        <f>CE142*CF142</f>
        <v>0</v>
      </c>
      <c r="CH142" s="1836">
        <f>CG143*$I$13</f>
        <v>0</v>
      </c>
      <c r="CI142" s="1837">
        <f>CI137</f>
        <v>0</v>
      </c>
      <c r="CJ142" s="1838">
        <f>CJ137</f>
        <v>0</v>
      </c>
      <c r="CK142" s="1839">
        <f>CG145/(1-CI142)</f>
        <v>0</v>
      </c>
      <c r="CL142" s="1839">
        <f>CK142*$F$13</f>
        <v>0</v>
      </c>
      <c r="CM142" s="907">
        <f>CM141</f>
        <v>0</v>
      </c>
      <c r="CN142" s="902">
        <f>CN141</f>
        <v>0</v>
      </c>
      <c r="CO142" s="902">
        <f>CM142*CN142</f>
        <v>0</v>
      </c>
      <c r="CP142" s="1840">
        <f>CO143*$I$14</f>
        <v>0</v>
      </c>
      <c r="CQ142" s="1841">
        <f>CQ137</f>
        <v>0</v>
      </c>
      <c r="CR142" s="1842">
        <f>CR137</f>
        <v>0</v>
      </c>
      <c r="CS142" s="1843">
        <f>CO145/(1-CQ142)</f>
        <v>0</v>
      </c>
      <c r="CT142" s="1843">
        <f>CS142*$F$14</f>
        <v>0</v>
      </c>
      <c r="CU142" s="1844">
        <f>E143+M143+U143+AC143+AK143+AS143+BA143+BI143+BQ143+BY143+CG143+CO143</f>
        <v>0</v>
      </c>
      <c r="CV142" s="1844">
        <f>CP142+CH142+BZ142+BR142+BJ142+BB142+AT142+AL142+AD142+V142+N142+F142</f>
        <v>0</v>
      </c>
      <c r="CW142" s="1845">
        <f>I142+Q142+Y142+AG142+AO142+AW142+BE142+BM142+BU142+CC142+CK142+CS142</f>
        <v>0</v>
      </c>
      <c r="CX142" s="1844">
        <f>CT142+CL142+CD142+BV142+BN142+BF142+AX142+AP142+AH142+Z142+R142+J142</f>
        <v>0</v>
      </c>
      <c r="CY142" s="1845">
        <f>CZ137</f>
        <v>0</v>
      </c>
      <c r="CZ142" s="1845">
        <f>E146+M146+U146+AC146+AK146+AS146+BA146+BI146+BQ146+BY146+CG146+CO146</f>
        <v>0</v>
      </c>
      <c r="DA142" s="1845">
        <f>CZ142-CY142</f>
        <v>0</v>
      </c>
      <c r="DB142" s="914"/>
    </row>
    <row r="143" spans="1:106" x14ac:dyDescent="0.3">
      <c r="A143" s="1835"/>
      <c r="B143" s="108" t="s">
        <v>310</v>
      </c>
      <c r="C143" s="898">
        <f>C138</f>
        <v>0</v>
      </c>
      <c r="D143" s="899">
        <f>D138</f>
        <v>0</v>
      </c>
      <c r="E143" s="29">
        <f>C143*D143</f>
        <v>0</v>
      </c>
      <c r="F143" s="1836"/>
      <c r="G143" s="1837"/>
      <c r="H143" s="1838"/>
      <c r="I143" s="1839"/>
      <c r="J143" s="1839"/>
      <c r="K143" s="900">
        <f>K138</f>
        <v>0</v>
      </c>
      <c r="L143" s="901">
        <f>L138</f>
        <v>0</v>
      </c>
      <c r="M143" s="902">
        <f>K143*L143</f>
        <v>0</v>
      </c>
      <c r="N143" s="1840"/>
      <c r="O143" s="1841"/>
      <c r="P143" s="1842"/>
      <c r="Q143" s="1843"/>
      <c r="R143" s="1843"/>
      <c r="S143" s="898">
        <f>S138</f>
        <v>0</v>
      </c>
      <c r="T143" s="899">
        <f>T138</f>
        <v>0</v>
      </c>
      <c r="U143" s="29">
        <f>S143*T143</f>
        <v>0</v>
      </c>
      <c r="V143" s="1836"/>
      <c r="W143" s="1837"/>
      <c r="X143" s="1838"/>
      <c r="Y143" s="1839"/>
      <c r="Z143" s="1839"/>
      <c r="AA143" s="900">
        <f>AA138</f>
        <v>0</v>
      </c>
      <c r="AB143" s="901">
        <f>AB138</f>
        <v>0</v>
      </c>
      <c r="AC143" s="902">
        <f>AA143*AB143</f>
        <v>0</v>
      </c>
      <c r="AD143" s="1840"/>
      <c r="AE143" s="1841"/>
      <c r="AF143" s="1842"/>
      <c r="AG143" s="1843"/>
      <c r="AH143" s="1843"/>
      <c r="AI143" s="898">
        <f>AI138</f>
        <v>0</v>
      </c>
      <c r="AJ143" s="899">
        <f>AJ138</f>
        <v>0</v>
      </c>
      <c r="AK143" s="29">
        <f>AI143*AJ143</f>
        <v>0</v>
      </c>
      <c r="AL143" s="1836"/>
      <c r="AM143" s="1837"/>
      <c r="AN143" s="1838"/>
      <c r="AO143" s="1839"/>
      <c r="AP143" s="1839"/>
      <c r="AQ143" s="900">
        <f>AQ138</f>
        <v>0</v>
      </c>
      <c r="AR143" s="901">
        <f>AR138</f>
        <v>0</v>
      </c>
      <c r="AS143" s="902">
        <f>AQ143*AR143</f>
        <v>0</v>
      </c>
      <c r="AT143" s="1840"/>
      <c r="AU143" s="1841"/>
      <c r="AV143" s="1842"/>
      <c r="AW143" s="1843"/>
      <c r="AX143" s="1843"/>
      <c r="AY143" s="898">
        <f>AY138</f>
        <v>0</v>
      </c>
      <c r="AZ143" s="899">
        <f>AZ138</f>
        <v>0</v>
      </c>
      <c r="BA143" s="29">
        <f>AY143*AZ143</f>
        <v>0</v>
      </c>
      <c r="BB143" s="1836"/>
      <c r="BC143" s="1837"/>
      <c r="BD143" s="1838"/>
      <c r="BE143" s="1839"/>
      <c r="BF143" s="1839"/>
      <c r="BG143" s="900">
        <f>BG138</f>
        <v>0</v>
      </c>
      <c r="BH143" s="901">
        <f>BH138</f>
        <v>0</v>
      </c>
      <c r="BI143" s="902">
        <f>BG143*BH143</f>
        <v>0</v>
      </c>
      <c r="BJ143" s="1840"/>
      <c r="BK143" s="1841"/>
      <c r="BL143" s="1842"/>
      <c r="BM143" s="1843"/>
      <c r="BN143" s="1843"/>
      <c r="BO143" s="898">
        <f>BO138</f>
        <v>0</v>
      </c>
      <c r="BP143" s="899">
        <f>BP138</f>
        <v>0</v>
      </c>
      <c r="BQ143" s="29">
        <f>BO143*BP143</f>
        <v>0</v>
      </c>
      <c r="BR143" s="1836"/>
      <c r="BS143" s="1837"/>
      <c r="BT143" s="1838"/>
      <c r="BU143" s="1839"/>
      <c r="BV143" s="1839"/>
      <c r="BW143" s="900">
        <f>BW138</f>
        <v>0</v>
      </c>
      <c r="BX143" s="901">
        <f>BX138</f>
        <v>0</v>
      </c>
      <c r="BY143" s="902">
        <f>BW143*BX143</f>
        <v>0</v>
      </c>
      <c r="BZ143" s="1840"/>
      <c r="CA143" s="1841"/>
      <c r="CB143" s="1842"/>
      <c r="CC143" s="1843"/>
      <c r="CD143" s="1843"/>
      <c r="CE143" s="898">
        <f>CE138</f>
        <v>0</v>
      </c>
      <c r="CF143" s="899">
        <f>CF138</f>
        <v>0</v>
      </c>
      <c r="CG143" s="29">
        <f>CE143*CF143</f>
        <v>0</v>
      </c>
      <c r="CH143" s="1836"/>
      <c r="CI143" s="1837"/>
      <c r="CJ143" s="1838"/>
      <c r="CK143" s="1839"/>
      <c r="CL143" s="1839"/>
      <c r="CM143" s="900">
        <f>CM138</f>
        <v>0</v>
      </c>
      <c r="CN143" s="901">
        <f>CN138</f>
        <v>0</v>
      </c>
      <c r="CO143" s="902">
        <f>CM143*CN143</f>
        <v>0</v>
      </c>
      <c r="CP143" s="1840"/>
      <c r="CQ143" s="1841"/>
      <c r="CR143" s="1842"/>
      <c r="CS143" s="1843"/>
      <c r="CT143" s="1843"/>
      <c r="CU143" s="1844"/>
      <c r="CV143" s="1844"/>
      <c r="CW143" s="1845"/>
      <c r="CX143" s="1844"/>
      <c r="CY143" s="1845"/>
      <c r="CZ143" s="1845"/>
      <c r="DA143" s="1845"/>
      <c r="DB143" s="912"/>
    </row>
    <row r="144" spans="1:106" ht="12.75" hidden="1" customHeight="1" x14ac:dyDescent="0.3">
      <c r="A144" s="1835"/>
      <c r="B144" s="108" t="s">
        <v>315</v>
      </c>
      <c r="C144" s="906">
        <f>C143+C142</f>
        <v>0</v>
      </c>
      <c r="D144" s="29">
        <f>IF(C144=0,0,E144/C144)</f>
        <v>0</v>
      </c>
      <c r="E144" s="29">
        <f>E143+E142</f>
        <v>0</v>
      </c>
      <c r="F144" s="1836"/>
      <c r="G144" s="1837"/>
      <c r="H144" s="1838"/>
      <c r="I144" s="1839"/>
      <c r="J144" s="1839"/>
      <c r="K144" s="907">
        <f>K143+K142</f>
        <v>0</v>
      </c>
      <c r="L144" s="902">
        <f>IF(K144=0,0,M144/K144)</f>
        <v>0</v>
      </c>
      <c r="M144" s="902">
        <f>M143+M142</f>
        <v>0</v>
      </c>
      <c r="N144" s="1840"/>
      <c r="O144" s="1841"/>
      <c r="P144" s="1842"/>
      <c r="Q144" s="1843"/>
      <c r="R144" s="1843"/>
      <c r="S144" s="906">
        <f>S143+S142</f>
        <v>0</v>
      </c>
      <c r="T144" s="29">
        <f>IF(S144=0,0,U144/S144)</f>
        <v>0</v>
      </c>
      <c r="U144" s="29">
        <f>U143+U142</f>
        <v>0</v>
      </c>
      <c r="V144" s="1836"/>
      <c r="W144" s="1837"/>
      <c r="X144" s="1838"/>
      <c r="Y144" s="1839"/>
      <c r="Z144" s="1839"/>
      <c r="AA144" s="907">
        <f>AA143+AA142</f>
        <v>0</v>
      </c>
      <c r="AB144" s="902">
        <f>IF(AA144=0,0,AC144/AA144)</f>
        <v>0</v>
      </c>
      <c r="AC144" s="902">
        <f>AC143+AC142</f>
        <v>0</v>
      </c>
      <c r="AD144" s="1840"/>
      <c r="AE144" s="1841"/>
      <c r="AF144" s="1842"/>
      <c r="AG144" s="1843"/>
      <c r="AH144" s="1843"/>
      <c r="AI144" s="906">
        <f>AI143+AI142</f>
        <v>0</v>
      </c>
      <c r="AJ144" s="29">
        <f>IF(AI144=0,0,AK144/AI144)</f>
        <v>0</v>
      </c>
      <c r="AK144" s="29">
        <f>AK143+AK142</f>
        <v>0</v>
      </c>
      <c r="AL144" s="1836"/>
      <c r="AM144" s="1837"/>
      <c r="AN144" s="1838"/>
      <c r="AO144" s="1839"/>
      <c r="AP144" s="1839"/>
      <c r="AQ144" s="907">
        <f>AQ143+AQ142</f>
        <v>0</v>
      </c>
      <c r="AR144" s="902">
        <f>IF(AQ144=0,0,AS144/AQ144)</f>
        <v>0</v>
      </c>
      <c r="AS144" s="902">
        <f>AS143+AS142</f>
        <v>0</v>
      </c>
      <c r="AT144" s="1840"/>
      <c r="AU144" s="1841"/>
      <c r="AV144" s="1842"/>
      <c r="AW144" s="1843"/>
      <c r="AX144" s="1843"/>
      <c r="AY144" s="906">
        <f>AY143+AY142</f>
        <v>0</v>
      </c>
      <c r="AZ144" s="29">
        <f>IF(AY144=0,0,BA144/AY144)</f>
        <v>0</v>
      </c>
      <c r="BA144" s="29">
        <f>BA143+BA142</f>
        <v>0</v>
      </c>
      <c r="BB144" s="1836"/>
      <c r="BC144" s="1837"/>
      <c r="BD144" s="1838"/>
      <c r="BE144" s="1839"/>
      <c r="BF144" s="1839"/>
      <c r="BG144" s="907">
        <f>BG143+BG142</f>
        <v>0</v>
      </c>
      <c r="BH144" s="902">
        <f>IF(BG144=0,0,BI144/BG144)</f>
        <v>0</v>
      </c>
      <c r="BI144" s="902">
        <f>BI143+BI142</f>
        <v>0</v>
      </c>
      <c r="BJ144" s="1840"/>
      <c r="BK144" s="1841"/>
      <c r="BL144" s="1842"/>
      <c r="BM144" s="1843"/>
      <c r="BN144" s="1843"/>
      <c r="BO144" s="906">
        <f>BO143+BO142</f>
        <v>0</v>
      </c>
      <c r="BP144" s="29">
        <f>IF(BO144=0,0,BQ144/BO144)</f>
        <v>0</v>
      </c>
      <c r="BQ144" s="29">
        <f>BQ143+BQ142</f>
        <v>0</v>
      </c>
      <c r="BR144" s="1836"/>
      <c r="BS144" s="1837"/>
      <c r="BT144" s="1838"/>
      <c r="BU144" s="1839"/>
      <c r="BV144" s="1839"/>
      <c r="BW144" s="907">
        <f>BW143+BW142</f>
        <v>0</v>
      </c>
      <c r="BX144" s="902">
        <f>IF(BW144=0,0,BY144/BW144)</f>
        <v>0</v>
      </c>
      <c r="BY144" s="902">
        <f>BY143+BY142</f>
        <v>0</v>
      </c>
      <c r="BZ144" s="1840"/>
      <c r="CA144" s="1841"/>
      <c r="CB144" s="1842"/>
      <c r="CC144" s="1843"/>
      <c r="CD144" s="1843"/>
      <c r="CE144" s="906">
        <f>CE143+CE142</f>
        <v>0</v>
      </c>
      <c r="CF144" s="29">
        <f>IF(CE144=0,0,CG144/CE144)</f>
        <v>0</v>
      </c>
      <c r="CG144" s="29">
        <f>CG143+CG142</f>
        <v>0</v>
      </c>
      <c r="CH144" s="1836"/>
      <c r="CI144" s="1837"/>
      <c r="CJ144" s="1838"/>
      <c r="CK144" s="1839"/>
      <c r="CL144" s="1839"/>
      <c r="CM144" s="907">
        <f>CM143+CM142</f>
        <v>0</v>
      </c>
      <c r="CN144" s="902">
        <f>IF(CM144=0,0,CO144/CM144)</f>
        <v>0</v>
      </c>
      <c r="CO144" s="902">
        <f>CO143+CO142</f>
        <v>0</v>
      </c>
      <c r="CP144" s="1840"/>
      <c r="CQ144" s="1841"/>
      <c r="CR144" s="1842"/>
      <c r="CS144" s="1843"/>
      <c r="CT144" s="1843"/>
      <c r="CU144" s="1844"/>
      <c r="CV144" s="1844"/>
      <c r="CW144" s="1845"/>
      <c r="CX144" s="1844"/>
      <c r="CY144" s="1845"/>
      <c r="CZ144" s="1845"/>
      <c r="DA144" s="1845"/>
      <c r="DB144" s="912"/>
    </row>
    <row r="145" spans="1:119" x14ac:dyDescent="0.3">
      <c r="A145" s="1835"/>
      <c r="B145" s="108" t="s">
        <v>312</v>
      </c>
      <c r="C145" s="906">
        <f>H142*C144</f>
        <v>0</v>
      </c>
      <c r="D145" s="29">
        <f>D144</f>
        <v>0</v>
      </c>
      <c r="E145" s="29">
        <f>C145*D145</f>
        <v>0</v>
      </c>
      <c r="F145" s="1836"/>
      <c r="G145" s="1837"/>
      <c r="H145" s="1838"/>
      <c r="I145" s="1839"/>
      <c r="J145" s="1839"/>
      <c r="K145" s="907">
        <f>P142*K144</f>
        <v>0</v>
      </c>
      <c r="L145" s="902">
        <f>L144</f>
        <v>0</v>
      </c>
      <c r="M145" s="902">
        <f>K145*L145</f>
        <v>0</v>
      </c>
      <c r="N145" s="1840"/>
      <c r="O145" s="1841"/>
      <c r="P145" s="1842"/>
      <c r="Q145" s="1843"/>
      <c r="R145" s="1843"/>
      <c r="S145" s="906">
        <f>X142*S144</f>
        <v>0</v>
      </c>
      <c r="T145" s="29">
        <f>T144</f>
        <v>0</v>
      </c>
      <c r="U145" s="29">
        <f>S145*T145</f>
        <v>0</v>
      </c>
      <c r="V145" s="1836"/>
      <c r="W145" s="1837"/>
      <c r="X145" s="1838"/>
      <c r="Y145" s="1839"/>
      <c r="Z145" s="1839"/>
      <c r="AA145" s="907">
        <f>AF142*AA144</f>
        <v>0</v>
      </c>
      <c r="AB145" s="902">
        <f>AB144</f>
        <v>0</v>
      </c>
      <c r="AC145" s="902">
        <f>AA145*AB145</f>
        <v>0</v>
      </c>
      <c r="AD145" s="1840"/>
      <c r="AE145" s="1841"/>
      <c r="AF145" s="1842"/>
      <c r="AG145" s="1843"/>
      <c r="AH145" s="1843"/>
      <c r="AI145" s="906">
        <f>AN142*AI144</f>
        <v>0</v>
      </c>
      <c r="AJ145" s="29">
        <f>AJ144</f>
        <v>0</v>
      </c>
      <c r="AK145" s="29">
        <f>AI145*AJ145</f>
        <v>0</v>
      </c>
      <c r="AL145" s="1836"/>
      <c r="AM145" s="1837"/>
      <c r="AN145" s="1838"/>
      <c r="AO145" s="1839"/>
      <c r="AP145" s="1839"/>
      <c r="AQ145" s="907">
        <f>AV142*AQ144</f>
        <v>0</v>
      </c>
      <c r="AR145" s="902">
        <f>AR144</f>
        <v>0</v>
      </c>
      <c r="AS145" s="902">
        <f>AQ145*AR145</f>
        <v>0</v>
      </c>
      <c r="AT145" s="1840"/>
      <c r="AU145" s="1841"/>
      <c r="AV145" s="1842"/>
      <c r="AW145" s="1843"/>
      <c r="AX145" s="1843"/>
      <c r="AY145" s="906">
        <f>BD142*AY144</f>
        <v>0</v>
      </c>
      <c r="AZ145" s="29">
        <f>AZ144</f>
        <v>0</v>
      </c>
      <c r="BA145" s="29">
        <f>AY145*AZ145</f>
        <v>0</v>
      </c>
      <c r="BB145" s="1836"/>
      <c r="BC145" s="1837"/>
      <c r="BD145" s="1838"/>
      <c r="BE145" s="1839"/>
      <c r="BF145" s="1839"/>
      <c r="BG145" s="907">
        <f>BL142*BG144</f>
        <v>0</v>
      </c>
      <c r="BH145" s="902">
        <f>BH144</f>
        <v>0</v>
      </c>
      <c r="BI145" s="902">
        <f>BG145*BH145</f>
        <v>0</v>
      </c>
      <c r="BJ145" s="1840"/>
      <c r="BK145" s="1841"/>
      <c r="BL145" s="1842"/>
      <c r="BM145" s="1843"/>
      <c r="BN145" s="1843"/>
      <c r="BO145" s="906">
        <f>BT142*BO144</f>
        <v>0</v>
      </c>
      <c r="BP145" s="29">
        <f>BP144</f>
        <v>0</v>
      </c>
      <c r="BQ145" s="29">
        <f>BO145*BP145</f>
        <v>0</v>
      </c>
      <c r="BR145" s="1836"/>
      <c r="BS145" s="1837"/>
      <c r="BT145" s="1838"/>
      <c r="BU145" s="1839"/>
      <c r="BV145" s="1839"/>
      <c r="BW145" s="907">
        <f>CB142*BW144</f>
        <v>0</v>
      </c>
      <c r="BX145" s="902">
        <f>BX144</f>
        <v>0</v>
      </c>
      <c r="BY145" s="902">
        <f>BW145*BX145</f>
        <v>0</v>
      </c>
      <c r="BZ145" s="1840"/>
      <c r="CA145" s="1841"/>
      <c r="CB145" s="1842"/>
      <c r="CC145" s="1843"/>
      <c r="CD145" s="1843"/>
      <c r="CE145" s="906">
        <f>CJ142*CE144</f>
        <v>0</v>
      </c>
      <c r="CF145" s="29">
        <f>CF144</f>
        <v>0</v>
      </c>
      <c r="CG145" s="29">
        <f>CE145*CF145</f>
        <v>0</v>
      </c>
      <c r="CH145" s="1836"/>
      <c r="CI145" s="1837"/>
      <c r="CJ145" s="1838"/>
      <c r="CK145" s="1839"/>
      <c r="CL145" s="1839"/>
      <c r="CM145" s="907">
        <f>CR142*CM144</f>
        <v>0</v>
      </c>
      <c r="CN145" s="902">
        <f>CN144</f>
        <v>0</v>
      </c>
      <c r="CO145" s="902">
        <f>CM145*CN145</f>
        <v>0</v>
      </c>
      <c r="CP145" s="1840"/>
      <c r="CQ145" s="1841"/>
      <c r="CR145" s="1842"/>
      <c r="CS145" s="1843"/>
      <c r="CT145" s="1843"/>
      <c r="CU145" s="1844"/>
      <c r="CV145" s="1844"/>
      <c r="CW145" s="1845"/>
      <c r="CX145" s="1844"/>
      <c r="CY145" s="1845"/>
      <c r="CZ145" s="1845"/>
      <c r="DA145" s="1845"/>
      <c r="DB145" s="912"/>
    </row>
    <row r="146" spans="1:119" x14ac:dyDescent="0.3">
      <c r="A146" s="1835"/>
      <c r="B146" s="108" t="s">
        <v>254</v>
      </c>
      <c r="C146" s="906">
        <f>C142+C143-C145</f>
        <v>0</v>
      </c>
      <c r="D146" s="29">
        <f>D145</f>
        <v>0</v>
      </c>
      <c r="E146" s="29">
        <f>D146*C146</f>
        <v>0</v>
      </c>
      <c r="F146" s="1836"/>
      <c r="G146" s="1837"/>
      <c r="H146" s="1838"/>
      <c r="I146" s="1839"/>
      <c r="J146" s="1839"/>
      <c r="K146" s="907">
        <f>K142+K143-K145</f>
        <v>0</v>
      </c>
      <c r="L146" s="902">
        <f>L145</f>
        <v>0</v>
      </c>
      <c r="M146" s="902">
        <f>L146*K146</f>
        <v>0</v>
      </c>
      <c r="N146" s="1840"/>
      <c r="O146" s="1841"/>
      <c r="P146" s="1842"/>
      <c r="Q146" s="1843"/>
      <c r="R146" s="1843"/>
      <c r="S146" s="906">
        <f>S142+S143-S145</f>
        <v>0</v>
      </c>
      <c r="T146" s="29">
        <f>T145</f>
        <v>0</v>
      </c>
      <c r="U146" s="29">
        <f>T146*S146</f>
        <v>0</v>
      </c>
      <c r="V146" s="1836"/>
      <c r="W146" s="1837"/>
      <c r="X146" s="1838"/>
      <c r="Y146" s="1839"/>
      <c r="Z146" s="1839"/>
      <c r="AA146" s="907">
        <f>AA142+AA143-AA145</f>
        <v>0</v>
      </c>
      <c r="AB146" s="902">
        <f>AB145</f>
        <v>0</v>
      </c>
      <c r="AC146" s="902">
        <f>AB146*AA146</f>
        <v>0</v>
      </c>
      <c r="AD146" s="1840"/>
      <c r="AE146" s="1841"/>
      <c r="AF146" s="1842"/>
      <c r="AG146" s="1843"/>
      <c r="AH146" s="1843"/>
      <c r="AI146" s="906">
        <f>AI142+AI143-AI145</f>
        <v>0</v>
      </c>
      <c r="AJ146" s="29">
        <f>AJ145</f>
        <v>0</v>
      </c>
      <c r="AK146" s="29">
        <f>AJ146*AI146</f>
        <v>0</v>
      </c>
      <c r="AL146" s="1836"/>
      <c r="AM146" s="1837"/>
      <c r="AN146" s="1838"/>
      <c r="AO146" s="1839"/>
      <c r="AP146" s="1839"/>
      <c r="AQ146" s="907">
        <f>AQ142+AQ143-AQ145</f>
        <v>0</v>
      </c>
      <c r="AR146" s="902">
        <f>AR145</f>
        <v>0</v>
      </c>
      <c r="AS146" s="902">
        <f>AR146*AQ146</f>
        <v>0</v>
      </c>
      <c r="AT146" s="1840"/>
      <c r="AU146" s="1841"/>
      <c r="AV146" s="1842"/>
      <c r="AW146" s="1843"/>
      <c r="AX146" s="1843"/>
      <c r="AY146" s="906">
        <f>AY142+AY143-AY145</f>
        <v>0</v>
      </c>
      <c r="AZ146" s="29">
        <f>AZ145</f>
        <v>0</v>
      </c>
      <c r="BA146" s="29">
        <f>AZ146*AY146</f>
        <v>0</v>
      </c>
      <c r="BB146" s="1836"/>
      <c r="BC146" s="1837"/>
      <c r="BD146" s="1838"/>
      <c r="BE146" s="1839"/>
      <c r="BF146" s="1839"/>
      <c r="BG146" s="907">
        <f>BG142+BG143-BG145</f>
        <v>0</v>
      </c>
      <c r="BH146" s="902">
        <f>BH145</f>
        <v>0</v>
      </c>
      <c r="BI146" s="902">
        <f>BH146*BG146</f>
        <v>0</v>
      </c>
      <c r="BJ146" s="1840"/>
      <c r="BK146" s="1841"/>
      <c r="BL146" s="1842"/>
      <c r="BM146" s="1843"/>
      <c r="BN146" s="1843"/>
      <c r="BO146" s="906">
        <f>BO142+BO143-BO145</f>
        <v>0</v>
      </c>
      <c r="BP146" s="29">
        <f>BP145</f>
        <v>0</v>
      </c>
      <c r="BQ146" s="29">
        <f>BP146*BO146</f>
        <v>0</v>
      </c>
      <c r="BR146" s="1836"/>
      <c r="BS146" s="1837"/>
      <c r="BT146" s="1838"/>
      <c r="BU146" s="1839"/>
      <c r="BV146" s="1839"/>
      <c r="BW146" s="907">
        <f>BW142+BW143-BW145</f>
        <v>0</v>
      </c>
      <c r="BX146" s="902">
        <f>BX145</f>
        <v>0</v>
      </c>
      <c r="BY146" s="902">
        <f>BX146*BW146</f>
        <v>0</v>
      </c>
      <c r="BZ146" s="1840"/>
      <c r="CA146" s="1841"/>
      <c r="CB146" s="1842"/>
      <c r="CC146" s="1843"/>
      <c r="CD146" s="1843"/>
      <c r="CE146" s="906">
        <f>CE142+CE143-CE145</f>
        <v>0</v>
      </c>
      <c r="CF146" s="29">
        <f>CF145</f>
        <v>0</v>
      </c>
      <c r="CG146" s="29">
        <f>CF146*CE146</f>
        <v>0</v>
      </c>
      <c r="CH146" s="1836"/>
      <c r="CI146" s="1837"/>
      <c r="CJ146" s="1838"/>
      <c r="CK146" s="1839"/>
      <c r="CL146" s="1839"/>
      <c r="CM146" s="907">
        <f>CM142+CM143-CM145</f>
        <v>0</v>
      </c>
      <c r="CN146" s="902">
        <f>CN145</f>
        <v>0</v>
      </c>
      <c r="CO146" s="902">
        <f>CN146*CM146</f>
        <v>0</v>
      </c>
      <c r="CP146" s="1840"/>
      <c r="CQ146" s="1841"/>
      <c r="CR146" s="1842"/>
      <c r="CS146" s="1843"/>
      <c r="CT146" s="1843"/>
      <c r="CU146" s="1844"/>
      <c r="CV146" s="1844"/>
      <c r="CW146" s="1845"/>
      <c r="CX146" s="1844"/>
      <c r="CY146" s="1845"/>
      <c r="CZ146" s="1845"/>
      <c r="DA146" s="1845"/>
      <c r="DB146" s="912"/>
    </row>
    <row r="147" spans="1:119" x14ac:dyDescent="0.3">
      <c r="A147" s="1846" t="s">
        <v>317</v>
      </c>
      <c r="B147" s="915" t="s">
        <v>255</v>
      </c>
      <c r="C147" s="916">
        <f>C88</f>
        <v>0</v>
      </c>
      <c r="D147" s="905">
        <f>D88</f>
        <v>0</v>
      </c>
      <c r="E147" s="905">
        <f>E88</f>
        <v>0</v>
      </c>
      <c r="F147" s="1847">
        <f>SUM(F89:F146)</f>
        <v>0</v>
      </c>
      <c r="G147" s="1848">
        <f>IF(I147=0,0,(I147-E149)/I147)</f>
        <v>0</v>
      </c>
      <c r="H147" s="1848">
        <f>IF(E148+E147=0,0,E149/(E148+E147))</f>
        <v>0</v>
      </c>
      <c r="I147" s="1845">
        <f>SUM(I89:I146)</f>
        <v>0</v>
      </c>
      <c r="J147" s="1845">
        <f>SUM(J89:J146)</f>
        <v>0</v>
      </c>
      <c r="K147" s="917">
        <f>K88</f>
        <v>0</v>
      </c>
      <c r="L147" s="918">
        <f>L88</f>
        <v>0</v>
      </c>
      <c r="M147" s="918">
        <f>M88</f>
        <v>0</v>
      </c>
      <c r="N147" s="1851">
        <f>SUM(N89:N146)</f>
        <v>0</v>
      </c>
      <c r="O147" s="1850">
        <f>IF(Q147=0,0,(Q147-M149)/Q147)</f>
        <v>0</v>
      </c>
      <c r="P147" s="1850">
        <f>IF(M148+M147=0,0,M149/(M148+M147))</f>
        <v>0</v>
      </c>
      <c r="Q147" s="1855">
        <f>SUM(Q89:Q146)</f>
        <v>0</v>
      </c>
      <c r="R147" s="1855">
        <f>SUM(R89:R146)</f>
        <v>0</v>
      </c>
      <c r="S147" s="916">
        <f>S88</f>
        <v>0</v>
      </c>
      <c r="T147" s="905">
        <f>T88</f>
        <v>0</v>
      </c>
      <c r="U147" s="905">
        <f>U88</f>
        <v>0</v>
      </c>
      <c r="V147" s="1847">
        <f>SUM(V89:V146)</f>
        <v>0</v>
      </c>
      <c r="W147" s="1848">
        <f>IF(Y147=0,0,(Y147-U149)/Y147)</f>
        <v>0</v>
      </c>
      <c r="X147" s="1848">
        <f>IF(U148+U147=0,0,U149/(U148+U147))</f>
        <v>0</v>
      </c>
      <c r="Y147" s="1845">
        <f>SUM(Y89:Y146)</f>
        <v>0</v>
      </c>
      <c r="Z147" s="1845">
        <f>SUM(Z89:Z146)</f>
        <v>0</v>
      </c>
      <c r="AA147" s="917">
        <f>AA88</f>
        <v>0</v>
      </c>
      <c r="AB147" s="918">
        <f>AB88</f>
        <v>0</v>
      </c>
      <c r="AC147" s="918">
        <f>AC88</f>
        <v>0</v>
      </c>
      <c r="AD147" s="1851">
        <f>SUM(AD89:AD146)</f>
        <v>0</v>
      </c>
      <c r="AE147" s="1850">
        <f>IF(AG147=0,0,(AG147-AC149)/AG147)</f>
        <v>0</v>
      </c>
      <c r="AF147" s="1850">
        <f>IF(AC148+AC147=0,0,AC149/(AC148+AC147))</f>
        <v>0</v>
      </c>
      <c r="AG147" s="1855">
        <f>SUM(AG89:AG146)</f>
        <v>0</v>
      </c>
      <c r="AH147" s="1855">
        <f>SUM(AH89:AH146)</f>
        <v>0</v>
      </c>
      <c r="AI147" s="916">
        <f>AI88</f>
        <v>0</v>
      </c>
      <c r="AJ147" s="905">
        <f>AJ88</f>
        <v>0</v>
      </c>
      <c r="AK147" s="905">
        <f>AK88</f>
        <v>0</v>
      </c>
      <c r="AL147" s="1847">
        <f>SUM(AL89:AL146)</f>
        <v>0</v>
      </c>
      <c r="AM147" s="1848">
        <f>IF(AO147=0,0,(AO147-AK149)/AO147)</f>
        <v>0</v>
      </c>
      <c r="AN147" s="1848">
        <f>IF(AK148+AK147=0,0,AK149/(AK148+AK147))</f>
        <v>0</v>
      </c>
      <c r="AO147" s="1845">
        <f>SUM(AO89:AO146)</f>
        <v>0</v>
      </c>
      <c r="AP147" s="1845">
        <f>SUM(AP89:AP146)</f>
        <v>0</v>
      </c>
      <c r="AQ147" s="917">
        <f>AQ88</f>
        <v>0</v>
      </c>
      <c r="AR147" s="918">
        <f>AR88</f>
        <v>0</v>
      </c>
      <c r="AS147" s="918">
        <f>AS88</f>
        <v>0</v>
      </c>
      <c r="AT147" s="1851">
        <f>SUM(AT89:AT146)</f>
        <v>0</v>
      </c>
      <c r="AU147" s="1850">
        <f>IF(AW147=0,0,(AW147-AS149)/AW147)</f>
        <v>0</v>
      </c>
      <c r="AV147" s="1850">
        <f>IF(AS148+AS147=0,0,AS149/(AS148+AS147))</f>
        <v>0</v>
      </c>
      <c r="AW147" s="1855">
        <f>SUM(AW89:AW146)</f>
        <v>0</v>
      </c>
      <c r="AX147" s="1855">
        <f>SUM(AX89:AX146)</f>
        <v>0</v>
      </c>
      <c r="AY147" s="916">
        <f>AY88</f>
        <v>0</v>
      </c>
      <c r="AZ147" s="905">
        <f>AZ88</f>
        <v>0</v>
      </c>
      <c r="BA147" s="905">
        <f>BA88</f>
        <v>0</v>
      </c>
      <c r="BB147" s="1847">
        <f>SUM(BB89:BB146)</f>
        <v>0</v>
      </c>
      <c r="BC147" s="1848">
        <f>IF(BE147=0,0,(BE147-BA149)/BE147)</f>
        <v>0</v>
      </c>
      <c r="BD147" s="1848">
        <f>IF(BA148+BA147=0,0,BA149/(BA148+BA147))</f>
        <v>0</v>
      </c>
      <c r="BE147" s="1845">
        <f>SUM(BE89:BE146)</f>
        <v>0</v>
      </c>
      <c r="BF147" s="1845">
        <f>SUM(BF89:BF146)</f>
        <v>0</v>
      </c>
      <c r="BG147" s="917">
        <f>BG88</f>
        <v>0</v>
      </c>
      <c r="BH147" s="918">
        <f>BH88</f>
        <v>0</v>
      </c>
      <c r="BI147" s="918">
        <f>BI88</f>
        <v>0</v>
      </c>
      <c r="BJ147" s="1851">
        <f>SUM(BJ89:BJ146)</f>
        <v>0</v>
      </c>
      <c r="BK147" s="1850">
        <f>IF(BM147=0,0,(BM147-BI149)/BM147)</f>
        <v>0</v>
      </c>
      <c r="BL147" s="1850">
        <f>IF(BI148+BI147=0,0,BI149/(BI148+BI147))</f>
        <v>0</v>
      </c>
      <c r="BM147" s="1855">
        <f>SUM(BM89:BM146)</f>
        <v>0</v>
      </c>
      <c r="BN147" s="1855">
        <f>SUM(BN89:BN146)</f>
        <v>0</v>
      </c>
      <c r="BO147" s="916">
        <f>BO88</f>
        <v>0</v>
      </c>
      <c r="BP147" s="905">
        <f>BP88</f>
        <v>0</v>
      </c>
      <c r="BQ147" s="905">
        <f>BQ88</f>
        <v>0</v>
      </c>
      <c r="BR147" s="1847">
        <f>SUM(BR89:BR146)</f>
        <v>0</v>
      </c>
      <c r="BS147" s="1848">
        <f>IF(BU147=0,0,(BU147-BQ149)/BU147)</f>
        <v>0</v>
      </c>
      <c r="BT147" s="1848">
        <f>IF(BQ148+BQ147=0,0,BQ149/(BQ148+BQ147))</f>
        <v>0</v>
      </c>
      <c r="BU147" s="1845">
        <f>SUM(BU89:BU146)</f>
        <v>0</v>
      </c>
      <c r="BV147" s="1845">
        <f>SUM(BV89:BV146)</f>
        <v>0</v>
      </c>
      <c r="BW147" s="917">
        <f>BW88</f>
        <v>0</v>
      </c>
      <c r="BX147" s="918">
        <f>BX88</f>
        <v>0</v>
      </c>
      <c r="BY147" s="918">
        <f>BY88</f>
        <v>0</v>
      </c>
      <c r="BZ147" s="1851">
        <f>SUM(BZ89:BZ146)</f>
        <v>0</v>
      </c>
      <c r="CA147" s="1850">
        <f>IF(CC147=0,0,(CC147-BY149)/CC147)</f>
        <v>0</v>
      </c>
      <c r="CB147" s="1850">
        <f>IF(BY148+BY147=0,0,BY149/(BY148+BY147))</f>
        <v>0</v>
      </c>
      <c r="CC147" s="1855">
        <f>SUM(CC89:CC146)</f>
        <v>0</v>
      </c>
      <c r="CD147" s="1855">
        <f>SUM(CD89:CD146)</f>
        <v>0</v>
      </c>
      <c r="CE147" s="916">
        <f>CE88</f>
        <v>0</v>
      </c>
      <c r="CF147" s="905">
        <f>CF88</f>
        <v>0</v>
      </c>
      <c r="CG147" s="905">
        <f>CG88</f>
        <v>0</v>
      </c>
      <c r="CH147" s="1847">
        <f>SUM(CH89:CH146)</f>
        <v>0</v>
      </c>
      <c r="CI147" s="1848">
        <f>IF(CK147=0,0,(CK147-CG149)/CK147)</f>
        <v>0</v>
      </c>
      <c r="CJ147" s="1848">
        <f>IF(CG148+CG147=0,0,CG149/(CG148+CG147))</f>
        <v>0</v>
      </c>
      <c r="CK147" s="1845">
        <f>SUM(CK89:CK146)</f>
        <v>0</v>
      </c>
      <c r="CL147" s="1845">
        <f>SUM(CL89:CL146)</f>
        <v>0</v>
      </c>
      <c r="CM147" s="917">
        <f>CM88</f>
        <v>0</v>
      </c>
      <c r="CN147" s="918">
        <f>CN88</f>
        <v>0</v>
      </c>
      <c r="CO147" s="918">
        <f>CO88</f>
        <v>0</v>
      </c>
      <c r="CP147" s="1851">
        <f>SUM(CP89:CP146)</f>
        <v>0</v>
      </c>
      <c r="CQ147" s="1850">
        <f>IF(CS147=0,0,(CS147-CO149)/CS147)</f>
        <v>0</v>
      </c>
      <c r="CR147" s="1850">
        <f>IF(CO148+CO147=0,0,CO149/(CO148+CO147))</f>
        <v>0</v>
      </c>
      <c r="CS147" s="1855">
        <f t="shared" ref="CS147:CX147" si="7">SUM(CS89:CS146)</f>
        <v>0</v>
      </c>
      <c r="CT147" s="1855">
        <f t="shared" si="7"/>
        <v>0</v>
      </c>
      <c r="CU147" s="1852">
        <f t="shared" si="7"/>
        <v>0</v>
      </c>
      <c r="CV147" s="1852">
        <f t="shared" si="7"/>
        <v>0</v>
      </c>
      <c r="CW147" s="1856">
        <f t="shared" si="7"/>
        <v>0</v>
      </c>
      <c r="CX147" s="1856">
        <f t="shared" si="7"/>
        <v>0</v>
      </c>
      <c r="CY147" s="1856">
        <f>CY89</f>
        <v>0</v>
      </c>
      <c r="CZ147" s="1856">
        <f>CZ142</f>
        <v>0</v>
      </c>
      <c r="DA147" s="1856">
        <f>CZ147-CY147</f>
        <v>0</v>
      </c>
      <c r="DB147" s="914"/>
    </row>
    <row r="148" spans="1:119" x14ac:dyDescent="0.3">
      <c r="A148" s="1846"/>
      <c r="B148" s="915" t="s">
        <v>310</v>
      </c>
      <c r="C148" s="916">
        <f>C89+C93+C98+C103+C108+C113+C118+C123+C128+C133+C138+C143</f>
        <v>0</v>
      </c>
      <c r="D148" s="905">
        <f>IF(C148=0,0,E148/C148)</f>
        <v>0</v>
      </c>
      <c r="E148" s="905">
        <f>E89+E93+E98+E103+E108+E113+E118+E123+E128+E133+E138+E143</f>
        <v>0</v>
      </c>
      <c r="F148" s="1847"/>
      <c r="G148" s="1848"/>
      <c r="H148" s="1848"/>
      <c r="I148" s="1845"/>
      <c r="J148" s="1845"/>
      <c r="K148" s="917">
        <f>K89+K93+K98+K103+K108+K113+K118+K123+K128+K133+K138+K143</f>
        <v>0</v>
      </c>
      <c r="L148" s="918">
        <f>IF(K148=0,0,M148/K148)</f>
        <v>0</v>
      </c>
      <c r="M148" s="918">
        <f>M89+M93+M98+M103+M108+M113+M118+M123+M128+M133+M138+M143</f>
        <v>0</v>
      </c>
      <c r="N148" s="1851"/>
      <c r="O148" s="1850"/>
      <c r="P148" s="1850"/>
      <c r="Q148" s="1855"/>
      <c r="R148" s="1855"/>
      <c r="S148" s="916">
        <f>S89+S93+S98+S103+S108+S113+S118+S123+S128+S133+S138+S143</f>
        <v>0</v>
      </c>
      <c r="T148" s="905">
        <f>IF(S148=0,0,U148/S148)</f>
        <v>0</v>
      </c>
      <c r="U148" s="905">
        <f>U89+U93+U98+U103+U108+U113+U118+U123+U128+U133+U138+U143</f>
        <v>0</v>
      </c>
      <c r="V148" s="1847"/>
      <c r="W148" s="1848"/>
      <c r="X148" s="1848"/>
      <c r="Y148" s="1845"/>
      <c r="Z148" s="1845"/>
      <c r="AA148" s="917">
        <f>AA89+AA93+AA98+AA103+AA108+AA113+AA118+AA123+AA128+AA133+AA138+AA143</f>
        <v>0</v>
      </c>
      <c r="AB148" s="918">
        <f>IF(AA148=0,0,AC148/AA148)</f>
        <v>0</v>
      </c>
      <c r="AC148" s="918">
        <f>AC89+AC93+AC98+AC103+AC108+AC113+AC118+AC123+AC128+AC133+AC138+AC143</f>
        <v>0</v>
      </c>
      <c r="AD148" s="1851"/>
      <c r="AE148" s="1850"/>
      <c r="AF148" s="1850"/>
      <c r="AG148" s="1855"/>
      <c r="AH148" s="1855"/>
      <c r="AI148" s="916">
        <f>AI89+AI93+AI98+AI103+AI108+AI113+AI118+AI123+AI128+AI133+AI138+AI143</f>
        <v>0</v>
      </c>
      <c r="AJ148" s="905">
        <f>IF(AI148=0,0,AK148/AI148)</f>
        <v>0</v>
      </c>
      <c r="AK148" s="905">
        <f>AK89+AK93+AK98+AK103+AK108+AK113+AK118+AK123+AK128+AK133+AK138+AK143</f>
        <v>0</v>
      </c>
      <c r="AL148" s="1847"/>
      <c r="AM148" s="1848"/>
      <c r="AN148" s="1848"/>
      <c r="AO148" s="1845"/>
      <c r="AP148" s="1845"/>
      <c r="AQ148" s="917">
        <f>AQ89+AQ93+AQ98+AQ103+AQ108+AQ113+AQ118+AQ123+AQ128+AQ133+AQ138+AQ143</f>
        <v>0</v>
      </c>
      <c r="AR148" s="918">
        <f>IF(AQ148=0,0,AS148/AQ148)</f>
        <v>0</v>
      </c>
      <c r="AS148" s="918">
        <f>AS89+AS93+AS98+AS103+AS108+AS113+AS118+AS123+AS128+AS133+AS138+AS143</f>
        <v>0</v>
      </c>
      <c r="AT148" s="1851"/>
      <c r="AU148" s="1850"/>
      <c r="AV148" s="1850"/>
      <c r="AW148" s="1855"/>
      <c r="AX148" s="1855"/>
      <c r="AY148" s="916">
        <f>AY89+AY93+AY98+AY103+AY108+AY113+AY118+AY123+AY128+AY133+AY138+AY143</f>
        <v>0</v>
      </c>
      <c r="AZ148" s="905">
        <f>IF(AY148=0,0,BA148/AY148)</f>
        <v>0</v>
      </c>
      <c r="BA148" s="905">
        <f>BA89+BA93+BA98+BA103+BA108+BA113+BA118+BA123+BA128+BA133+BA138+BA143</f>
        <v>0</v>
      </c>
      <c r="BB148" s="1847"/>
      <c r="BC148" s="1848"/>
      <c r="BD148" s="1848"/>
      <c r="BE148" s="1845"/>
      <c r="BF148" s="1845"/>
      <c r="BG148" s="917">
        <f>BG89+BG93+BG98+BG103+BG108+BG113+BG118+BG123+BG128+BG133+BG138+BG143</f>
        <v>0</v>
      </c>
      <c r="BH148" s="918">
        <f>IF(BG148=0,0,BI148/BG148)</f>
        <v>0</v>
      </c>
      <c r="BI148" s="918">
        <f>BI89+BI93+BI98+BI103+BI108+BI113+BI118+BI123+BI128+BI133+BI138+BI143</f>
        <v>0</v>
      </c>
      <c r="BJ148" s="1851"/>
      <c r="BK148" s="1850"/>
      <c r="BL148" s="1850"/>
      <c r="BM148" s="1855"/>
      <c r="BN148" s="1855"/>
      <c r="BO148" s="916">
        <f>BO89+BO93+BO98+BO103+BO108+BO113+BO118+BO123+BO128+BO133+BO138+BO143</f>
        <v>0</v>
      </c>
      <c r="BP148" s="905">
        <f>IF(BO148=0,0,BQ148/BO148)</f>
        <v>0</v>
      </c>
      <c r="BQ148" s="905">
        <f>BQ89+BQ93+BQ98+BQ103+BQ108+BQ113+BQ118+BQ123+BQ128+BQ133+BQ138+BQ143</f>
        <v>0</v>
      </c>
      <c r="BR148" s="1847"/>
      <c r="BS148" s="1848"/>
      <c r="BT148" s="1848"/>
      <c r="BU148" s="1845"/>
      <c r="BV148" s="1845"/>
      <c r="BW148" s="917">
        <f>BW89+BW93+BW98+BW103+BW108+BW113+BW118+BW123+BW128+BW133+BW138+BW143</f>
        <v>0</v>
      </c>
      <c r="BX148" s="918">
        <f>IF(BW148=0,0,BY148/BW148)</f>
        <v>0</v>
      </c>
      <c r="BY148" s="918">
        <f>BY89+BY93+BY98+BY103+BY108+BY113+BY118+BY123+BY128+BY133+BY138+BY143</f>
        <v>0</v>
      </c>
      <c r="BZ148" s="1851"/>
      <c r="CA148" s="1850"/>
      <c r="CB148" s="1850"/>
      <c r="CC148" s="1855"/>
      <c r="CD148" s="1855"/>
      <c r="CE148" s="916">
        <f>CE89+CE93+CE98+CE103+CE108+CE113+CE118+CE123+CE128+CE133+CE138+CE143</f>
        <v>0</v>
      </c>
      <c r="CF148" s="905">
        <f>IF(CE148=0,0,CG148/CE148)</f>
        <v>0</v>
      </c>
      <c r="CG148" s="905">
        <f>CG89+CG93+CG98+CG103+CG108+CG113+CG118+CG123+CG128+CG133+CG138+CG143</f>
        <v>0</v>
      </c>
      <c r="CH148" s="1847"/>
      <c r="CI148" s="1848"/>
      <c r="CJ148" s="1848"/>
      <c r="CK148" s="1845"/>
      <c r="CL148" s="1845"/>
      <c r="CM148" s="917">
        <f>CM89+CM93+CM98+CM103+CM108+CM113+CM118+CM123+CM128+CM133+CM138+CM143</f>
        <v>0</v>
      </c>
      <c r="CN148" s="918">
        <f>IF(CM148=0,0,CO148/CM148)</f>
        <v>0</v>
      </c>
      <c r="CO148" s="918">
        <f>CO89+CO93+CO98+CO103+CO108+CO113+CO118+CO123+CO128+CO133+CO138+CO143</f>
        <v>0</v>
      </c>
      <c r="CP148" s="1851"/>
      <c r="CQ148" s="1850"/>
      <c r="CR148" s="1850"/>
      <c r="CS148" s="1855"/>
      <c r="CT148" s="1855"/>
      <c r="CU148" s="1852"/>
      <c r="CV148" s="1852"/>
      <c r="CW148" s="1856"/>
      <c r="CX148" s="1856"/>
      <c r="CY148" s="1856"/>
      <c r="CZ148" s="1856"/>
      <c r="DA148" s="1856"/>
      <c r="DB148" s="935"/>
    </row>
    <row r="149" spans="1:119" x14ac:dyDescent="0.3">
      <c r="A149" s="1846"/>
      <c r="B149" s="915" t="s">
        <v>312</v>
      </c>
      <c r="C149" s="916">
        <f>C90+C95+C100+C105+C110+C115+C120+C125+C130+C135+C140+C145</f>
        <v>0</v>
      </c>
      <c r="D149" s="905">
        <f>IF(C149=0,0,E149/C149)</f>
        <v>0</v>
      </c>
      <c r="E149" s="905">
        <f>E90+E95+E100+E105+E110+E115+E120+E125+E130+E135+E140+E145</f>
        <v>0</v>
      </c>
      <c r="F149" s="1847"/>
      <c r="G149" s="1848"/>
      <c r="H149" s="1848"/>
      <c r="I149" s="1845"/>
      <c r="J149" s="1845"/>
      <c r="K149" s="917">
        <f>K90+K95+K100+K105+K110+K115+K120+K125+K130+K135+K140+K145</f>
        <v>0</v>
      </c>
      <c r="L149" s="918">
        <f>IF(K149=0,0,M149/K149)</f>
        <v>0</v>
      </c>
      <c r="M149" s="918">
        <f>M90+M95+M100+M105+M110+M115+M120+M125+M130+M135+M140+M145</f>
        <v>0</v>
      </c>
      <c r="N149" s="1851"/>
      <c r="O149" s="1850"/>
      <c r="P149" s="1850"/>
      <c r="Q149" s="1855"/>
      <c r="R149" s="1855"/>
      <c r="S149" s="916">
        <f>S90+S95+S100+S105+S110+S115+S120+S125+S130+S135+S140+S145</f>
        <v>0</v>
      </c>
      <c r="T149" s="905">
        <f>IF(S149=0,0,U149/S149)</f>
        <v>0</v>
      </c>
      <c r="U149" s="905">
        <f>U90+U95+U100+U105+U110+U115+U120+U125+U130+U135+U140+U145</f>
        <v>0</v>
      </c>
      <c r="V149" s="1847"/>
      <c r="W149" s="1848"/>
      <c r="X149" s="1848"/>
      <c r="Y149" s="1845"/>
      <c r="Z149" s="1845"/>
      <c r="AA149" s="917">
        <f>AA90+AA95+AA100+AA105+AA110+AA115+AA120+AA125+AA130+AA135+AA140+AA145</f>
        <v>0</v>
      </c>
      <c r="AB149" s="918">
        <f>IF(AA149=0,0,AC149/AA149)</f>
        <v>0</v>
      </c>
      <c r="AC149" s="918">
        <f>AC90+AC95+AC100+AC105+AC110+AC115+AC120+AC125+AC130+AC135+AC140+AC145</f>
        <v>0</v>
      </c>
      <c r="AD149" s="1851"/>
      <c r="AE149" s="1850"/>
      <c r="AF149" s="1850"/>
      <c r="AG149" s="1855"/>
      <c r="AH149" s="1855"/>
      <c r="AI149" s="916">
        <f>AI90+AI95+AI100+AI105+AI110+AI115+AI120+AI125+AI130+AI135+AI140+AI145</f>
        <v>0</v>
      </c>
      <c r="AJ149" s="905">
        <f>IF(AI149=0,0,AK149/AI149)</f>
        <v>0</v>
      </c>
      <c r="AK149" s="905">
        <f>AK90+AK95+AK100+AK105+AK110+AK115+AK120+AK125+AK130+AK135+AK140+AK145</f>
        <v>0</v>
      </c>
      <c r="AL149" s="1847"/>
      <c r="AM149" s="1848"/>
      <c r="AN149" s="1848"/>
      <c r="AO149" s="1845"/>
      <c r="AP149" s="1845"/>
      <c r="AQ149" s="917">
        <f>AQ90+AQ95+AQ100+AQ105+AQ110+AQ115+AQ120+AQ125+AQ130+AQ135+AQ140+AQ145</f>
        <v>0</v>
      </c>
      <c r="AR149" s="918">
        <f>IF(AQ149=0,0,AS149/AQ149)</f>
        <v>0</v>
      </c>
      <c r="AS149" s="918">
        <f>AS90+AS95+AS100+AS105+AS110+AS115+AS120+AS125+AS130+AS135+AS140+AS145</f>
        <v>0</v>
      </c>
      <c r="AT149" s="1851"/>
      <c r="AU149" s="1850"/>
      <c r="AV149" s="1850"/>
      <c r="AW149" s="1855"/>
      <c r="AX149" s="1855"/>
      <c r="AY149" s="916">
        <f>AY90+AY95+AY100+AY105+AY110+AY115+AY120+AY125+AY130+AY135+AY140+AY145</f>
        <v>0</v>
      </c>
      <c r="AZ149" s="905">
        <f>IF(AY149=0,0,BA149/AY149)</f>
        <v>0</v>
      </c>
      <c r="BA149" s="905">
        <f>BA90+BA95+BA100+BA105+BA110+BA115+BA120+BA125+BA130+BA135+BA140+BA145</f>
        <v>0</v>
      </c>
      <c r="BB149" s="1847"/>
      <c r="BC149" s="1848"/>
      <c r="BD149" s="1848"/>
      <c r="BE149" s="1845"/>
      <c r="BF149" s="1845"/>
      <c r="BG149" s="917">
        <f>BG90+BG95+BG100+BG105+BG110+BG115+BG120+BG125+BG130+BG135+BG140+BG145</f>
        <v>0</v>
      </c>
      <c r="BH149" s="918">
        <f>IF(BG149=0,0,BI149/BG149)</f>
        <v>0</v>
      </c>
      <c r="BI149" s="918">
        <f>BI90+BI95+BI100+BI105+BI110+BI115+BI120+BI125+BI130+BI135+BI140+BI145</f>
        <v>0</v>
      </c>
      <c r="BJ149" s="1851"/>
      <c r="BK149" s="1850"/>
      <c r="BL149" s="1850"/>
      <c r="BM149" s="1855"/>
      <c r="BN149" s="1855"/>
      <c r="BO149" s="916">
        <f>BO90+BO95+BO100+BO105+BO110+BO115+BO120+BO125+BO130+BO135+BO140+BO145</f>
        <v>0</v>
      </c>
      <c r="BP149" s="905">
        <f>IF(BO149=0,0,BQ149/BO149)</f>
        <v>0</v>
      </c>
      <c r="BQ149" s="905">
        <f>BQ90+BQ95+BQ100+BQ105+BQ110+BQ115+BQ120+BQ125+BQ130+BQ135+BQ140+BQ145</f>
        <v>0</v>
      </c>
      <c r="BR149" s="1847"/>
      <c r="BS149" s="1848"/>
      <c r="BT149" s="1848"/>
      <c r="BU149" s="1845"/>
      <c r="BV149" s="1845"/>
      <c r="BW149" s="917">
        <f>BW90+BW95+BW100+BW105+BW110+BW115+BW120+BW125+BW130+BW135+BW140+BW145</f>
        <v>0</v>
      </c>
      <c r="BX149" s="918">
        <f>IF(BW149=0,0,BY149/BW149)</f>
        <v>0</v>
      </c>
      <c r="BY149" s="918">
        <f>BY90+BY95+BY100+BY105+BY110+BY115+BY120+BY125+BY130+BY135+BY140+BY145</f>
        <v>0</v>
      </c>
      <c r="BZ149" s="1851"/>
      <c r="CA149" s="1850"/>
      <c r="CB149" s="1850"/>
      <c r="CC149" s="1855"/>
      <c r="CD149" s="1855"/>
      <c r="CE149" s="916">
        <f>CE90+CE95+CE100+CE105+CE110+CE115+CE120+CE125+CE130+CE135+CE140+CE145</f>
        <v>0</v>
      </c>
      <c r="CF149" s="905">
        <f>IF(CE149=0,0,CG149/CE149)</f>
        <v>0</v>
      </c>
      <c r="CG149" s="905">
        <f>CG90+CG95+CG100+CG105+CG110+CG115+CG120+CG125+CG130+CG135+CG140+CG145</f>
        <v>0</v>
      </c>
      <c r="CH149" s="1847"/>
      <c r="CI149" s="1848"/>
      <c r="CJ149" s="1848"/>
      <c r="CK149" s="1845"/>
      <c r="CL149" s="1845"/>
      <c r="CM149" s="917">
        <f>CM90+CM95+CM100+CM105+CM110+CM115+CM120+CM125+CM130+CM135+CM140+CM145</f>
        <v>0</v>
      </c>
      <c r="CN149" s="918">
        <f>IF(CM149=0,0,CO149/CM149)</f>
        <v>0</v>
      </c>
      <c r="CO149" s="918">
        <f>CO90+CO95+CO100+CO105+CO110+CO115+CO120+CO125+CO130+CO135+CO140+CO145</f>
        <v>0</v>
      </c>
      <c r="CP149" s="1851"/>
      <c r="CQ149" s="1850"/>
      <c r="CR149" s="1850"/>
      <c r="CS149" s="1855"/>
      <c r="CT149" s="1855"/>
      <c r="CU149" s="1852"/>
      <c r="CV149" s="1852"/>
      <c r="CW149" s="1856"/>
      <c r="CX149" s="1856"/>
      <c r="CY149" s="1856"/>
      <c r="CZ149" s="1856"/>
      <c r="DA149" s="1856"/>
      <c r="DB149" s="935"/>
    </row>
    <row r="150" spans="1:119" x14ac:dyDescent="0.3">
      <c r="A150" s="1846"/>
      <c r="B150" s="915" t="s">
        <v>254</v>
      </c>
      <c r="C150" s="916">
        <f>C147+C148-C149</f>
        <v>0</v>
      </c>
      <c r="D150" s="905">
        <f>IF(C150=0,D149,E150/C150)</f>
        <v>0</v>
      </c>
      <c r="E150" s="905">
        <f>E147+E148-E149</f>
        <v>0</v>
      </c>
      <c r="F150" s="1847"/>
      <c r="G150" s="1848"/>
      <c r="H150" s="1848"/>
      <c r="I150" s="1845"/>
      <c r="J150" s="1845"/>
      <c r="K150" s="917">
        <f>K147+K148-K149</f>
        <v>0</v>
      </c>
      <c r="L150" s="918">
        <f>IF(K150=0,L149,M150/K150)</f>
        <v>0</v>
      </c>
      <c r="M150" s="918">
        <f>M147+M148-M149</f>
        <v>0</v>
      </c>
      <c r="N150" s="1851"/>
      <c r="O150" s="1850"/>
      <c r="P150" s="1850"/>
      <c r="Q150" s="1855"/>
      <c r="R150" s="1855"/>
      <c r="S150" s="916">
        <f>S147+S148-S149</f>
        <v>0</v>
      </c>
      <c r="T150" s="905">
        <f>IF(S150=0,T149,U150/S150)</f>
        <v>0</v>
      </c>
      <c r="U150" s="905">
        <f>U147+U148-U149</f>
        <v>0</v>
      </c>
      <c r="V150" s="1847"/>
      <c r="W150" s="1848"/>
      <c r="X150" s="1848"/>
      <c r="Y150" s="1845"/>
      <c r="Z150" s="1845"/>
      <c r="AA150" s="917">
        <f>AA147+AA148-AA149</f>
        <v>0</v>
      </c>
      <c r="AB150" s="918">
        <f>IF(AA150=0,AB149,AC150/AA150)</f>
        <v>0</v>
      </c>
      <c r="AC150" s="918">
        <f>AC147+AC148-AC149</f>
        <v>0</v>
      </c>
      <c r="AD150" s="1851"/>
      <c r="AE150" s="1850"/>
      <c r="AF150" s="1850"/>
      <c r="AG150" s="1855"/>
      <c r="AH150" s="1855"/>
      <c r="AI150" s="916">
        <f>AI147+AI148-AI149</f>
        <v>0</v>
      </c>
      <c r="AJ150" s="905">
        <f>IF(AI150=0,AJ149,AK150/AI150)</f>
        <v>0</v>
      </c>
      <c r="AK150" s="905">
        <f>AK147+AK148-AK149</f>
        <v>0</v>
      </c>
      <c r="AL150" s="1847"/>
      <c r="AM150" s="1848"/>
      <c r="AN150" s="1848"/>
      <c r="AO150" s="1845"/>
      <c r="AP150" s="1845"/>
      <c r="AQ150" s="917">
        <f>AQ147+AQ148-AQ149</f>
        <v>0</v>
      </c>
      <c r="AR150" s="918">
        <f>IF(AQ150=0,AR149,AS150/AQ150)</f>
        <v>0</v>
      </c>
      <c r="AS150" s="918">
        <f>AS147+AS148-AS149</f>
        <v>0</v>
      </c>
      <c r="AT150" s="1851"/>
      <c r="AU150" s="1850"/>
      <c r="AV150" s="1850"/>
      <c r="AW150" s="1855"/>
      <c r="AX150" s="1855"/>
      <c r="AY150" s="916">
        <f>AY147+AY148-AY149</f>
        <v>0</v>
      </c>
      <c r="AZ150" s="905">
        <f>IF(AY150=0,AZ149,BA150/AY150)</f>
        <v>0</v>
      </c>
      <c r="BA150" s="905">
        <f>BA147+BA148-BA149</f>
        <v>0</v>
      </c>
      <c r="BB150" s="1847"/>
      <c r="BC150" s="1848"/>
      <c r="BD150" s="1848"/>
      <c r="BE150" s="1845"/>
      <c r="BF150" s="1845"/>
      <c r="BG150" s="917">
        <f>BG147+BG148-BG149</f>
        <v>0</v>
      </c>
      <c r="BH150" s="918">
        <f>IF(BG150=0,BH149,BI150/BG150)</f>
        <v>0</v>
      </c>
      <c r="BI150" s="918">
        <f>BI147+BI148-BI149</f>
        <v>0</v>
      </c>
      <c r="BJ150" s="1851"/>
      <c r="BK150" s="1850"/>
      <c r="BL150" s="1850"/>
      <c r="BM150" s="1855"/>
      <c r="BN150" s="1855"/>
      <c r="BO150" s="916">
        <f>BO147+BO148-BO149</f>
        <v>0</v>
      </c>
      <c r="BP150" s="905">
        <f>IF(BO150=0,BP149,BQ150/BO150)</f>
        <v>0</v>
      </c>
      <c r="BQ150" s="905">
        <f>BQ147+BQ148-BQ149</f>
        <v>0</v>
      </c>
      <c r="BR150" s="1847"/>
      <c r="BS150" s="1848"/>
      <c r="BT150" s="1848"/>
      <c r="BU150" s="1845"/>
      <c r="BV150" s="1845"/>
      <c r="BW150" s="917">
        <f>BW147+BW148-BW149</f>
        <v>0</v>
      </c>
      <c r="BX150" s="918">
        <f>IF(BW150=0,BX149,BY150/BW150)</f>
        <v>0</v>
      </c>
      <c r="BY150" s="918">
        <f>BY147+BY148-BY149</f>
        <v>0</v>
      </c>
      <c r="BZ150" s="1851"/>
      <c r="CA150" s="1850"/>
      <c r="CB150" s="1850"/>
      <c r="CC150" s="1855"/>
      <c r="CD150" s="1855"/>
      <c r="CE150" s="916">
        <f>CE147+CE148-CE149</f>
        <v>0</v>
      </c>
      <c r="CF150" s="905">
        <f>IF(CE150=0,CF149,CG150/CE150)</f>
        <v>0</v>
      </c>
      <c r="CG150" s="905">
        <f>CG147+CG148-CG149</f>
        <v>0</v>
      </c>
      <c r="CH150" s="1847"/>
      <c r="CI150" s="1848"/>
      <c r="CJ150" s="1848"/>
      <c r="CK150" s="1845"/>
      <c r="CL150" s="1845"/>
      <c r="CM150" s="917">
        <f>CM147+CM148-CM149</f>
        <v>0</v>
      </c>
      <c r="CN150" s="918">
        <f>IF(CM150=0,CN149,CO150/CM150)</f>
        <v>0</v>
      </c>
      <c r="CO150" s="918">
        <f>CO147+CO148-CO149</f>
        <v>0</v>
      </c>
      <c r="CP150" s="1851"/>
      <c r="CQ150" s="1850"/>
      <c r="CR150" s="1850"/>
      <c r="CS150" s="1855"/>
      <c r="CT150" s="1855"/>
      <c r="CU150" s="1852"/>
      <c r="CV150" s="1852"/>
      <c r="CW150" s="1856"/>
      <c r="CX150" s="1856"/>
      <c r="CY150" s="1856"/>
      <c r="CZ150" s="1856"/>
      <c r="DA150" s="1856"/>
      <c r="DB150" s="935"/>
    </row>
    <row r="151" spans="1:119" x14ac:dyDescent="0.3">
      <c r="O151" s="876"/>
      <c r="P151" s="876"/>
      <c r="W151" s="876"/>
      <c r="X151" s="876"/>
      <c r="AE151" s="876"/>
      <c r="AF151" s="876"/>
      <c r="AM151" s="876"/>
      <c r="AN151" s="876"/>
      <c r="AU151" s="876"/>
      <c r="AV151" s="876"/>
      <c r="BC151" s="876"/>
      <c r="BD151" s="876"/>
      <c r="BK151" s="876"/>
      <c r="BL151" s="876"/>
      <c r="BS151" s="876"/>
      <c r="BT151" s="876"/>
      <c r="CA151" s="876"/>
      <c r="CB151" s="876"/>
      <c r="CI151" s="876"/>
      <c r="CJ151" s="876"/>
      <c r="CQ151" s="876"/>
      <c r="CR151" s="876"/>
    </row>
    <row r="152" spans="1:119" ht="12.5" x14ac:dyDescent="0.25">
      <c r="A152" s="21"/>
      <c r="B152" s="21"/>
      <c r="O152" s="876"/>
      <c r="P152" s="876"/>
      <c r="W152" s="876"/>
      <c r="X152" s="876"/>
      <c r="AE152" s="876"/>
      <c r="AF152" s="876"/>
      <c r="AM152" s="876"/>
      <c r="AN152" s="876"/>
      <c r="AU152" s="876"/>
      <c r="AV152" s="876"/>
      <c r="BC152" s="876"/>
      <c r="BD152" s="876"/>
      <c r="BK152" s="876"/>
      <c r="BL152" s="876"/>
      <c r="BS152" s="876"/>
      <c r="BT152" s="876"/>
      <c r="CA152" s="876"/>
      <c r="CB152" s="876"/>
      <c r="CI152" s="876"/>
      <c r="CJ152" s="876"/>
      <c r="CQ152" s="876"/>
      <c r="CR152" s="876"/>
    </row>
    <row r="153" spans="1:119" x14ac:dyDescent="0.3">
      <c r="O153" s="876"/>
      <c r="P153" s="876"/>
      <c r="W153" s="876"/>
      <c r="X153" s="876"/>
      <c r="AE153" s="876"/>
      <c r="AF153" s="876"/>
      <c r="AM153" s="876"/>
      <c r="AN153" s="876"/>
      <c r="AU153" s="876"/>
      <c r="AV153" s="876"/>
      <c r="BC153" s="876"/>
      <c r="BD153" s="876"/>
      <c r="BK153" s="876"/>
      <c r="BL153" s="876"/>
      <c r="BS153" s="876"/>
      <c r="BT153" s="876"/>
      <c r="CA153" s="876"/>
      <c r="CB153" s="876"/>
      <c r="CI153" s="876"/>
      <c r="CJ153" s="876"/>
      <c r="CQ153" s="876"/>
      <c r="CR153" s="876"/>
    </row>
    <row r="154" spans="1:119" x14ac:dyDescent="0.3">
      <c r="C154" s="1853" t="str">
        <f>C85</f>
        <v>A</v>
      </c>
      <c r="D154" s="1853"/>
      <c r="E154" s="1853"/>
      <c r="F154" s="1853"/>
      <c r="G154" s="1853"/>
      <c r="H154" s="1853"/>
      <c r="I154" s="1853"/>
      <c r="J154" s="1853"/>
      <c r="K154" s="1832" t="str">
        <f>K85</f>
        <v>B</v>
      </c>
      <c r="L154" s="1832"/>
      <c r="M154" s="1832"/>
      <c r="N154" s="1832"/>
      <c r="O154" s="1832"/>
      <c r="P154" s="1832"/>
      <c r="Q154" s="1832"/>
      <c r="R154" s="1832"/>
      <c r="S154" s="1853" t="str">
        <f>S85</f>
        <v>C</v>
      </c>
      <c r="T154" s="1853"/>
      <c r="U154" s="1853"/>
      <c r="V154" s="1853"/>
      <c r="W154" s="1853"/>
      <c r="X154" s="1853"/>
      <c r="Y154" s="1853"/>
      <c r="Z154" s="1853"/>
      <c r="AA154" s="1832" t="str">
        <f>AA85</f>
        <v>D</v>
      </c>
      <c r="AB154" s="1832"/>
      <c r="AC154" s="1832"/>
      <c r="AD154" s="1832"/>
      <c r="AE154" s="1832"/>
      <c r="AF154" s="1832"/>
      <c r="AG154" s="1832"/>
      <c r="AH154" s="1832"/>
      <c r="AI154" s="1853" t="str">
        <f>AI85</f>
        <v>E</v>
      </c>
      <c r="AJ154" s="1853"/>
      <c r="AK154" s="1853"/>
      <c r="AL154" s="1853"/>
      <c r="AM154" s="1853"/>
      <c r="AN154" s="1853"/>
      <c r="AO154" s="1853"/>
      <c r="AP154" s="1853"/>
      <c r="AQ154" s="1832" t="str">
        <f>AQ85</f>
        <v>F</v>
      </c>
      <c r="AR154" s="1832"/>
      <c r="AS154" s="1832"/>
      <c r="AT154" s="1832"/>
      <c r="AU154" s="1832"/>
      <c r="AV154" s="1832"/>
      <c r="AW154" s="1832"/>
      <c r="AX154" s="1832"/>
      <c r="AY154" s="1853" t="str">
        <f>AY85</f>
        <v>G</v>
      </c>
      <c r="AZ154" s="1853"/>
      <c r="BA154" s="1853"/>
      <c r="BB154" s="1853"/>
      <c r="BC154" s="1853"/>
      <c r="BD154" s="1853"/>
      <c r="BE154" s="1853"/>
      <c r="BF154" s="1853"/>
      <c r="BG154" s="1832" t="str">
        <f>BG85</f>
        <v>H</v>
      </c>
      <c r="BH154" s="1832"/>
      <c r="BI154" s="1832"/>
      <c r="BJ154" s="1832"/>
      <c r="BK154" s="1832"/>
      <c r="BL154" s="1832"/>
      <c r="BM154" s="1832"/>
      <c r="BN154" s="1832"/>
      <c r="BO154" s="1853" t="str">
        <f>BO85</f>
        <v>I</v>
      </c>
      <c r="BP154" s="1853"/>
      <c r="BQ154" s="1853"/>
      <c r="BR154" s="1853"/>
      <c r="BS154" s="1853"/>
      <c r="BT154" s="1853"/>
      <c r="BU154" s="1853"/>
      <c r="BV154" s="1853"/>
      <c r="BW154" s="1832" t="str">
        <f>BW85</f>
        <v>J</v>
      </c>
      <c r="BX154" s="1832"/>
      <c r="BY154" s="1832"/>
      <c r="BZ154" s="1832"/>
      <c r="CA154" s="1832"/>
      <c r="CB154" s="1832"/>
      <c r="CC154" s="1832"/>
      <c r="CD154" s="1832"/>
      <c r="CE154" s="1853" t="str">
        <f>CE85</f>
        <v>K</v>
      </c>
      <c r="CF154" s="1853"/>
      <c r="CG154" s="1853"/>
      <c r="CH154" s="1853"/>
      <c r="CI154" s="1853"/>
      <c r="CJ154" s="1853"/>
      <c r="CK154" s="1853"/>
      <c r="CL154" s="1853"/>
      <c r="CM154" s="1832" t="str">
        <f>CM85</f>
        <v>L</v>
      </c>
      <c r="CN154" s="1832"/>
      <c r="CO154" s="1832"/>
      <c r="CP154" s="1832"/>
      <c r="CQ154" s="1832"/>
      <c r="CR154" s="1832"/>
      <c r="CS154" s="1832"/>
      <c r="CT154" s="1832"/>
      <c r="CU154" s="1857" t="str">
        <f>CU85</f>
        <v>TOTAL</v>
      </c>
      <c r="CV154" s="1857"/>
      <c r="CW154" s="1857"/>
      <c r="CX154" s="1857"/>
      <c r="CY154" s="1857"/>
      <c r="CZ154" s="1857"/>
      <c r="DA154" s="1857"/>
      <c r="DB154" s="26"/>
    </row>
    <row r="155" spans="1:119" ht="26" x14ac:dyDescent="0.3">
      <c r="C155" s="885" t="str">
        <f>C86</f>
        <v>COMPRES (unitats)</v>
      </c>
      <c r="D155" s="885" t="str">
        <f t="shared" ref="D155:BO155" si="8">D86</f>
        <v>PREU UNITARI</v>
      </c>
      <c r="E155" s="885" t="str">
        <f t="shared" si="8"/>
        <v>IMPORT COMPRES</v>
      </c>
      <c r="F155" s="885" t="str">
        <f t="shared" si="8"/>
        <v>IVA SUPORTAT</v>
      </c>
      <c r="G155" s="886" t="str">
        <f t="shared" si="8"/>
        <v>Marge comercial</v>
      </c>
      <c r="H155" s="886" t="str">
        <f t="shared" si="8"/>
        <v>VENDES (%Stock)</v>
      </c>
      <c r="I155" s="885" t="str">
        <f t="shared" si="8"/>
        <v>IMPORT VENDES</v>
      </c>
      <c r="J155" s="885" t="str">
        <f t="shared" si="8"/>
        <v>IVA REPERCUTIT</v>
      </c>
      <c r="K155" s="887" t="str">
        <f t="shared" si="8"/>
        <v>COMPRES (unitats)</v>
      </c>
      <c r="L155" s="887" t="str">
        <f t="shared" si="8"/>
        <v>PREU UNITARI</v>
      </c>
      <c r="M155" s="887" t="str">
        <f t="shared" si="8"/>
        <v>IMPORT COMPRES</v>
      </c>
      <c r="N155" s="887" t="str">
        <f t="shared" si="8"/>
        <v>IVA SUPORTAT</v>
      </c>
      <c r="O155" s="888" t="str">
        <f t="shared" si="8"/>
        <v>Marge comercial</v>
      </c>
      <c r="P155" s="888" t="str">
        <f t="shared" si="8"/>
        <v>VENDES (%Stock)</v>
      </c>
      <c r="Q155" s="887" t="str">
        <f t="shared" si="8"/>
        <v>IMPORT VENDES</v>
      </c>
      <c r="R155" s="887" t="str">
        <f t="shared" si="8"/>
        <v>IVA REPERCUTIT</v>
      </c>
      <c r="S155" s="885" t="str">
        <f t="shared" si="8"/>
        <v>COMPRES (unitats)</v>
      </c>
      <c r="T155" s="885" t="str">
        <f t="shared" si="8"/>
        <v>PREU UNITARI</v>
      </c>
      <c r="U155" s="885" t="str">
        <f t="shared" si="8"/>
        <v>IMPORT COMPRES</v>
      </c>
      <c r="V155" s="885" t="str">
        <f t="shared" si="8"/>
        <v>IVA SUPORTAT</v>
      </c>
      <c r="W155" s="886" t="str">
        <f t="shared" si="8"/>
        <v>Marge comercial</v>
      </c>
      <c r="X155" s="886" t="str">
        <f t="shared" si="8"/>
        <v>VENDES (%Stock)</v>
      </c>
      <c r="Y155" s="885" t="str">
        <f t="shared" si="8"/>
        <v>IMPORT VENDES</v>
      </c>
      <c r="Z155" s="885" t="str">
        <f t="shared" si="8"/>
        <v>IVA REPERCUTIT</v>
      </c>
      <c r="AA155" s="887" t="str">
        <f t="shared" si="8"/>
        <v>COMPRES (unitats)</v>
      </c>
      <c r="AB155" s="887" t="str">
        <f t="shared" si="8"/>
        <v>PREU UNITARI</v>
      </c>
      <c r="AC155" s="887" t="str">
        <f t="shared" si="8"/>
        <v>IMPORT COMPRES</v>
      </c>
      <c r="AD155" s="887" t="str">
        <f t="shared" si="8"/>
        <v>IVA SUPORTAT</v>
      </c>
      <c r="AE155" s="888" t="str">
        <f t="shared" si="8"/>
        <v>Marge comercial</v>
      </c>
      <c r="AF155" s="888" t="str">
        <f t="shared" si="8"/>
        <v>VENDES (%Stock)</v>
      </c>
      <c r="AG155" s="887" t="str">
        <f t="shared" si="8"/>
        <v>IMPORT VENDES</v>
      </c>
      <c r="AH155" s="887" t="str">
        <f t="shared" si="8"/>
        <v>IVA REPERCUTIT</v>
      </c>
      <c r="AI155" s="885" t="str">
        <f t="shared" si="8"/>
        <v>COMPRES (unitats)</v>
      </c>
      <c r="AJ155" s="885" t="str">
        <f t="shared" si="8"/>
        <v>PREU UNITARI</v>
      </c>
      <c r="AK155" s="885" t="str">
        <f t="shared" si="8"/>
        <v>IMPORT COMPRES</v>
      </c>
      <c r="AL155" s="885" t="str">
        <f t="shared" si="8"/>
        <v>IVA SUPORTAT</v>
      </c>
      <c r="AM155" s="886" t="str">
        <f t="shared" si="8"/>
        <v>Marge comercial</v>
      </c>
      <c r="AN155" s="886" t="str">
        <f t="shared" si="8"/>
        <v>VENDES (%Stock)</v>
      </c>
      <c r="AO155" s="885" t="str">
        <f t="shared" si="8"/>
        <v>IMPORT VENDES</v>
      </c>
      <c r="AP155" s="885" t="str">
        <f t="shared" si="8"/>
        <v>IVA REPERCUTIT</v>
      </c>
      <c r="AQ155" s="887" t="str">
        <f t="shared" si="8"/>
        <v>COMPRES (unitats)</v>
      </c>
      <c r="AR155" s="887" t="str">
        <f t="shared" si="8"/>
        <v>PREU UNITARI</v>
      </c>
      <c r="AS155" s="887" t="str">
        <f t="shared" si="8"/>
        <v>IMPORT COMPRES</v>
      </c>
      <c r="AT155" s="887" t="str">
        <f t="shared" si="8"/>
        <v>IVA SUPORTAT</v>
      </c>
      <c r="AU155" s="888" t="str">
        <f t="shared" si="8"/>
        <v>Marge comercial</v>
      </c>
      <c r="AV155" s="888" t="str">
        <f t="shared" si="8"/>
        <v>VENDES (%Stock)</v>
      </c>
      <c r="AW155" s="887" t="str">
        <f t="shared" si="8"/>
        <v>IMPORT VENDES</v>
      </c>
      <c r="AX155" s="887" t="str">
        <f t="shared" si="8"/>
        <v>IVA REPERCUTIT</v>
      </c>
      <c r="AY155" s="885" t="str">
        <f t="shared" si="8"/>
        <v>COMPRES (unitats)</v>
      </c>
      <c r="AZ155" s="885" t="str">
        <f t="shared" si="8"/>
        <v>PREU UNITARI</v>
      </c>
      <c r="BA155" s="885" t="str">
        <f t="shared" si="8"/>
        <v>IMPORT COMPRES</v>
      </c>
      <c r="BB155" s="885" t="str">
        <f t="shared" si="8"/>
        <v>IVA SUPORTAT</v>
      </c>
      <c r="BC155" s="886" t="str">
        <f t="shared" si="8"/>
        <v>Marge comercial</v>
      </c>
      <c r="BD155" s="886" t="str">
        <f t="shared" si="8"/>
        <v>VENDES (%Stock)</v>
      </c>
      <c r="BE155" s="885" t="str">
        <f t="shared" si="8"/>
        <v>IMPORT VENDES</v>
      </c>
      <c r="BF155" s="885" t="str">
        <f t="shared" si="8"/>
        <v>IVA REPERCUTIT</v>
      </c>
      <c r="BG155" s="887" t="str">
        <f t="shared" si="8"/>
        <v>COMPRES (unitats)</v>
      </c>
      <c r="BH155" s="887" t="str">
        <f t="shared" si="8"/>
        <v>PREU UNITARI</v>
      </c>
      <c r="BI155" s="887" t="str">
        <f t="shared" si="8"/>
        <v>IMPORT COMPRES</v>
      </c>
      <c r="BJ155" s="887" t="str">
        <f t="shared" si="8"/>
        <v>IVA SUPORTAT</v>
      </c>
      <c r="BK155" s="888" t="str">
        <f t="shared" si="8"/>
        <v>Marge comercial</v>
      </c>
      <c r="BL155" s="888" t="str">
        <f t="shared" si="8"/>
        <v>VENDES (%Stock)</v>
      </c>
      <c r="BM155" s="887" t="str">
        <f t="shared" si="8"/>
        <v>IMPORT VENDES</v>
      </c>
      <c r="BN155" s="887" t="str">
        <f t="shared" si="8"/>
        <v>IVA REPERCUTIT</v>
      </c>
      <c r="BO155" s="885" t="str">
        <f t="shared" si="8"/>
        <v>COMPRES (unitats)</v>
      </c>
      <c r="BP155" s="885" t="str">
        <f t="shared" ref="BP155:DA155" si="9">BP86</f>
        <v>PREU UNITARI</v>
      </c>
      <c r="BQ155" s="885" t="str">
        <f t="shared" si="9"/>
        <v>IMPORT COMPRES</v>
      </c>
      <c r="BR155" s="885" t="str">
        <f t="shared" si="9"/>
        <v>IVA SUPORTAT</v>
      </c>
      <c r="BS155" s="886" t="str">
        <f t="shared" si="9"/>
        <v>Marge comercial</v>
      </c>
      <c r="BT155" s="886" t="str">
        <f t="shared" si="9"/>
        <v>VENDES (%Stock)</v>
      </c>
      <c r="BU155" s="885" t="str">
        <f t="shared" si="9"/>
        <v>IMPORT VENDES</v>
      </c>
      <c r="BV155" s="885" t="str">
        <f t="shared" si="9"/>
        <v>IVA REPERCUTIT</v>
      </c>
      <c r="BW155" s="887" t="str">
        <f t="shared" si="9"/>
        <v>COMPRES (unitats)</v>
      </c>
      <c r="BX155" s="887" t="str">
        <f t="shared" si="9"/>
        <v>PREU UNITARI</v>
      </c>
      <c r="BY155" s="887" t="str">
        <f t="shared" si="9"/>
        <v>IMPORT COMPRES</v>
      </c>
      <c r="BZ155" s="887" t="str">
        <f t="shared" si="9"/>
        <v>IVA SUPORTAT</v>
      </c>
      <c r="CA155" s="888" t="str">
        <f t="shared" si="9"/>
        <v>Marge comercial</v>
      </c>
      <c r="CB155" s="888" t="str">
        <f t="shared" si="9"/>
        <v>VENDES (%Stock)</v>
      </c>
      <c r="CC155" s="887" t="str">
        <f t="shared" si="9"/>
        <v>IMPORT VENDES</v>
      </c>
      <c r="CD155" s="887" t="str">
        <f t="shared" si="9"/>
        <v>IVA REPERCUTIT</v>
      </c>
      <c r="CE155" s="885" t="str">
        <f t="shared" si="9"/>
        <v>COMPRES (unitats)</v>
      </c>
      <c r="CF155" s="885" t="str">
        <f t="shared" si="9"/>
        <v>PREU UNITARI</v>
      </c>
      <c r="CG155" s="885" t="str">
        <f t="shared" si="9"/>
        <v>IMPORT COMPRES</v>
      </c>
      <c r="CH155" s="885" t="str">
        <f t="shared" si="9"/>
        <v>IVA SUPORTAT</v>
      </c>
      <c r="CI155" s="886" t="str">
        <f t="shared" si="9"/>
        <v>Marge comercial</v>
      </c>
      <c r="CJ155" s="886" t="str">
        <f t="shared" si="9"/>
        <v>VENDES (%Stock)</v>
      </c>
      <c r="CK155" s="885" t="str">
        <f t="shared" si="9"/>
        <v>IMPORT VENDES</v>
      </c>
      <c r="CL155" s="885" t="str">
        <f t="shared" si="9"/>
        <v>IVA REPERCUTIT</v>
      </c>
      <c r="CM155" s="887" t="str">
        <f t="shared" si="9"/>
        <v>COMPRES (unitats)</v>
      </c>
      <c r="CN155" s="887" t="str">
        <f t="shared" si="9"/>
        <v>PREU UNITARI</v>
      </c>
      <c r="CO155" s="887" t="str">
        <f t="shared" si="9"/>
        <v>IMPORT COMPRES</v>
      </c>
      <c r="CP155" s="887" t="str">
        <f t="shared" si="9"/>
        <v>IVA SUPORTAT</v>
      </c>
      <c r="CQ155" s="888" t="str">
        <f t="shared" si="9"/>
        <v>Marge comercial</v>
      </c>
      <c r="CR155" s="888" t="str">
        <f t="shared" si="9"/>
        <v>VENDES (%Stock)</v>
      </c>
      <c r="CS155" s="887" t="str">
        <f t="shared" si="9"/>
        <v>IMPORT VENDES</v>
      </c>
      <c r="CT155" s="887" t="str">
        <f t="shared" si="9"/>
        <v>IVA REPERCUTIT</v>
      </c>
      <c r="CU155" s="889" t="str">
        <f t="shared" si="9"/>
        <v>IMPORT COMPRES</v>
      </c>
      <c r="CV155" s="889" t="str">
        <f t="shared" si="9"/>
        <v>IVA SUPORTAT</v>
      </c>
      <c r="CW155" s="889" t="str">
        <f t="shared" si="9"/>
        <v>IMPORT VENDES</v>
      </c>
      <c r="CX155" s="889" t="str">
        <f t="shared" si="9"/>
        <v>IVA REPERCUTIT</v>
      </c>
      <c r="CY155" s="889" t="str">
        <f t="shared" si="9"/>
        <v>STOCK INICIAL</v>
      </c>
      <c r="CZ155" s="889" t="str">
        <f t="shared" si="9"/>
        <v>STOCK FINAL</v>
      </c>
      <c r="DA155" s="889" t="str">
        <f t="shared" si="9"/>
        <v>VARIACIÓ STOCK</v>
      </c>
      <c r="DB155" s="890"/>
    </row>
    <row r="156" spans="1:119" x14ac:dyDescent="0.3">
      <c r="A156" s="1834" t="s">
        <v>57</v>
      </c>
      <c r="B156" s="1834"/>
      <c r="C156" s="891"/>
      <c r="D156" s="891"/>
      <c r="E156" s="891"/>
      <c r="F156" s="891"/>
      <c r="G156" s="893"/>
      <c r="H156" s="893"/>
      <c r="I156" s="891"/>
      <c r="J156" s="891"/>
      <c r="K156" s="894"/>
      <c r="L156" s="894"/>
      <c r="M156" s="894"/>
      <c r="N156" s="894"/>
      <c r="O156" s="896"/>
      <c r="P156" s="896"/>
      <c r="Q156" s="894"/>
      <c r="R156" s="894"/>
      <c r="S156" s="891"/>
      <c r="T156" s="891"/>
      <c r="U156" s="891"/>
      <c r="V156" s="891"/>
      <c r="W156" s="893"/>
      <c r="X156" s="893"/>
      <c r="Y156" s="891"/>
      <c r="Z156" s="891"/>
      <c r="AA156" s="894"/>
      <c r="AB156" s="894"/>
      <c r="AC156" s="894"/>
      <c r="AD156" s="894"/>
      <c r="AE156" s="896"/>
      <c r="AF156" s="896"/>
      <c r="AG156" s="894"/>
      <c r="AH156" s="894"/>
      <c r="AI156" s="891"/>
      <c r="AJ156" s="891"/>
      <c r="AK156" s="891"/>
      <c r="AL156" s="891"/>
      <c r="AM156" s="893"/>
      <c r="AN156" s="893"/>
      <c r="AO156" s="891"/>
      <c r="AP156" s="891"/>
      <c r="AQ156" s="894"/>
      <c r="AR156" s="894"/>
      <c r="AS156" s="894"/>
      <c r="AT156" s="894"/>
      <c r="AU156" s="896"/>
      <c r="AV156" s="896"/>
      <c r="AW156" s="894"/>
      <c r="AX156" s="894"/>
      <c r="AY156" s="891"/>
      <c r="AZ156" s="891"/>
      <c r="BA156" s="891"/>
      <c r="BB156" s="891"/>
      <c r="BC156" s="893"/>
      <c r="BD156" s="893"/>
      <c r="BE156" s="891"/>
      <c r="BF156" s="891"/>
      <c r="BG156" s="894"/>
      <c r="BH156" s="894"/>
      <c r="BI156" s="894"/>
      <c r="BJ156" s="894"/>
      <c r="BK156" s="896"/>
      <c r="BL156" s="896"/>
      <c r="BM156" s="894"/>
      <c r="BN156" s="894"/>
      <c r="BO156" s="891"/>
      <c r="BP156" s="891"/>
      <c r="BQ156" s="891"/>
      <c r="BR156" s="891"/>
      <c r="BS156" s="893"/>
      <c r="BT156" s="893"/>
      <c r="BU156" s="891"/>
      <c r="BV156" s="891"/>
      <c r="BW156" s="894"/>
      <c r="BX156" s="894"/>
      <c r="BY156" s="894"/>
      <c r="BZ156" s="894"/>
      <c r="CA156" s="896"/>
      <c r="CB156" s="896"/>
      <c r="CC156" s="894"/>
      <c r="CD156" s="894"/>
      <c r="CE156" s="891"/>
      <c r="CF156" s="891"/>
      <c r="CG156" s="891"/>
      <c r="CH156" s="891"/>
      <c r="CI156" s="893"/>
      <c r="CJ156" s="893"/>
      <c r="CK156" s="891"/>
      <c r="CL156" s="891"/>
      <c r="CM156" s="894"/>
      <c r="CN156" s="894"/>
      <c r="CO156" s="894"/>
      <c r="CP156" s="894"/>
      <c r="CQ156" s="896"/>
      <c r="CR156" s="896"/>
      <c r="CS156" s="894"/>
      <c r="CT156" s="894"/>
      <c r="CU156" s="891"/>
      <c r="CV156" s="891"/>
      <c r="CW156" s="891"/>
      <c r="CX156" s="891"/>
      <c r="CY156" s="891"/>
      <c r="CZ156" s="891"/>
      <c r="DA156" s="891"/>
      <c r="DB156" s="890"/>
    </row>
    <row r="157" spans="1:119" x14ac:dyDescent="0.3">
      <c r="A157" s="1854" t="s">
        <v>255</v>
      </c>
      <c r="B157" s="1854"/>
      <c r="C157" s="925">
        <f>C150</f>
        <v>0</v>
      </c>
      <c r="D157" s="926">
        <f>D150</f>
        <v>0</v>
      </c>
      <c r="E157" s="926">
        <f>D157*C157</f>
        <v>0</v>
      </c>
      <c r="F157" s="926"/>
      <c r="G157" s="927"/>
      <c r="H157" s="927"/>
      <c r="I157" s="936"/>
      <c r="J157" s="936"/>
      <c r="K157" s="929">
        <f>K150</f>
        <v>0</v>
      </c>
      <c r="L157" s="930">
        <f>L150</f>
        <v>0</v>
      </c>
      <c r="M157" s="930">
        <f>L157*K157</f>
        <v>0</v>
      </c>
      <c r="N157" s="930"/>
      <c r="O157" s="931"/>
      <c r="P157" s="931"/>
      <c r="Q157" s="932"/>
      <c r="R157" s="932"/>
      <c r="S157" s="925">
        <f>S150</f>
        <v>0</v>
      </c>
      <c r="T157" s="926">
        <f>T150</f>
        <v>0</v>
      </c>
      <c r="U157" s="926">
        <f>T157*S157</f>
        <v>0</v>
      </c>
      <c r="V157" s="926"/>
      <c r="W157" s="927"/>
      <c r="X157" s="927"/>
      <c r="Y157" s="936"/>
      <c r="Z157" s="936"/>
      <c r="AA157" s="929">
        <f>AA150</f>
        <v>0</v>
      </c>
      <c r="AB157" s="930">
        <f>AB150</f>
        <v>0</v>
      </c>
      <c r="AC157" s="930">
        <f>AB157*AA157</f>
        <v>0</v>
      </c>
      <c r="AD157" s="930"/>
      <c r="AE157" s="931"/>
      <c r="AF157" s="931"/>
      <c r="AG157" s="932"/>
      <c r="AH157" s="932"/>
      <c r="AI157" s="925">
        <f>AI150</f>
        <v>0</v>
      </c>
      <c r="AJ157" s="926">
        <f>AJ150</f>
        <v>0</v>
      </c>
      <c r="AK157" s="926">
        <f>AJ157*AI157</f>
        <v>0</v>
      </c>
      <c r="AL157" s="926"/>
      <c r="AM157" s="927"/>
      <c r="AN157" s="927"/>
      <c r="AO157" s="936"/>
      <c r="AP157" s="936"/>
      <c r="AQ157" s="929">
        <f>AQ150</f>
        <v>0</v>
      </c>
      <c r="AR157" s="930">
        <f>AR150</f>
        <v>0</v>
      </c>
      <c r="AS157" s="930">
        <f>AR157*AQ157</f>
        <v>0</v>
      </c>
      <c r="AT157" s="930"/>
      <c r="AU157" s="931"/>
      <c r="AV157" s="931"/>
      <c r="AW157" s="932"/>
      <c r="AX157" s="932"/>
      <c r="AY157" s="925">
        <f>AY150</f>
        <v>0</v>
      </c>
      <c r="AZ157" s="926">
        <f>AZ150</f>
        <v>0</v>
      </c>
      <c r="BA157" s="926">
        <f>AZ157*AY157</f>
        <v>0</v>
      </c>
      <c r="BB157" s="926"/>
      <c r="BC157" s="927"/>
      <c r="BD157" s="927"/>
      <c r="BE157" s="936"/>
      <c r="BF157" s="936"/>
      <c r="BG157" s="929">
        <f>BG150</f>
        <v>0</v>
      </c>
      <c r="BH157" s="930">
        <f>BH150</f>
        <v>0</v>
      </c>
      <c r="BI157" s="930">
        <f>BH157*BG157</f>
        <v>0</v>
      </c>
      <c r="BJ157" s="930"/>
      <c r="BK157" s="931"/>
      <c r="BL157" s="931"/>
      <c r="BM157" s="932"/>
      <c r="BN157" s="932"/>
      <c r="BO157" s="925">
        <f>BO150</f>
        <v>0</v>
      </c>
      <c r="BP157" s="926">
        <f>BP150</f>
        <v>0</v>
      </c>
      <c r="BQ157" s="926">
        <f>BP157*BO157</f>
        <v>0</v>
      </c>
      <c r="BR157" s="926"/>
      <c r="BS157" s="927"/>
      <c r="BT157" s="927"/>
      <c r="BU157" s="936"/>
      <c r="BV157" s="936"/>
      <c r="BW157" s="929">
        <f>BW150</f>
        <v>0</v>
      </c>
      <c r="BX157" s="930">
        <f>BX150</f>
        <v>0</v>
      </c>
      <c r="BY157" s="930">
        <f>BX157*BW157</f>
        <v>0</v>
      </c>
      <c r="BZ157" s="930"/>
      <c r="CA157" s="931"/>
      <c r="CB157" s="931"/>
      <c r="CC157" s="932"/>
      <c r="CD157" s="932"/>
      <c r="CE157" s="925">
        <f>CE150</f>
        <v>0</v>
      </c>
      <c r="CF157" s="926">
        <f>CF150</f>
        <v>0</v>
      </c>
      <c r="CG157" s="926">
        <f>CF157*CE157</f>
        <v>0</v>
      </c>
      <c r="CH157" s="926"/>
      <c r="CI157" s="927"/>
      <c r="CJ157" s="927"/>
      <c r="CK157" s="936"/>
      <c r="CL157" s="936"/>
      <c r="CM157" s="929">
        <f>CM150</f>
        <v>0</v>
      </c>
      <c r="CN157" s="930">
        <f>CN150</f>
        <v>0</v>
      </c>
      <c r="CO157" s="930">
        <f>CN157*CM157</f>
        <v>0</v>
      </c>
      <c r="CP157" s="930"/>
      <c r="CQ157" s="931"/>
      <c r="CR157" s="931"/>
      <c r="CS157" s="932"/>
      <c r="CT157" s="932"/>
      <c r="CU157" s="933"/>
      <c r="CV157" s="933"/>
      <c r="CW157" s="934"/>
      <c r="CX157" s="934"/>
      <c r="CY157" s="934"/>
      <c r="CZ157" s="934"/>
      <c r="DA157" s="934"/>
      <c r="DB157" s="897"/>
      <c r="DC157" s="801" t="str">
        <f>DC88</f>
        <v>GENER</v>
      </c>
      <c r="DD157" s="801" t="str">
        <f t="shared" ref="DD157:DO157" si="10">DD88</f>
        <v>FEBRER</v>
      </c>
      <c r="DE157" s="801" t="str">
        <f t="shared" si="10"/>
        <v>MARÇ</v>
      </c>
      <c r="DF157" s="801" t="str">
        <f t="shared" si="10"/>
        <v>ABRIL</v>
      </c>
      <c r="DG157" s="801" t="str">
        <f t="shared" si="10"/>
        <v>MAIG</v>
      </c>
      <c r="DH157" s="801" t="str">
        <f t="shared" si="10"/>
        <v>JUNY</v>
      </c>
      <c r="DI157" s="801" t="str">
        <f t="shared" si="10"/>
        <v>JULIOL</v>
      </c>
      <c r="DJ157" s="801" t="str">
        <f t="shared" si="10"/>
        <v>AGOST</v>
      </c>
      <c r="DK157" s="801" t="str">
        <f t="shared" si="10"/>
        <v>SETEMBRE</v>
      </c>
      <c r="DL157" s="801" t="str">
        <f t="shared" si="10"/>
        <v>OCTUBRE</v>
      </c>
      <c r="DM157" s="801" t="str">
        <f t="shared" si="10"/>
        <v>NOVEMBRE</v>
      </c>
      <c r="DN157" s="801" t="str">
        <f t="shared" si="10"/>
        <v>DESEMBRE</v>
      </c>
      <c r="DO157" s="883" t="str">
        <f t="shared" si="10"/>
        <v>TOTAL</v>
      </c>
    </row>
    <row r="158" spans="1:119" x14ac:dyDescent="0.3">
      <c r="A158" s="1835" t="str">
        <f>A89</f>
        <v>GENER</v>
      </c>
      <c r="B158" s="108" t="s">
        <v>310</v>
      </c>
      <c r="C158" s="898">
        <v>0</v>
      </c>
      <c r="D158" s="899">
        <f>D157</f>
        <v>0</v>
      </c>
      <c r="E158" s="29">
        <f>C158*D158</f>
        <v>0</v>
      </c>
      <c r="F158" s="1836">
        <f>E158*$I$3</f>
        <v>0</v>
      </c>
      <c r="G158" s="1837">
        <f>G142</f>
        <v>0</v>
      </c>
      <c r="H158" s="1838">
        <v>0</v>
      </c>
      <c r="I158" s="1839">
        <f>(E157+E158)*H158/(1-G158)</f>
        <v>0</v>
      </c>
      <c r="J158" s="1839">
        <f>I158*$F$3</f>
        <v>0</v>
      </c>
      <c r="K158" s="900">
        <v>0</v>
      </c>
      <c r="L158" s="901">
        <f>L157</f>
        <v>0</v>
      </c>
      <c r="M158" s="902">
        <f>K158*L158</f>
        <v>0</v>
      </c>
      <c r="N158" s="1840">
        <f>M158*$I$4</f>
        <v>0</v>
      </c>
      <c r="O158" s="1841">
        <f>O142</f>
        <v>0</v>
      </c>
      <c r="P158" s="1842">
        <v>0</v>
      </c>
      <c r="Q158" s="1843">
        <f>(M157+M158)*P158/(1-O158)</f>
        <v>0</v>
      </c>
      <c r="R158" s="1843">
        <f>Q158*$F$4</f>
        <v>0</v>
      </c>
      <c r="S158" s="898">
        <v>0</v>
      </c>
      <c r="T158" s="899">
        <f>T157</f>
        <v>0</v>
      </c>
      <c r="U158" s="29">
        <f>S158*T158</f>
        <v>0</v>
      </c>
      <c r="V158" s="1836">
        <f>U158*$I$5</f>
        <v>0</v>
      </c>
      <c r="W158" s="1837">
        <f>W142</f>
        <v>0</v>
      </c>
      <c r="X158" s="1838">
        <v>0</v>
      </c>
      <c r="Y158" s="1839">
        <f>(U157+U158)*X158/(1-W158)</f>
        <v>0</v>
      </c>
      <c r="Z158" s="1839">
        <f>Y158*$F$5</f>
        <v>0</v>
      </c>
      <c r="AA158" s="900">
        <v>0</v>
      </c>
      <c r="AB158" s="901">
        <f>AB157</f>
        <v>0</v>
      </c>
      <c r="AC158" s="902">
        <f>AA158*AB158</f>
        <v>0</v>
      </c>
      <c r="AD158" s="1840">
        <f>AC158*$I$6</f>
        <v>0</v>
      </c>
      <c r="AE158" s="1841">
        <f>AE142</f>
        <v>0</v>
      </c>
      <c r="AF158" s="1842">
        <v>0</v>
      </c>
      <c r="AG158" s="1843">
        <f>(AC157+AC158)*AF158/(1-AE158)</f>
        <v>0</v>
      </c>
      <c r="AH158" s="1843">
        <f>AG158*$F$6</f>
        <v>0</v>
      </c>
      <c r="AI158" s="898">
        <v>0</v>
      </c>
      <c r="AJ158" s="899">
        <f>AJ157</f>
        <v>0</v>
      </c>
      <c r="AK158" s="29">
        <f>AI158*AJ158</f>
        <v>0</v>
      </c>
      <c r="AL158" s="1836">
        <f>AK158*$I$7</f>
        <v>0</v>
      </c>
      <c r="AM158" s="1837">
        <f>AM142</f>
        <v>0</v>
      </c>
      <c r="AN158" s="1838">
        <v>0</v>
      </c>
      <c r="AO158" s="1839">
        <f>(AK157+AK158)*AN158/(1-AM158)</f>
        <v>0</v>
      </c>
      <c r="AP158" s="1839">
        <f>AO158*$F$7</f>
        <v>0</v>
      </c>
      <c r="AQ158" s="900">
        <v>0</v>
      </c>
      <c r="AR158" s="901">
        <f>AR157</f>
        <v>0</v>
      </c>
      <c r="AS158" s="902">
        <f>AQ158*AR158</f>
        <v>0</v>
      </c>
      <c r="AT158" s="1840">
        <f>AS158*$I$8</f>
        <v>0</v>
      </c>
      <c r="AU158" s="1841">
        <f>AU142</f>
        <v>0</v>
      </c>
      <c r="AV158" s="1842">
        <v>0</v>
      </c>
      <c r="AW158" s="1843">
        <f>(AS157+AS158)*AV158/(1-AU158)</f>
        <v>0</v>
      </c>
      <c r="AX158" s="1843">
        <f>AW158*$F$8</f>
        <v>0</v>
      </c>
      <c r="AY158" s="898">
        <v>0</v>
      </c>
      <c r="AZ158" s="899">
        <f>AZ157</f>
        <v>0</v>
      </c>
      <c r="BA158" s="29">
        <f>AY158*AZ158</f>
        <v>0</v>
      </c>
      <c r="BB158" s="1836">
        <f>BA158*$I$9</f>
        <v>0</v>
      </c>
      <c r="BC158" s="1837">
        <f>BC142</f>
        <v>0</v>
      </c>
      <c r="BD158" s="1838">
        <v>0</v>
      </c>
      <c r="BE158" s="1839">
        <f>(BA157+BA158)*BD158/(1-BC158)</f>
        <v>0</v>
      </c>
      <c r="BF158" s="1839">
        <f>BE158*$F$9</f>
        <v>0</v>
      </c>
      <c r="BG158" s="900">
        <v>0</v>
      </c>
      <c r="BH158" s="901">
        <f>BH157</f>
        <v>0</v>
      </c>
      <c r="BI158" s="902">
        <f>BG158*BH158</f>
        <v>0</v>
      </c>
      <c r="BJ158" s="1840">
        <f>BI158*$I$10</f>
        <v>0</v>
      </c>
      <c r="BK158" s="1841">
        <f>BK142</f>
        <v>0</v>
      </c>
      <c r="BL158" s="1842">
        <v>0</v>
      </c>
      <c r="BM158" s="1843">
        <f>(BI157+BI158)*BL158/(1-BK158)</f>
        <v>0</v>
      </c>
      <c r="BN158" s="1843">
        <f>BM158*$F$10</f>
        <v>0</v>
      </c>
      <c r="BO158" s="898">
        <v>0</v>
      </c>
      <c r="BP158" s="899">
        <f>BP157</f>
        <v>0</v>
      </c>
      <c r="BQ158" s="29">
        <f>BO158*BP158</f>
        <v>0</v>
      </c>
      <c r="BR158" s="1836">
        <f>BQ158*$I$11</f>
        <v>0</v>
      </c>
      <c r="BS158" s="1837">
        <f>BS142</f>
        <v>0</v>
      </c>
      <c r="BT158" s="1838">
        <v>0</v>
      </c>
      <c r="BU158" s="1839">
        <f>(BQ157+BQ158)*BT158/(1-BS158)</f>
        <v>0</v>
      </c>
      <c r="BV158" s="1839">
        <f>BU158*$F$11</f>
        <v>0</v>
      </c>
      <c r="BW158" s="900">
        <v>0</v>
      </c>
      <c r="BX158" s="901">
        <f>BX157</f>
        <v>0</v>
      </c>
      <c r="BY158" s="902">
        <f>BW158*BX158</f>
        <v>0</v>
      </c>
      <c r="BZ158" s="1840">
        <f>BY158*$I$12</f>
        <v>0</v>
      </c>
      <c r="CA158" s="1841">
        <f>CA142</f>
        <v>0</v>
      </c>
      <c r="CB158" s="1842">
        <v>0</v>
      </c>
      <c r="CC158" s="1843">
        <f>(BY157+BY158)*CB158/(1-CA158)</f>
        <v>0</v>
      </c>
      <c r="CD158" s="1843">
        <f>CC158*$F$12</f>
        <v>0</v>
      </c>
      <c r="CE158" s="898">
        <v>0</v>
      </c>
      <c r="CF158" s="899">
        <f>CF157</f>
        <v>0</v>
      </c>
      <c r="CG158" s="29">
        <f>CE158*CF158</f>
        <v>0</v>
      </c>
      <c r="CH158" s="1836">
        <f>CG158*$I$13</f>
        <v>0</v>
      </c>
      <c r="CI158" s="1837">
        <f>CI142</f>
        <v>0</v>
      </c>
      <c r="CJ158" s="1838">
        <v>0</v>
      </c>
      <c r="CK158" s="1839">
        <f>(CG157+CG158)*CJ158/(1-CI158)</f>
        <v>0</v>
      </c>
      <c r="CL158" s="1839">
        <f>CK158*$F$13</f>
        <v>0</v>
      </c>
      <c r="CM158" s="900">
        <v>0</v>
      </c>
      <c r="CN158" s="901">
        <f>CN157</f>
        <v>0</v>
      </c>
      <c r="CO158" s="902">
        <f>CM158*CN158</f>
        <v>0</v>
      </c>
      <c r="CP158" s="1840">
        <f>CO158*$I$14</f>
        <v>0</v>
      </c>
      <c r="CQ158" s="1841">
        <f>CQ142</f>
        <v>0</v>
      </c>
      <c r="CR158" s="1842">
        <v>0</v>
      </c>
      <c r="CS158" s="1843">
        <f>(CO157+CO158)*CR158/(1-CQ158)</f>
        <v>0</v>
      </c>
      <c r="CT158" s="1843">
        <f>CS158*$F$14</f>
        <v>0</v>
      </c>
      <c r="CU158" s="1844">
        <f>E158+M158+U158+AC158+AK158+AS158+BA158+BI158+BQ158+BY158+CG158+CO158</f>
        <v>0</v>
      </c>
      <c r="CV158" s="1844">
        <f>F158+N158+V158+AD158+AL158+AT158+BB158+BJ158+BR158+BZ158+CH158+CP158</f>
        <v>0</v>
      </c>
      <c r="CW158" s="1845">
        <f>I158+Q158+Y158+AG158+AO158+AW158+BE158+BM158+BU158+CC158+CK158+CS158</f>
        <v>0</v>
      </c>
      <c r="CX158" s="1844">
        <f>CT158+CL158+CD158+BV158+BN158+BF158+AX158+AP158+AH158+Z158+R158+J158</f>
        <v>0</v>
      </c>
      <c r="CY158" s="1845">
        <f>CZ147</f>
        <v>0</v>
      </c>
      <c r="CZ158" s="1845">
        <f>E160+M160+U160+AC160+AK160+AS160+BA160+BI160+BQ160+BY160+CG160+CO160</f>
        <v>0</v>
      </c>
      <c r="DA158" s="1845">
        <f>CZ158-CY158</f>
        <v>0</v>
      </c>
      <c r="DB158" s="903" t="s">
        <v>58</v>
      </c>
      <c r="DC158" s="794">
        <f>CW158</f>
        <v>0</v>
      </c>
      <c r="DD158" s="794">
        <f>CW161</f>
        <v>0</v>
      </c>
      <c r="DE158" s="794">
        <f>CW166</f>
        <v>0</v>
      </c>
      <c r="DF158" s="794">
        <f>CW171</f>
        <v>0</v>
      </c>
      <c r="DG158" s="794">
        <f>CW176</f>
        <v>0</v>
      </c>
      <c r="DH158" s="794">
        <f>CW181</f>
        <v>0</v>
      </c>
      <c r="DI158" s="794">
        <f>CW186</f>
        <v>0</v>
      </c>
      <c r="DJ158" s="794">
        <f>CW191</f>
        <v>0</v>
      </c>
      <c r="DK158" s="794">
        <f>CW196</f>
        <v>0</v>
      </c>
      <c r="DL158" s="794">
        <f>CW201</f>
        <v>0</v>
      </c>
      <c r="DM158" s="794">
        <f>CW206</f>
        <v>0</v>
      </c>
      <c r="DN158" s="794">
        <f>CW211</f>
        <v>0</v>
      </c>
      <c r="DO158" s="905">
        <f>SUM(DC158:DN158)</f>
        <v>0</v>
      </c>
    </row>
    <row r="159" spans="1:119" x14ac:dyDescent="0.3">
      <c r="A159" s="1835"/>
      <c r="B159" s="108" t="s">
        <v>312</v>
      </c>
      <c r="C159" s="906">
        <f>(C158+C157)*H158</f>
        <v>0</v>
      </c>
      <c r="D159" s="29">
        <f>IF(C159=0,0,E159/C159)</f>
        <v>0</v>
      </c>
      <c r="E159" s="29">
        <f>I158*(1-G158)</f>
        <v>0</v>
      </c>
      <c r="F159" s="1836"/>
      <c r="G159" s="1837"/>
      <c r="H159" s="1838"/>
      <c r="I159" s="1839"/>
      <c r="J159" s="1839"/>
      <c r="K159" s="907">
        <f>(K158+K157)*P158</f>
        <v>0</v>
      </c>
      <c r="L159" s="902">
        <f>IF(K159=0,0,M159/K159)</f>
        <v>0</v>
      </c>
      <c r="M159" s="902">
        <f>Q158*(1-O158)</f>
        <v>0</v>
      </c>
      <c r="N159" s="1840"/>
      <c r="O159" s="1841"/>
      <c r="P159" s="1842"/>
      <c r="Q159" s="1843"/>
      <c r="R159" s="1843"/>
      <c r="S159" s="906">
        <f>(S158+S157)*X158</f>
        <v>0</v>
      </c>
      <c r="T159" s="29">
        <f>IF(S159=0,0,U159/S159)</f>
        <v>0</v>
      </c>
      <c r="U159" s="29">
        <f>Y158*(1-W158)</f>
        <v>0</v>
      </c>
      <c r="V159" s="1836"/>
      <c r="W159" s="1837"/>
      <c r="X159" s="1838"/>
      <c r="Y159" s="1839"/>
      <c r="Z159" s="1839"/>
      <c r="AA159" s="907">
        <f>(AA158+AA157)*AF158</f>
        <v>0</v>
      </c>
      <c r="AB159" s="902">
        <f>IF(AA159=0,0,AC159/AA159)</f>
        <v>0</v>
      </c>
      <c r="AC159" s="902">
        <f>AG158*(1-AE158)</f>
        <v>0</v>
      </c>
      <c r="AD159" s="1840"/>
      <c r="AE159" s="1841"/>
      <c r="AF159" s="1842"/>
      <c r="AG159" s="1843"/>
      <c r="AH159" s="1843"/>
      <c r="AI159" s="906">
        <f>(AI158+AI157)*AN158</f>
        <v>0</v>
      </c>
      <c r="AJ159" s="29">
        <f>IF(AI159=0,0,AK159/AI159)</f>
        <v>0</v>
      </c>
      <c r="AK159" s="29">
        <f>AO158*(1-AM158)</f>
        <v>0</v>
      </c>
      <c r="AL159" s="1836"/>
      <c r="AM159" s="1837"/>
      <c r="AN159" s="1838"/>
      <c r="AO159" s="1839"/>
      <c r="AP159" s="1839"/>
      <c r="AQ159" s="907">
        <f>(AQ158+AQ157)*AV158</f>
        <v>0</v>
      </c>
      <c r="AR159" s="902">
        <f>IF(AQ159=0,0,AS159/AQ159)</f>
        <v>0</v>
      </c>
      <c r="AS159" s="902">
        <f>AW158*(1-AU158)</f>
        <v>0</v>
      </c>
      <c r="AT159" s="1840"/>
      <c r="AU159" s="1841"/>
      <c r="AV159" s="1842"/>
      <c r="AW159" s="1843"/>
      <c r="AX159" s="1843"/>
      <c r="AY159" s="906">
        <f>(AY158+AY157)*BD158</f>
        <v>0</v>
      </c>
      <c r="AZ159" s="29">
        <f>IF(AY159=0,0,BA159/AY159)</f>
        <v>0</v>
      </c>
      <c r="BA159" s="29">
        <f>BE158*(1-BC158)</f>
        <v>0</v>
      </c>
      <c r="BB159" s="1836"/>
      <c r="BC159" s="1837"/>
      <c r="BD159" s="1838"/>
      <c r="BE159" s="1839"/>
      <c r="BF159" s="1839"/>
      <c r="BG159" s="907">
        <f>(BG158+BG157)*BL158</f>
        <v>0</v>
      </c>
      <c r="BH159" s="902">
        <f>IF(BG159=0,0,BI159/BG159)</f>
        <v>0</v>
      </c>
      <c r="BI159" s="902">
        <f>BM158*(1-BK158)</f>
        <v>0</v>
      </c>
      <c r="BJ159" s="1840"/>
      <c r="BK159" s="1841"/>
      <c r="BL159" s="1842"/>
      <c r="BM159" s="1843"/>
      <c r="BN159" s="1843"/>
      <c r="BO159" s="906">
        <f>(BO158+BO157)*BT158</f>
        <v>0</v>
      </c>
      <c r="BP159" s="29">
        <f>IF(BO159=0,0,BQ159/BO159)</f>
        <v>0</v>
      </c>
      <c r="BQ159" s="29">
        <f>BU158*(1-BS158)</f>
        <v>0</v>
      </c>
      <c r="BR159" s="1836"/>
      <c r="BS159" s="1837"/>
      <c r="BT159" s="1838"/>
      <c r="BU159" s="1839"/>
      <c r="BV159" s="1839"/>
      <c r="BW159" s="907">
        <f>(BW158+BW157)*CB158</f>
        <v>0</v>
      </c>
      <c r="BX159" s="902">
        <f>IF(BW159=0,0,BY159/BW159)</f>
        <v>0</v>
      </c>
      <c r="BY159" s="902">
        <f>CC158*(1-CA158)</f>
        <v>0</v>
      </c>
      <c r="BZ159" s="1840"/>
      <c r="CA159" s="1841"/>
      <c r="CB159" s="1842"/>
      <c r="CC159" s="1843"/>
      <c r="CD159" s="1843"/>
      <c r="CE159" s="906">
        <f>(CE158+CE157)*CJ158</f>
        <v>0</v>
      </c>
      <c r="CF159" s="29">
        <f>IF(CE159=0,0,CG159/CE159)</f>
        <v>0</v>
      </c>
      <c r="CG159" s="29">
        <f>CK158*(1-CI158)</f>
        <v>0</v>
      </c>
      <c r="CH159" s="1836"/>
      <c r="CI159" s="1837"/>
      <c r="CJ159" s="1838"/>
      <c r="CK159" s="1839"/>
      <c r="CL159" s="1839"/>
      <c r="CM159" s="907">
        <f>(CM158+CM157)*CR158</f>
        <v>0</v>
      </c>
      <c r="CN159" s="902">
        <f>IF(CM159=0,0,CO159/CM159)</f>
        <v>0</v>
      </c>
      <c r="CO159" s="902">
        <f>CS158*(1-CQ158)</f>
        <v>0</v>
      </c>
      <c r="CP159" s="1840"/>
      <c r="CQ159" s="1841"/>
      <c r="CR159" s="1842"/>
      <c r="CS159" s="1843"/>
      <c r="CT159" s="1843"/>
      <c r="CU159" s="1844"/>
      <c r="CV159" s="1844"/>
      <c r="CW159" s="1845"/>
      <c r="CX159" s="1844"/>
      <c r="CY159" s="1845"/>
      <c r="CZ159" s="1845"/>
      <c r="DA159" s="1845"/>
      <c r="DB159" s="908" t="s">
        <v>293</v>
      </c>
      <c r="DC159" s="794">
        <f>CU158</f>
        <v>0</v>
      </c>
      <c r="DD159" s="794">
        <f>CU161</f>
        <v>0</v>
      </c>
      <c r="DE159" s="794">
        <f>CU166</f>
        <v>0</v>
      </c>
      <c r="DF159" s="794">
        <f>CU171</f>
        <v>0</v>
      </c>
      <c r="DG159" s="794">
        <f>CU176</f>
        <v>0</v>
      </c>
      <c r="DH159" s="794">
        <f>CU181</f>
        <v>0</v>
      </c>
      <c r="DI159" s="794">
        <f>CU186</f>
        <v>0</v>
      </c>
      <c r="DJ159" s="794">
        <f>CU191</f>
        <v>0</v>
      </c>
      <c r="DK159" s="794">
        <f>CU196</f>
        <v>0</v>
      </c>
      <c r="DL159" s="794">
        <f>CU201</f>
        <v>0</v>
      </c>
      <c r="DM159" s="794">
        <f>CU206</f>
        <v>0</v>
      </c>
      <c r="DN159" s="794">
        <f>CU211</f>
        <v>0</v>
      </c>
      <c r="DO159" s="905">
        <f>SUM(DC159:DN159)</f>
        <v>0</v>
      </c>
    </row>
    <row r="160" spans="1:119" x14ac:dyDescent="0.3">
      <c r="A160" s="1835"/>
      <c r="B160" s="108" t="s">
        <v>254</v>
      </c>
      <c r="C160" s="906">
        <f>C157+C158-C159</f>
        <v>0</v>
      </c>
      <c r="D160" s="29">
        <f>IF(C160=0,0,E160/C160)</f>
        <v>0</v>
      </c>
      <c r="E160" s="29">
        <f>E157+E158-E159</f>
        <v>0</v>
      </c>
      <c r="F160" s="1836"/>
      <c r="G160" s="1837"/>
      <c r="H160" s="1838"/>
      <c r="I160" s="1839"/>
      <c r="J160" s="1839"/>
      <c r="K160" s="907">
        <f>K157+K158-K159</f>
        <v>0</v>
      </c>
      <c r="L160" s="902">
        <f>IF(K160=0,0,M160/K160)</f>
        <v>0</v>
      </c>
      <c r="M160" s="902">
        <f>M157+M158-M159</f>
        <v>0</v>
      </c>
      <c r="N160" s="1840"/>
      <c r="O160" s="1841"/>
      <c r="P160" s="1842"/>
      <c r="Q160" s="1843"/>
      <c r="R160" s="1843"/>
      <c r="S160" s="906">
        <f>S157+S158-S159</f>
        <v>0</v>
      </c>
      <c r="T160" s="29">
        <f>IF(S160=0,0,U160/S160)</f>
        <v>0</v>
      </c>
      <c r="U160" s="29">
        <f>U157+U158-U159</f>
        <v>0</v>
      </c>
      <c r="V160" s="1836"/>
      <c r="W160" s="1837"/>
      <c r="X160" s="1838"/>
      <c r="Y160" s="1839"/>
      <c r="Z160" s="1839"/>
      <c r="AA160" s="907">
        <f>AA157+AA158-AA159</f>
        <v>0</v>
      </c>
      <c r="AB160" s="902">
        <f>IF(AA160=0,0,AC160/AA160)</f>
        <v>0</v>
      </c>
      <c r="AC160" s="902">
        <f>AC157+AC158-AC159</f>
        <v>0</v>
      </c>
      <c r="AD160" s="1840"/>
      <c r="AE160" s="1841"/>
      <c r="AF160" s="1842"/>
      <c r="AG160" s="1843"/>
      <c r="AH160" s="1843"/>
      <c r="AI160" s="906">
        <f>AI157+AI158-AI159</f>
        <v>0</v>
      </c>
      <c r="AJ160" s="29">
        <f>IF(AI160=0,0,AK160/AI160)</f>
        <v>0</v>
      </c>
      <c r="AK160" s="29">
        <f>AK157+AK158-AK159</f>
        <v>0</v>
      </c>
      <c r="AL160" s="1836"/>
      <c r="AM160" s="1837"/>
      <c r="AN160" s="1838"/>
      <c r="AO160" s="1839"/>
      <c r="AP160" s="1839"/>
      <c r="AQ160" s="907">
        <f>AQ157+AQ158-AQ159</f>
        <v>0</v>
      </c>
      <c r="AR160" s="902">
        <f>IF(AQ160=0,0,AS160/AQ160)</f>
        <v>0</v>
      </c>
      <c r="AS160" s="902">
        <f>AS157+AS158-AS159</f>
        <v>0</v>
      </c>
      <c r="AT160" s="1840"/>
      <c r="AU160" s="1841"/>
      <c r="AV160" s="1842"/>
      <c r="AW160" s="1843"/>
      <c r="AX160" s="1843"/>
      <c r="AY160" s="906">
        <f>AY157+AY158-AY159</f>
        <v>0</v>
      </c>
      <c r="AZ160" s="29">
        <f>IF(AY160=0,0,BA160/AY160)</f>
        <v>0</v>
      </c>
      <c r="BA160" s="29">
        <f>BA157+BA158-BA159</f>
        <v>0</v>
      </c>
      <c r="BB160" s="1836"/>
      <c r="BC160" s="1837"/>
      <c r="BD160" s="1838"/>
      <c r="BE160" s="1839"/>
      <c r="BF160" s="1839"/>
      <c r="BG160" s="907">
        <f>BG157+BG158-BG159</f>
        <v>0</v>
      </c>
      <c r="BH160" s="902">
        <f>IF(BG160=0,0,BI160/BG160)</f>
        <v>0</v>
      </c>
      <c r="BI160" s="902">
        <f>BI157+BI158-BI159</f>
        <v>0</v>
      </c>
      <c r="BJ160" s="1840"/>
      <c r="BK160" s="1841"/>
      <c r="BL160" s="1842"/>
      <c r="BM160" s="1843"/>
      <c r="BN160" s="1843"/>
      <c r="BO160" s="906">
        <f>BO157+BO158-BO159</f>
        <v>0</v>
      </c>
      <c r="BP160" s="29">
        <f>IF(BO160=0,0,BQ160/BO160)</f>
        <v>0</v>
      </c>
      <c r="BQ160" s="29">
        <f>BQ157+BQ158-BQ159</f>
        <v>0</v>
      </c>
      <c r="BR160" s="1836"/>
      <c r="BS160" s="1837"/>
      <c r="BT160" s="1838"/>
      <c r="BU160" s="1839"/>
      <c r="BV160" s="1839"/>
      <c r="BW160" s="907">
        <f>BW157+BW158-BW159</f>
        <v>0</v>
      </c>
      <c r="BX160" s="902">
        <f>IF(BW160=0,0,BY160/BW160)</f>
        <v>0</v>
      </c>
      <c r="BY160" s="902">
        <f>BY157+BY158-BY159</f>
        <v>0</v>
      </c>
      <c r="BZ160" s="1840"/>
      <c r="CA160" s="1841"/>
      <c r="CB160" s="1842"/>
      <c r="CC160" s="1843"/>
      <c r="CD160" s="1843"/>
      <c r="CE160" s="906">
        <f>CE157+CE158-CE159</f>
        <v>0</v>
      </c>
      <c r="CF160" s="29">
        <f>IF(CE160=0,0,CG160/CE160)</f>
        <v>0</v>
      </c>
      <c r="CG160" s="29">
        <f>CG157+CG158-CG159</f>
        <v>0</v>
      </c>
      <c r="CH160" s="1836"/>
      <c r="CI160" s="1837"/>
      <c r="CJ160" s="1838"/>
      <c r="CK160" s="1839"/>
      <c r="CL160" s="1839"/>
      <c r="CM160" s="907">
        <f>CM157+CM158-CM159</f>
        <v>0</v>
      </c>
      <c r="CN160" s="902">
        <f>IF(CM160=0,0,CO160/CM160)</f>
        <v>0</v>
      </c>
      <c r="CO160" s="902">
        <f>CO157+CO158-CO159</f>
        <v>0</v>
      </c>
      <c r="CP160" s="1840"/>
      <c r="CQ160" s="1841"/>
      <c r="CR160" s="1842"/>
      <c r="CS160" s="1843"/>
      <c r="CT160" s="1843"/>
      <c r="CU160" s="1844"/>
      <c r="CV160" s="1844"/>
      <c r="CW160" s="1845"/>
      <c r="CX160" s="1844"/>
      <c r="CY160" s="1845"/>
      <c r="CZ160" s="1845"/>
      <c r="DA160" s="1845"/>
      <c r="DB160" s="908" t="s">
        <v>313</v>
      </c>
      <c r="DC160" s="794">
        <f>DA158</f>
        <v>0</v>
      </c>
      <c r="DD160" s="794">
        <f>$DA161</f>
        <v>0</v>
      </c>
      <c r="DE160" s="794">
        <f>$DA166</f>
        <v>0</v>
      </c>
      <c r="DF160" s="794">
        <f>$DA171</f>
        <v>0</v>
      </c>
      <c r="DG160" s="794">
        <f>$DA176</f>
        <v>0</v>
      </c>
      <c r="DH160" s="794">
        <f>$DA181</f>
        <v>0</v>
      </c>
      <c r="DI160" s="794">
        <f>$DA186</f>
        <v>0</v>
      </c>
      <c r="DJ160" s="794">
        <f>$DA191</f>
        <v>0</v>
      </c>
      <c r="DK160" s="794">
        <f>$DA196</f>
        <v>0</v>
      </c>
      <c r="DL160" s="794">
        <f>$DA201</f>
        <v>0</v>
      </c>
      <c r="DM160" s="794">
        <f>$DA206</f>
        <v>0</v>
      </c>
      <c r="DN160" s="794">
        <f>$DA211</f>
        <v>0</v>
      </c>
      <c r="DO160" s="905">
        <f>DA216</f>
        <v>0</v>
      </c>
    </row>
    <row r="161" spans="1:119" x14ac:dyDescent="0.3">
      <c r="A161" s="1835" t="str">
        <f>A92</f>
        <v>FEBRER</v>
      </c>
      <c r="B161" s="108" t="s">
        <v>255</v>
      </c>
      <c r="C161" s="906">
        <f>C160</f>
        <v>0</v>
      </c>
      <c r="D161" s="29">
        <f>D160</f>
        <v>0</v>
      </c>
      <c r="E161" s="29">
        <f>C161*D161</f>
        <v>0</v>
      </c>
      <c r="F161" s="1836">
        <f>E162*$I$3</f>
        <v>0</v>
      </c>
      <c r="G161" s="1837">
        <f>G158</f>
        <v>0</v>
      </c>
      <c r="H161" s="1838">
        <f>H158</f>
        <v>0</v>
      </c>
      <c r="I161" s="1839">
        <f>E164/(1-G161)</f>
        <v>0</v>
      </c>
      <c r="J161" s="1839">
        <f>I161*$F$3</f>
        <v>0</v>
      </c>
      <c r="K161" s="907">
        <f>K160</f>
        <v>0</v>
      </c>
      <c r="L161" s="902">
        <f>L160</f>
        <v>0</v>
      </c>
      <c r="M161" s="902">
        <f>K161*L161</f>
        <v>0</v>
      </c>
      <c r="N161" s="1840">
        <f>M162*$I$4</f>
        <v>0</v>
      </c>
      <c r="O161" s="1841">
        <f>O158</f>
        <v>0</v>
      </c>
      <c r="P161" s="1842">
        <f>P158</f>
        <v>0</v>
      </c>
      <c r="Q161" s="1843">
        <f>M164/(1-O161)</f>
        <v>0</v>
      </c>
      <c r="R161" s="1843">
        <f>Q161*$F$4</f>
        <v>0</v>
      </c>
      <c r="S161" s="906">
        <f>S160</f>
        <v>0</v>
      </c>
      <c r="T161" s="29">
        <f>T160</f>
        <v>0</v>
      </c>
      <c r="U161" s="29">
        <f>S161*T161</f>
        <v>0</v>
      </c>
      <c r="V161" s="1836">
        <f>U162*$I$5</f>
        <v>0</v>
      </c>
      <c r="W161" s="1837">
        <f>W158</f>
        <v>0</v>
      </c>
      <c r="X161" s="1838">
        <f>X158</f>
        <v>0</v>
      </c>
      <c r="Y161" s="1839">
        <f>U164/(1-W161)</f>
        <v>0</v>
      </c>
      <c r="Z161" s="1839">
        <f>Y161*$F$5</f>
        <v>0</v>
      </c>
      <c r="AA161" s="907">
        <f>AA160</f>
        <v>0</v>
      </c>
      <c r="AB161" s="902">
        <f>AB160</f>
        <v>0</v>
      </c>
      <c r="AC161" s="902">
        <f>AA161*AB161</f>
        <v>0</v>
      </c>
      <c r="AD161" s="1840">
        <f>AC162*$I$6</f>
        <v>0</v>
      </c>
      <c r="AE161" s="1841">
        <f>AE158</f>
        <v>0</v>
      </c>
      <c r="AF161" s="1842">
        <f>AF158</f>
        <v>0</v>
      </c>
      <c r="AG161" s="1843">
        <f>AC164/(1-AE161)</f>
        <v>0</v>
      </c>
      <c r="AH161" s="1843">
        <f>AG161*$F$6</f>
        <v>0</v>
      </c>
      <c r="AI161" s="906">
        <f>AI160</f>
        <v>0</v>
      </c>
      <c r="AJ161" s="29">
        <f>AJ160</f>
        <v>0</v>
      </c>
      <c r="AK161" s="29">
        <f>AI161*AJ161</f>
        <v>0</v>
      </c>
      <c r="AL161" s="1836">
        <f>AK162*$I$7</f>
        <v>0</v>
      </c>
      <c r="AM161" s="1837">
        <f>AM158</f>
        <v>0</v>
      </c>
      <c r="AN161" s="1838">
        <f>AN158</f>
        <v>0</v>
      </c>
      <c r="AO161" s="1839">
        <f>AK164/(1-AM161)</f>
        <v>0</v>
      </c>
      <c r="AP161" s="1839">
        <f>AO161*$F$7</f>
        <v>0</v>
      </c>
      <c r="AQ161" s="907">
        <f>AQ160</f>
        <v>0</v>
      </c>
      <c r="AR161" s="902">
        <f>AR160</f>
        <v>0</v>
      </c>
      <c r="AS161" s="902">
        <f>AQ161*AR161</f>
        <v>0</v>
      </c>
      <c r="AT161" s="1840">
        <f>AS162*$I$8</f>
        <v>0</v>
      </c>
      <c r="AU161" s="1841">
        <f>AU158</f>
        <v>0</v>
      </c>
      <c r="AV161" s="1842">
        <f>AV158</f>
        <v>0</v>
      </c>
      <c r="AW161" s="1843">
        <f>AS164/(1-AU161)</f>
        <v>0</v>
      </c>
      <c r="AX161" s="1843">
        <f>AW161*$F$8</f>
        <v>0</v>
      </c>
      <c r="AY161" s="906">
        <f>AY160</f>
        <v>0</v>
      </c>
      <c r="AZ161" s="29">
        <f>AZ160</f>
        <v>0</v>
      </c>
      <c r="BA161" s="29">
        <f>AY161*AZ161</f>
        <v>0</v>
      </c>
      <c r="BB161" s="1836">
        <f>BA162*$I$9</f>
        <v>0</v>
      </c>
      <c r="BC161" s="1837">
        <f>BC158</f>
        <v>0</v>
      </c>
      <c r="BD161" s="1838">
        <f>BD158</f>
        <v>0</v>
      </c>
      <c r="BE161" s="1839">
        <f>BA164/(1-BC161)</f>
        <v>0</v>
      </c>
      <c r="BF161" s="1839">
        <f>BE161*$F$9</f>
        <v>0</v>
      </c>
      <c r="BG161" s="907">
        <f>BG160</f>
        <v>0</v>
      </c>
      <c r="BH161" s="902">
        <f>BH160</f>
        <v>0</v>
      </c>
      <c r="BI161" s="902">
        <f>BG161*BH161</f>
        <v>0</v>
      </c>
      <c r="BJ161" s="1840">
        <f>BI162*$I$10</f>
        <v>0</v>
      </c>
      <c r="BK161" s="1841">
        <f>BK158</f>
        <v>0</v>
      </c>
      <c r="BL161" s="1842">
        <f>BL158</f>
        <v>0</v>
      </c>
      <c r="BM161" s="1843">
        <f>BI164/(1-BK161)</f>
        <v>0</v>
      </c>
      <c r="BN161" s="1843">
        <f>BM161*$F$10</f>
        <v>0</v>
      </c>
      <c r="BO161" s="906">
        <f>BO160</f>
        <v>0</v>
      </c>
      <c r="BP161" s="29">
        <f>BP160</f>
        <v>0</v>
      </c>
      <c r="BQ161" s="29">
        <f>BO161*BP161</f>
        <v>0</v>
      </c>
      <c r="BR161" s="1836">
        <f>BQ162*$I$11</f>
        <v>0</v>
      </c>
      <c r="BS161" s="1837">
        <f>BS158</f>
        <v>0</v>
      </c>
      <c r="BT161" s="1838">
        <f>BT158</f>
        <v>0</v>
      </c>
      <c r="BU161" s="1839">
        <f>BQ164/(1-BS161)</f>
        <v>0</v>
      </c>
      <c r="BV161" s="1839">
        <f>BU161*$F$11</f>
        <v>0</v>
      </c>
      <c r="BW161" s="907">
        <f>BW160</f>
        <v>0</v>
      </c>
      <c r="BX161" s="902">
        <f>BX160</f>
        <v>0</v>
      </c>
      <c r="BY161" s="902">
        <f>BW161*BX161</f>
        <v>0</v>
      </c>
      <c r="BZ161" s="1840">
        <f>BY162*$I$12</f>
        <v>0</v>
      </c>
      <c r="CA161" s="1841">
        <f>CA158</f>
        <v>0</v>
      </c>
      <c r="CB161" s="1842">
        <f>CB158</f>
        <v>0</v>
      </c>
      <c r="CC161" s="1843">
        <f>BY164/(1-CA161)</f>
        <v>0</v>
      </c>
      <c r="CD161" s="1843">
        <f>CC161*$F$12</f>
        <v>0</v>
      </c>
      <c r="CE161" s="906">
        <f>CE160</f>
        <v>0</v>
      </c>
      <c r="CF161" s="29">
        <f>CF160</f>
        <v>0</v>
      </c>
      <c r="CG161" s="29">
        <f>CE161*CF161</f>
        <v>0</v>
      </c>
      <c r="CH161" s="1836">
        <f>CG162*$I$13</f>
        <v>0</v>
      </c>
      <c r="CI161" s="1837">
        <f>CI158</f>
        <v>0</v>
      </c>
      <c r="CJ161" s="1838">
        <f>CJ158</f>
        <v>0</v>
      </c>
      <c r="CK161" s="1839">
        <f>CG164/(1-CI161)</f>
        <v>0</v>
      </c>
      <c r="CL161" s="1839">
        <f>CK161*$F$13</f>
        <v>0</v>
      </c>
      <c r="CM161" s="907">
        <f>CM160</f>
        <v>0</v>
      </c>
      <c r="CN161" s="902">
        <f>CN160</f>
        <v>0</v>
      </c>
      <c r="CO161" s="902">
        <f>CM161*CN161</f>
        <v>0</v>
      </c>
      <c r="CP161" s="1840">
        <f>CO162*$I$14</f>
        <v>0</v>
      </c>
      <c r="CQ161" s="1841">
        <f>CQ158</f>
        <v>0</v>
      </c>
      <c r="CR161" s="1842">
        <f>CR158</f>
        <v>0</v>
      </c>
      <c r="CS161" s="1843">
        <f>CO164/(1-CQ161)</f>
        <v>0</v>
      </c>
      <c r="CT161" s="1843">
        <f>CS161*$F$14</f>
        <v>0</v>
      </c>
      <c r="CU161" s="1844">
        <f>E162+M162+U162+AC162+AK162+AS162+BA162+BI162+BQ162+BY162+CG162+CO162</f>
        <v>0</v>
      </c>
      <c r="CV161" s="1844">
        <f>CP161+CH161+BZ161+BR161+BJ161+BB161+AT161+AL161+AD161+V161+N161+F161</f>
        <v>0</v>
      </c>
      <c r="CW161" s="1845">
        <f>I161+Q161+Y161+AG161+AO161+AW161+BE161+BM161+BU161+CC161+CK161+CS161</f>
        <v>0</v>
      </c>
      <c r="CX161" s="1844">
        <f>CT161+CL161+CD161+BV161+BN161+BF161+AX161+AP161+AH161+Z161+R161+J161</f>
        <v>0</v>
      </c>
      <c r="CY161" s="1845">
        <f>CZ158</f>
        <v>0</v>
      </c>
      <c r="CZ161" s="1845">
        <f>E165+M165+U165+AC165+AK165+AS165+BA165+BI165+BQ165+BY165+CG165+CO165</f>
        <v>0</v>
      </c>
      <c r="DA161" s="1845">
        <f>CZ161-CY161</f>
        <v>0</v>
      </c>
      <c r="DB161" s="903" t="s">
        <v>306</v>
      </c>
      <c r="DC161" s="794">
        <f>$CX158</f>
        <v>0</v>
      </c>
      <c r="DD161" s="794">
        <f>$CX161</f>
        <v>0</v>
      </c>
      <c r="DE161" s="794">
        <f>$CX166</f>
        <v>0</v>
      </c>
      <c r="DF161" s="794">
        <f>$CX171</f>
        <v>0</v>
      </c>
      <c r="DG161" s="794">
        <f>$CX176</f>
        <v>0</v>
      </c>
      <c r="DH161" s="794">
        <f>$CX181</f>
        <v>0</v>
      </c>
      <c r="DI161" s="794">
        <f>$CX186</f>
        <v>0</v>
      </c>
      <c r="DJ161" s="794">
        <f>$CX191</f>
        <v>0</v>
      </c>
      <c r="DK161" s="794">
        <f>$CX196</f>
        <v>0</v>
      </c>
      <c r="DL161" s="794">
        <f>$CX201</f>
        <v>0</v>
      </c>
      <c r="DM161" s="794">
        <f>$CX206</f>
        <v>0</v>
      </c>
      <c r="DN161" s="794">
        <f>$CX211</f>
        <v>0</v>
      </c>
      <c r="DO161" s="905">
        <f>SUM(DC161:DN161)</f>
        <v>0</v>
      </c>
    </row>
    <row r="162" spans="1:119" x14ac:dyDescent="0.3">
      <c r="A162" s="1835"/>
      <c r="B162" s="108" t="s">
        <v>310</v>
      </c>
      <c r="C162" s="898">
        <f>C158</f>
        <v>0</v>
      </c>
      <c r="D162" s="899">
        <f>D158</f>
        <v>0</v>
      </c>
      <c r="E162" s="29">
        <f>C162*D162</f>
        <v>0</v>
      </c>
      <c r="F162" s="1836"/>
      <c r="G162" s="1837"/>
      <c r="H162" s="1838"/>
      <c r="I162" s="1839"/>
      <c r="J162" s="1839"/>
      <c r="K162" s="900">
        <f>K158</f>
        <v>0</v>
      </c>
      <c r="L162" s="901">
        <f>L158</f>
        <v>0</v>
      </c>
      <c r="M162" s="902">
        <f>K162*L162</f>
        <v>0</v>
      </c>
      <c r="N162" s="1840"/>
      <c r="O162" s="1841"/>
      <c r="P162" s="1842"/>
      <c r="Q162" s="1843"/>
      <c r="R162" s="1843"/>
      <c r="S162" s="898">
        <f>S158</f>
        <v>0</v>
      </c>
      <c r="T162" s="899">
        <f>T158</f>
        <v>0</v>
      </c>
      <c r="U162" s="29">
        <f>S162*T162</f>
        <v>0</v>
      </c>
      <c r="V162" s="1836"/>
      <c r="W162" s="1837"/>
      <c r="X162" s="1838"/>
      <c r="Y162" s="1839"/>
      <c r="Z162" s="1839"/>
      <c r="AA162" s="900">
        <f>AA158</f>
        <v>0</v>
      </c>
      <c r="AB162" s="901">
        <f>AB158</f>
        <v>0</v>
      </c>
      <c r="AC162" s="902">
        <f>AA162*AB162</f>
        <v>0</v>
      </c>
      <c r="AD162" s="1840"/>
      <c r="AE162" s="1841"/>
      <c r="AF162" s="1842"/>
      <c r="AG162" s="1843"/>
      <c r="AH162" s="1843"/>
      <c r="AI162" s="898">
        <f>AI158</f>
        <v>0</v>
      </c>
      <c r="AJ162" s="899">
        <f>AJ158</f>
        <v>0</v>
      </c>
      <c r="AK162" s="29">
        <f>AI162*AJ162</f>
        <v>0</v>
      </c>
      <c r="AL162" s="1836"/>
      <c r="AM162" s="1837"/>
      <c r="AN162" s="1838"/>
      <c r="AO162" s="1839"/>
      <c r="AP162" s="1839"/>
      <c r="AQ162" s="900">
        <f>AQ158</f>
        <v>0</v>
      </c>
      <c r="AR162" s="901">
        <f>AR158</f>
        <v>0</v>
      </c>
      <c r="AS162" s="902">
        <f>AQ162*AR162</f>
        <v>0</v>
      </c>
      <c r="AT162" s="1840"/>
      <c r="AU162" s="1841"/>
      <c r="AV162" s="1842"/>
      <c r="AW162" s="1843"/>
      <c r="AX162" s="1843"/>
      <c r="AY162" s="898">
        <f>AY158</f>
        <v>0</v>
      </c>
      <c r="AZ162" s="899">
        <f>AZ158</f>
        <v>0</v>
      </c>
      <c r="BA162" s="29">
        <f>AY162*AZ162</f>
        <v>0</v>
      </c>
      <c r="BB162" s="1836"/>
      <c r="BC162" s="1837"/>
      <c r="BD162" s="1838"/>
      <c r="BE162" s="1839"/>
      <c r="BF162" s="1839"/>
      <c r="BG162" s="900">
        <f>BG158</f>
        <v>0</v>
      </c>
      <c r="BH162" s="901">
        <f>BH158</f>
        <v>0</v>
      </c>
      <c r="BI162" s="902">
        <f>BG162*BH162</f>
        <v>0</v>
      </c>
      <c r="BJ162" s="1840"/>
      <c r="BK162" s="1841"/>
      <c r="BL162" s="1842"/>
      <c r="BM162" s="1843"/>
      <c r="BN162" s="1843"/>
      <c r="BO162" s="898">
        <f>BO158</f>
        <v>0</v>
      </c>
      <c r="BP162" s="899">
        <f>BP158</f>
        <v>0</v>
      </c>
      <c r="BQ162" s="29">
        <f>BO162*BP162</f>
        <v>0</v>
      </c>
      <c r="BR162" s="1836"/>
      <c r="BS162" s="1837"/>
      <c r="BT162" s="1838"/>
      <c r="BU162" s="1839"/>
      <c r="BV162" s="1839"/>
      <c r="BW162" s="900">
        <f>BW158</f>
        <v>0</v>
      </c>
      <c r="BX162" s="901">
        <f>BX158</f>
        <v>0</v>
      </c>
      <c r="BY162" s="902">
        <f>BW162*BX162</f>
        <v>0</v>
      </c>
      <c r="BZ162" s="1840"/>
      <c r="CA162" s="1841"/>
      <c r="CB162" s="1842"/>
      <c r="CC162" s="1843"/>
      <c r="CD162" s="1843"/>
      <c r="CE162" s="898">
        <f>CE158</f>
        <v>0</v>
      </c>
      <c r="CF162" s="899">
        <f>CF158</f>
        <v>0</v>
      </c>
      <c r="CG162" s="29">
        <f>CE162*CF162</f>
        <v>0</v>
      </c>
      <c r="CH162" s="1836"/>
      <c r="CI162" s="1837"/>
      <c r="CJ162" s="1838"/>
      <c r="CK162" s="1839"/>
      <c r="CL162" s="1839"/>
      <c r="CM162" s="900">
        <f>CM158</f>
        <v>0</v>
      </c>
      <c r="CN162" s="901">
        <f>CN158</f>
        <v>0</v>
      </c>
      <c r="CO162" s="902">
        <f>CM162*CN162</f>
        <v>0</v>
      </c>
      <c r="CP162" s="1840"/>
      <c r="CQ162" s="1841"/>
      <c r="CR162" s="1842"/>
      <c r="CS162" s="1843"/>
      <c r="CT162" s="1843"/>
      <c r="CU162" s="1844"/>
      <c r="CV162" s="1844"/>
      <c r="CW162" s="1845"/>
      <c r="CX162" s="1844"/>
      <c r="CY162" s="1845"/>
      <c r="CZ162" s="1845"/>
      <c r="DA162" s="1845"/>
      <c r="DB162" s="909" t="s">
        <v>314</v>
      </c>
      <c r="DC162" s="910"/>
      <c r="DD162" s="910"/>
      <c r="DE162" s="910"/>
      <c r="DF162" s="910"/>
      <c r="DG162" s="910"/>
      <c r="DH162" s="910"/>
      <c r="DI162" s="910"/>
      <c r="DJ162" s="910"/>
      <c r="DK162" s="910"/>
      <c r="DL162" s="910"/>
      <c r="DM162" s="910"/>
      <c r="DN162" s="910"/>
      <c r="DO162" s="911">
        <f>IF(DO158=0,DO93,DO161/DO158)</f>
        <v>0</v>
      </c>
    </row>
    <row r="163" spans="1:119" ht="12.75" hidden="1" customHeight="1" x14ac:dyDescent="0.3">
      <c r="A163" s="1835"/>
      <c r="B163" s="108" t="s">
        <v>315</v>
      </c>
      <c r="C163" s="906">
        <f>C162+C161</f>
        <v>0</v>
      </c>
      <c r="D163" s="29">
        <f>IF(C163=0,0,E163/C163)</f>
        <v>0</v>
      </c>
      <c r="E163" s="29">
        <f>E162+E161</f>
        <v>0</v>
      </c>
      <c r="F163" s="1836"/>
      <c r="G163" s="1837"/>
      <c r="H163" s="1838"/>
      <c r="I163" s="1839"/>
      <c r="J163" s="1839"/>
      <c r="K163" s="907">
        <f>K162+K161</f>
        <v>0</v>
      </c>
      <c r="L163" s="902">
        <f>IF(K163=0,0,M163/K163)</f>
        <v>0</v>
      </c>
      <c r="M163" s="902">
        <f>M162+M161</f>
        <v>0</v>
      </c>
      <c r="N163" s="1840"/>
      <c r="O163" s="1841"/>
      <c r="P163" s="1842"/>
      <c r="Q163" s="1843"/>
      <c r="R163" s="1843"/>
      <c r="S163" s="906">
        <f>S162+S161</f>
        <v>0</v>
      </c>
      <c r="T163" s="29">
        <f>IF(S163=0,0,U163/S163)</f>
        <v>0</v>
      </c>
      <c r="U163" s="29">
        <f>U162+U161</f>
        <v>0</v>
      </c>
      <c r="V163" s="1836"/>
      <c r="W163" s="1837"/>
      <c r="X163" s="1838"/>
      <c r="Y163" s="1839"/>
      <c r="Z163" s="1839"/>
      <c r="AA163" s="907">
        <f>AA162+AA161</f>
        <v>0</v>
      </c>
      <c r="AB163" s="902">
        <f>IF(AA163=0,0,AC163/AA163)</f>
        <v>0</v>
      </c>
      <c r="AC163" s="902">
        <f>AC162+AC161</f>
        <v>0</v>
      </c>
      <c r="AD163" s="1840"/>
      <c r="AE163" s="1841"/>
      <c r="AF163" s="1842"/>
      <c r="AG163" s="1843"/>
      <c r="AH163" s="1843"/>
      <c r="AI163" s="906">
        <f>AI162+AI161</f>
        <v>0</v>
      </c>
      <c r="AJ163" s="29">
        <f>IF(AI163=0,0,AK163/AI163)</f>
        <v>0</v>
      </c>
      <c r="AK163" s="29">
        <f>AK162+AK161</f>
        <v>0</v>
      </c>
      <c r="AL163" s="1836"/>
      <c r="AM163" s="1837"/>
      <c r="AN163" s="1838"/>
      <c r="AO163" s="1839"/>
      <c r="AP163" s="1839"/>
      <c r="AQ163" s="907">
        <f>AQ162+AQ161</f>
        <v>0</v>
      </c>
      <c r="AR163" s="902">
        <f>IF(AQ163=0,0,AS163/AQ163)</f>
        <v>0</v>
      </c>
      <c r="AS163" s="902">
        <f>AS162+AS161</f>
        <v>0</v>
      </c>
      <c r="AT163" s="1840"/>
      <c r="AU163" s="1841"/>
      <c r="AV163" s="1842"/>
      <c r="AW163" s="1843"/>
      <c r="AX163" s="1843"/>
      <c r="AY163" s="906">
        <f>AY162+AY161</f>
        <v>0</v>
      </c>
      <c r="AZ163" s="29">
        <f>IF(AY163=0,0,BA163/AY163)</f>
        <v>0</v>
      </c>
      <c r="BA163" s="29">
        <f>BA162+BA161</f>
        <v>0</v>
      </c>
      <c r="BB163" s="1836"/>
      <c r="BC163" s="1837"/>
      <c r="BD163" s="1838"/>
      <c r="BE163" s="1839"/>
      <c r="BF163" s="1839"/>
      <c r="BG163" s="907">
        <f>BG162+BG161</f>
        <v>0</v>
      </c>
      <c r="BH163" s="902">
        <f>IF(BG163=0,0,BI163/BG163)</f>
        <v>0</v>
      </c>
      <c r="BI163" s="902">
        <f>BI162+BI161</f>
        <v>0</v>
      </c>
      <c r="BJ163" s="1840"/>
      <c r="BK163" s="1841"/>
      <c r="BL163" s="1842"/>
      <c r="BM163" s="1843"/>
      <c r="BN163" s="1843"/>
      <c r="BO163" s="906">
        <f>BO162+BO161</f>
        <v>0</v>
      </c>
      <c r="BP163" s="29">
        <f>IF(BO163=0,0,BQ163/BO163)</f>
        <v>0</v>
      </c>
      <c r="BQ163" s="29">
        <f>BQ162+BQ161</f>
        <v>0</v>
      </c>
      <c r="BR163" s="1836"/>
      <c r="BS163" s="1837"/>
      <c r="BT163" s="1838"/>
      <c r="BU163" s="1839"/>
      <c r="BV163" s="1839"/>
      <c r="BW163" s="907">
        <f>BW162+BW161</f>
        <v>0</v>
      </c>
      <c r="BX163" s="902">
        <f>IF(BW163=0,0,BY163/BW163)</f>
        <v>0</v>
      </c>
      <c r="BY163" s="902">
        <f>BY162+BY161</f>
        <v>0</v>
      </c>
      <c r="BZ163" s="1840"/>
      <c r="CA163" s="1841"/>
      <c r="CB163" s="1842"/>
      <c r="CC163" s="1843"/>
      <c r="CD163" s="1843"/>
      <c r="CE163" s="906">
        <f>CE162+CE161</f>
        <v>0</v>
      </c>
      <c r="CF163" s="29">
        <f>IF(CE163=0,0,CG163/CE163)</f>
        <v>0</v>
      </c>
      <c r="CG163" s="29">
        <f>CG162+CG161</f>
        <v>0</v>
      </c>
      <c r="CH163" s="1836"/>
      <c r="CI163" s="1837"/>
      <c r="CJ163" s="1838"/>
      <c r="CK163" s="1839"/>
      <c r="CL163" s="1839"/>
      <c r="CM163" s="907">
        <f>CM162+CM161</f>
        <v>0</v>
      </c>
      <c r="CN163" s="902">
        <f>IF(CM163=0,0,CO163/CM163)</f>
        <v>0</v>
      </c>
      <c r="CO163" s="902">
        <f>CO162+CO161</f>
        <v>0</v>
      </c>
      <c r="CP163" s="1840"/>
      <c r="CQ163" s="1841"/>
      <c r="CR163" s="1842"/>
      <c r="CS163" s="1843"/>
      <c r="CT163" s="1843"/>
      <c r="CU163" s="1844"/>
      <c r="CV163" s="1844"/>
      <c r="CW163" s="1845"/>
      <c r="CX163" s="1844"/>
      <c r="CY163" s="1845"/>
      <c r="CZ163" s="1845"/>
      <c r="DA163" s="1845"/>
      <c r="DB163" s="912"/>
    </row>
    <row r="164" spans="1:119" x14ac:dyDescent="0.3">
      <c r="A164" s="1835"/>
      <c r="B164" s="108" t="s">
        <v>312</v>
      </c>
      <c r="C164" s="906">
        <f>H161*C163</f>
        <v>0</v>
      </c>
      <c r="D164" s="29">
        <f>D163</f>
        <v>0</v>
      </c>
      <c r="E164" s="29">
        <f>C164*D164</f>
        <v>0</v>
      </c>
      <c r="F164" s="1836"/>
      <c r="G164" s="1837"/>
      <c r="H164" s="1838"/>
      <c r="I164" s="1839"/>
      <c r="J164" s="1839"/>
      <c r="K164" s="907">
        <f>P161*K163</f>
        <v>0</v>
      </c>
      <c r="L164" s="902">
        <f>L163</f>
        <v>0</v>
      </c>
      <c r="M164" s="902">
        <f>K164*L164</f>
        <v>0</v>
      </c>
      <c r="N164" s="1840"/>
      <c r="O164" s="1841"/>
      <c r="P164" s="1842"/>
      <c r="Q164" s="1843"/>
      <c r="R164" s="1843"/>
      <c r="S164" s="906">
        <f>X161*S163</f>
        <v>0</v>
      </c>
      <c r="T164" s="29">
        <f>T163</f>
        <v>0</v>
      </c>
      <c r="U164" s="29">
        <f>S164*T164</f>
        <v>0</v>
      </c>
      <c r="V164" s="1836"/>
      <c r="W164" s="1837"/>
      <c r="X164" s="1838"/>
      <c r="Y164" s="1839"/>
      <c r="Z164" s="1839"/>
      <c r="AA164" s="907">
        <f>AF161*AA163</f>
        <v>0</v>
      </c>
      <c r="AB164" s="902">
        <f>AB163</f>
        <v>0</v>
      </c>
      <c r="AC164" s="902">
        <f>AA164*AB164</f>
        <v>0</v>
      </c>
      <c r="AD164" s="1840"/>
      <c r="AE164" s="1841"/>
      <c r="AF164" s="1842"/>
      <c r="AG164" s="1843"/>
      <c r="AH164" s="1843"/>
      <c r="AI164" s="906">
        <f>AN161*AI163</f>
        <v>0</v>
      </c>
      <c r="AJ164" s="29">
        <f>AJ163</f>
        <v>0</v>
      </c>
      <c r="AK164" s="29">
        <f>AI164*AJ164</f>
        <v>0</v>
      </c>
      <c r="AL164" s="1836"/>
      <c r="AM164" s="1837"/>
      <c r="AN164" s="1838"/>
      <c r="AO164" s="1839"/>
      <c r="AP164" s="1839"/>
      <c r="AQ164" s="907">
        <f>AV161*AQ163</f>
        <v>0</v>
      </c>
      <c r="AR164" s="902">
        <f>AR163</f>
        <v>0</v>
      </c>
      <c r="AS164" s="902">
        <f>AQ164*AR164</f>
        <v>0</v>
      </c>
      <c r="AT164" s="1840"/>
      <c r="AU164" s="1841"/>
      <c r="AV164" s="1842"/>
      <c r="AW164" s="1843"/>
      <c r="AX164" s="1843"/>
      <c r="AY164" s="906">
        <f>BD161*AY163</f>
        <v>0</v>
      </c>
      <c r="AZ164" s="29">
        <f>AZ163</f>
        <v>0</v>
      </c>
      <c r="BA164" s="29">
        <f>AY164*AZ164</f>
        <v>0</v>
      </c>
      <c r="BB164" s="1836"/>
      <c r="BC164" s="1837"/>
      <c r="BD164" s="1838"/>
      <c r="BE164" s="1839"/>
      <c r="BF164" s="1839"/>
      <c r="BG164" s="907">
        <f>BL161*BG163</f>
        <v>0</v>
      </c>
      <c r="BH164" s="902">
        <f>BH163</f>
        <v>0</v>
      </c>
      <c r="BI164" s="902">
        <f>BG164*BH164</f>
        <v>0</v>
      </c>
      <c r="BJ164" s="1840"/>
      <c r="BK164" s="1841"/>
      <c r="BL164" s="1842"/>
      <c r="BM164" s="1843"/>
      <c r="BN164" s="1843"/>
      <c r="BO164" s="906">
        <f>BT161*BO163</f>
        <v>0</v>
      </c>
      <c r="BP164" s="29">
        <f>BP163</f>
        <v>0</v>
      </c>
      <c r="BQ164" s="29">
        <f>BO164*BP164</f>
        <v>0</v>
      </c>
      <c r="BR164" s="1836"/>
      <c r="BS164" s="1837"/>
      <c r="BT164" s="1838"/>
      <c r="BU164" s="1839"/>
      <c r="BV164" s="1839"/>
      <c r="BW164" s="907">
        <f>CB161*BW163</f>
        <v>0</v>
      </c>
      <c r="BX164" s="902">
        <f>BX163</f>
        <v>0</v>
      </c>
      <c r="BY164" s="902">
        <f>BW164*BX164</f>
        <v>0</v>
      </c>
      <c r="BZ164" s="1840"/>
      <c r="CA164" s="1841"/>
      <c r="CB164" s="1842"/>
      <c r="CC164" s="1843"/>
      <c r="CD164" s="1843"/>
      <c r="CE164" s="906">
        <f>CJ161*CE163</f>
        <v>0</v>
      </c>
      <c r="CF164" s="29">
        <f>CF163</f>
        <v>0</v>
      </c>
      <c r="CG164" s="29">
        <f>CE164*CF164</f>
        <v>0</v>
      </c>
      <c r="CH164" s="1836"/>
      <c r="CI164" s="1837"/>
      <c r="CJ164" s="1838"/>
      <c r="CK164" s="1839"/>
      <c r="CL164" s="1839"/>
      <c r="CM164" s="907">
        <f>CR161*CM163</f>
        <v>0</v>
      </c>
      <c r="CN164" s="902">
        <f>CN163</f>
        <v>0</v>
      </c>
      <c r="CO164" s="902">
        <f>CM164*CN164</f>
        <v>0</v>
      </c>
      <c r="CP164" s="1840"/>
      <c r="CQ164" s="1841"/>
      <c r="CR164" s="1842"/>
      <c r="CS164" s="1843"/>
      <c r="CT164" s="1843"/>
      <c r="CU164" s="1844"/>
      <c r="CV164" s="1844"/>
      <c r="CW164" s="1845"/>
      <c r="CX164" s="1844"/>
      <c r="CY164" s="1845"/>
      <c r="CZ164" s="1845"/>
      <c r="DA164" s="1845"/>
      <c r="DB164" s="908" t="s">
        <v>302</v>
      </c>
      <c r="DC164" s="794">
        <f>$CV158</f>
        <v>0</v>
      </c>
      <c r="DD164" s="794">
        <f>$CV161</f>
        <v>0</v>
      </c>
      <c r="DE164" s="794">
        <f>$CV166</f>
        <v>0</v>
      </c>
      <c r="DF164" s="794">
        <f>$CV171</f>
        <v>0</v>
      </c>
      <c r="DG164" s="794">
        <f>$CV176</f>
        <v>0</v>
      </c>
      <c r="DH164" s="794">
        <f>$CV181</f>
        <v>0</v>
      </c>
      <c r="DI164" s="794">
        <f>$CV186</f>
        <v>0</v>
      </c>
      <c r="DJ164" s="794">
        <f>$CV191</f>
        <v>0</v>
      </c>
      <c r="DK164" s="794">
        <f>$CV196</f>
        <v>0</v>
      </c>
      <c r="DL164" s="794">
        <f>$CV201</f>
        <v>0</v>
      </c>
      <c r="DM164" s="794">
        <f>$CV206</f>
        <v>0</v>
      </c>
      <c r="DN164" s="794">
        <f>$CV211</f>
        <v>0</v>
      </c>
      <c r="DO164" s="905">
        <f>SUM(DC164:DN164)</f>
        <v>0</v>
      </c>
    </row>
    <row r="165" spans="1:119" x14ac:dyDescent="0.3">
      <c r="A165" s="1835"/>
      <c r="B165" s="108" t="s">
        <v>254</v>
      </c>
      <c r="C165" s="906">
        <f>C161+C162-C164</f>
        <v>0</v>
      </c>
      <c r="D165" s="29">
        <f>D164</f>
        <v>0</v>
      </c>
      <c r="E165" s="29">
        <f>D165*C165</f>
        <v>0</v>
      </c>
      <c r="F165" s="1836"/>
      <c r="G165" s="1837"/>
      <c r="H165" s="1838"/>
      <c r="I165" s="1839"/>
      <c r="J165" s="1839"/>
      <c r="K165" s="907">
        <f>K161+K162-K164</f>
        <v>0</v>
      </c>
      <c r="L165" s="902">
        <f>L164</f>
        <v>0</v>
      </c>
      <c r="M165" s="902">
        <f>L165*K165</f>
        <v>0</v>
      </c>
      <c r="N165" s="1840"/>
      <c r="O165" s="1841"/>
      <c r="P165" s="1842"/>
      <c r="Q165" s="1843"/>
      <c r="R165" s="1843"/>
      <c r="S165" s="906">
        <f>S161+S162-S164</f>
        <v>0</v>
      </c>
      <c r="T165" s="29">
        <f>T164</f>
        <v>0</v>
      </c>
      <c r="U165" s="29">
        <f>T165*S165</f>
        <v>0</v>
      </c>
      <c r="V165" s="1836"/>
      <c r="W165" s="1837"/>
      <c r="X165" s="1838"/>
      <c r="Y165" s="1839"/>
      <c r="Z165" s="1839"/>
      <c r="AA165" s="907">
        <f>AA161+AA162-AA164</f>
        <v>0</v>
      </c>
      <c r="AB165" s="902">
        <f>AB164</f>
        <v>0</v>
      </c>
      <c r="AC165" s="902">
        <f>AB165*AA165</f>
        <v>0</v>
      </c>
      <c r="AD165" s="1840"/>
      <c r="AE165" s="1841"/>
      <c r="AF165" s="1842"/>
      <c r="AG165" s="1843"/>
      <c r="AH165" s="1843"/>
      <c r="AI165" s="906">
        <f>AI161+AI162-AI164</f>
        <v>0</v>
      </c>
      <c r="AJ165" s="29">
        <f>AJ164</f>
        <v>0</v>
      </c>
      <c r="AK165" s="29">
        <f>AJ165*AI165</f>
        <v>0</v>
      </c>
      <c r="AL165" s="1836"/>
      <c r="AM165" s="1837"/>
      <c r="AN165" s="1838"/>
      <c r="AO165" s="1839"/>
      <c r="AP165" s="1839"/>
      <c r="AQ165" s="907">
        <f>AQ161+AQ162-AQ164</f>
        <v>0</v>
      </c>
      <c r="AR165" s="902">
        <f>AR164</f>
        <v>0</v>
      </c>
      <c r="AS165" s="902">
        <f>AR165*AQ165</f>
        <v>0</v>
      </c>
      <c r="AT165" s="1840"/>
      <c r="AU165" s="1841"/>
      <c r="AV165" s="1842"/>
      <c r="AW165" s="1843"/>
      <c r="AX165" s="1843"/>
      <c r="AY165" s="906">
        <f>AY161+AY162-AY164</f>
        <v>0</v>
      </c>
      <c r="AZ165" s="29">
        <f>AZ164</f>
        <v>0</v>
      </c>
      <c r="BA165" s="29">
        <f>AZ165*AY165</f>
        <v>0</v>
      </c>
      <c r="BB165" s="1836"/>
      <c r="BC165" s="1837"/>
      <c r="BD165" s="1838"/>
      <c r="BE165" s="1839"/>
      <c r="BF165" s="1839"/>
      <c r="BG165" s="907">
        <f>BG161+BG162-BG164</f>
        <v>0</v>
      </c>
      <c r="BH165" s="902">
        <f>BH164</f>
        <v>0</v>
      </c>
      <c r="BI165" s="902">
        <f>BH165*BG165</f>
        <v>0</v>
      </c>
      <c r="BJ165" s="1840"/>
      <c r="BK165" s="1841"/>
      <c r="BL165" s="1842"/>
      <c r="BM165" s="1843"/>
      <c r="BN165" s="1843"/>
      <c r="BO165" s="906">
        <f>BO161+BO162-BO164</f>
        <v>0</v>
      </c>
      <c r="BP165" s="29">
        <f>BP164</f>
        <v>0</v>
      </c>
      <c r="BQ165" s="29">
        <f>BP165*BO165</f>
        <v>0</v>
      </c>
      <c r="BR165" s="1836"/>
      <c r="BS165" s="1837"/>
      <c r="BT165" s="1838"/>
      <c r="BU165" s="1839"/>
      <c r="BV165" s="1839"/>
      <c r="BW165" s="907">
        <f>BW161+BW162-BW164</f>
        <v>0</v>
      </c>
      <c r="BX165" s="902">
        <f>BX164</f>
        <v>0</v>
      </c>
      <c r="BY165" s="902">
        <f>BX165*BW165</f>
        <v>0</v>
      </c>
      <c r="BZ165" s="1840"/>
      <c r="CA165" s="1841"/>
      <c r="CB165" s="1842"/>
      <c r="CC165" s="1843"/>
      <c r="CD165" s="1843"/>
      <c r="CE165" s="906">
        <f>CE161+CE162-CE164</f>
        <v>0</v>
      </c>
      <c r="CF165" s="29">
        <f>CF164</f>
        <v>0</v>
      </c>
      <c r="CG165" s="29">
        <f>CF165*CE165</f>
        <v>0</v>
      </c>
      <c r="CH165" s="1836"/>
      <c r="CI165" s="1837"/>
      <c r="CJ165" s="1838"/>
      <c r="CK165" s="1839"/>
      <c r="CL165" s="1839"/>
      <c r="CM165" s="907">
        <f>CM161+CM162-CM164</f>
        <v>0</v>
      </c>
      <c r="CN165" s="902">
        <f>CN164</f>
        <v>0</v>
      </c>
      <c r="CO165" s="902">
        <f>CN165*CM165</f>
        <v>0</v>
      </c>
      <c r="CP165" s="1840"/>
      <c r="CQ165" s="1841"/>
      <c r="CR165" s="1842"/>
      <c r="CS165" s="1843"/>
      <c r="CT165" s="1843"/>
      <c r="CU165" s="1844"/>
      <c r="CV165" s="1844"/>
      <c r="CW165" s="1845"/>
      <c r="CX165" s="1844"/>
      <c r="CY165" s="1845"/>
      <c r="CZ165" s="1845"/>
      <c r="DA165" s="1845"/>
      <c r="DB165" s="908" t="s">
        <v>316</v>
      </c>
      <c r="DC165" s="910"/>
      <c r="DD165" s="910"/>
      <c r="DE165" s="910"/>
      <c r="DF165" s="910"/>
      <c r="DG165" s="910"/>
      <c r="DH165" s="910"/>
      <c r="DI165" s="910"/>
      <c r="DJ165" s="910"/>
      <c r="DK165" s="910"/>
      <c r="DL165" s="910"/>
      <c r="DM165" s="910"/>
      <c r="DN165" s="910"/>
      <c r="DO165" s="911">
        <f>IF(DO159=0,DO96,DO164/DO159)</f>
        <v>0</v>
      </c>
    </row>
    <row r="166" spans="1:119" x14ac:dyDescent="0.3">
      <c r="A166" s="1835" t="str">
        <f>A97</f>
        <v>MARÇ</v>
      </c>
      <c r="B166" s="108" t="s">
        <v>255</v>
      </c>
      <c r="C166" s="906">
        <f>C165</f>
        <v>0</v>
      </c>
      <c r="D166" s="29">
        <f>D165</f>
        <v>0</v>
      </c>
      <c r="E166" s="29">
        <f>C166*D166</f>
        <v>0</v>
      </c>
      <c r="F166" s="1836">
        <f>E167*$I$3</f>
        <v>0</v>
      </c>
      <c r="G166" s="1837">
        <f>G161</f>
        <v>0</v>
      </c>
      <c r="H166" s="1838">
        <f>H161</f>
        <v>0</v>
      </c>
      <c r="I166" s="1839">
        <f>E169/(1-G166)</f>
        <v>0</v>
      </c>
      <c r="J166" s="1839">
        <f>I166*$F$3</f>
        <v>0</v>
      </c>
      <c r="K166" s="907">
        <f>K165</f>
        <v>0</v>
      </c>
      <c r="L166" s="902">
        <f>L165</f>
        <v>0</v>
      </c>
      <c r="M166" s="902">
        <f>K166*L166</f>
        <v>0</v>
      </c>
      <c r="N166" s="1840">
        <f>M167*$I$4</f>
        <v>0</v>
      </c>
      <c r="O166" s="1841">
        <f>O161</f>
        <v>0</v>
      </c>
      <c r="P166" s="1842">
        <f>P161</f>
        <v>0</v>
      </c>
      <c r="Q166" s="1843">
        <f>M169/(1-O166)</f>
        <v>0</v>
      </c>
      <c r="R166" s="1843">
        <f>Q166*$F$4</f>
        <v>0</v>
      </c>
      <c r="S166" s="906">
        <f>S165</f>
        <v>0</v>
      </c>
      <c r="T166" s="29">
        <f>T165</f>
        <v>0</v>
      </c>
      <c r="U166" s="29">
        <f>S166*T166</f>
        <v>0</v>
      </c>
      <c r="V166" s="1836">
        <f>U167*$I$5</f>
        <v>0</v>
      </c>
      <c r="W166" s="1837">
        <f>W161</f>
        <v>0</v>
      </c>
      <c r="X166" s="1838">
        <f>X161</f>
        <v>0</v>
      </c>
      <c r="Y166" s="1839">
        <f>U169/(1-W166)</f>
        <v>0</v>
      </c>
      <c r="Z166" s="1839">
        <f>Y166*$F$5</f>
        <v>0</v>
      </c>
      <c r="AA166" s="907">
        <f>AA165</f>
        <v>0</v>
      </c>
      <c r="AB166" s="902">
        <f>AB165</f>
        <v>0</v>
      </c>
      <c r="AC166" s="902">
        <f>AA166*AB166</f>
        <v>0</v>
      </c>
      <c r="AD166" s="1840">
        <f>AC167*$I$6</f>
        <v>0</v>
      </c>
      <c r="AE166" s="1841">
        <f>AE161</f>
        <v>0</v>
      </c>
      <c r="AF166" s="1842">
        <f>AF161</f>
        <v>0</v>
      </c>
      <c r="AG166" s="1843">
        <f>AC169/(1-AE166)</f>
        <v>0</v>
      </c>
      <c r="AH166" s="1843">
        <f>AG166*$F$6</f>
        <v>0</v>
      </c>
      <c r="AI166" s="906">
        <f>AI165</f>
        <v>0</v>
      </c>
      <c r="AJ166" s="29">
        <f>AJ165</f>
        <v>0</v>
      </c>
      <c r="AK166" s="29">
        <f>AI166*AJ166</f>
        <v>0</v>
      </c>
      <c r="AL166" s="1836">
        <f>AK167*$I$7</f>
        <v>0</v>
      </c>
      <c r="AM166" s="1837">
        <f>AM161</f>
        <v>0</v>
      </c>
      <c r="AN166" s="1838">
        <f>AN161</f>
        <v>0</v>
      </c>
      <c r="AO166" s="1839">
        <f>AK169/(1-AM166)</f>
        <v>0</v>
      </c>
      <c r="AP166" s="1839">
        <f>AO166*$F$7</f>
        <v>0</v>
      </c>
      <c r="AQ166" s="907">
        <f>AQ165</f>
        <v>0</v>
      </c>
      <c r="AR166" s="902">
        <f>AR165</f>
        <v>0</v>
      </c>
      <c r="AS166" s="902">
        <f>AQ166*AR166</f>
        <v>0</v>
      </c>
      <c r="AT166" s="1840">
        <f>AS167*$I$8</f>
        <v>0</v>
      </c>
      <c r="AU166" s="1841">
        <f>AU161</f>
        <v>0</v>
      </c>
      <c r="AV166" s="1842">
        <f>AV161</f>
        <v>0</v>
      </c>
      <c r="AW166" s="1843">
        <f>AS169/(1-AU166)</f>
        <v>0</v>
      </c>
      <c r="AX166" s="1843">
        <f>AW166*$F$8</f>
        <v>0</v>
      </c>
      <c r="AY166" s="906">
        <f>AY165</f>
        <v>0</v>
      </c>
      <c r="AZ166" s="29">
        <f>AZ165</f>
        <v>0</v>
      </c>
      <c r="BA166" s="29">
        <f>AY166*AZ166</f>
        <v>0</v>
      </c>
      <c r="BB166" s="1836">
        <f>BA167*$I$9</f>
        <v>0</v>
      </c>
      <c r="BC166" s="1837">
        <f>BC161</f>
        <v>0</v>
      </c>
      <c r="BD166" s="1838">
        <f>BD161</f>
        <v>0</v>
      </c>
      <c r="BE166" s="1839">
        <f>BA169/(1-BC166)</f>
        <v>0</v>
      </c>
      <c r="BF166" s="1839">
        <f>BE166*$F$9</f>
        <v>0</v>
      </c>
      <c r="BG166" s="907">
        <f>BG165</f>
        <v>0</v>
      </c>
      <c r="BH166" s="902">
        <f>BH165</f>
        <v>0</v>
      </c>
      <c r="BI166" s="902">
        <f>BG166*BH166</f>
        <v>0</v>
      </c>
      <c r="BJ166" s="1840">
        <f>BI167*$I$10</f>
        <v>0</v>
      </c>
      <c r="BK166" s="1841">
        <f>BK161</f>
        <v>0</v>
      </c>
      <c r="BL166" s="1842">
        <f>BL161</f>
        <v>0</v>
      </c>
      <c r="BM166" s="1843">
        <f>BI169/(1-BK166)</f>
        <v>0</v>
      </c>
      <c r="BN166" s="1843">
        <f>BM166*$F$10</f>
        <v>0</v>
      </c>
      <c r="BO166" s="906">
        <f>BO165</f>
        <v>0</v>
      </c>
      <c r="BP166" s="29">
        <f>BP165</f>
        <v>0</v>
      </c>
      <c r="BQ166" s="29">
        <f>BO166*BP166</f>
        <v>0</v>
      </c>
      <c r="BR166" s="1836">
        <f>BQ167*$I$11</f>
        <v>0</v>
      </c>
      <c r="BS166" s="1837">
        <f>BS161</f>
        <v>0</v>
      </c>
      <c r="BT166" s="1838">
        <f>BT161</f>
        <v>0</v>
      </c>
      <c r="BU166" s="1839">
        <f>BQ169/(1-BS166)</f>
        <v>0</v>
      </c>
      <c r="BV166" s="1839">
        <f>BU166*$F$11</f>
        <v>0</v>
      </c>
      <c r="BW166" s="907">
        <f>BW165</f>
        <v>0</v>
      </c>
      <c r="BX166" s="902">
        <f>BX165</f>
        <v>0</v>
      </c>
      <c r="BY166" s="902">
        <f>BW166*BX166</f>
        <v>0</v>
      </c>
      <c r="BZ166" s="1840">
        <f>BY167*$I$12</f>
        <v>0</v>
      </c>
      <c r="CA166" s="1841">
        <f>CA161</f>
        <v>0</v>
      </c>
      <c r="CB166" s="1842">
        <f>CB161</f>
        <v>0</v>
      </c>
      <c r="CC166" s="1843">
        <f>BY169/(1-CA166)</f>
        <v>0</v>
      </c>
      <c r="CD166" s="1843">
        <f>CC166*$F$12</f>
        <v>0</v>
      </c>
      <c r="CE166" s="906">
        <f>CE165</f>
        <v>0</v>
      </c>
      <c r="CF166" s="29">
        <f>CF165</f>
        <v>0</v>
      </c>
      <c r="CG166" s="29">
        <f>CE166*CF166</f>
        <v>0</v>
      </c>
      <c r="CH166" s="1836">
        <f>CG167*$I$13</f>
        <v>0</v>
      </c>
      <c r="CI166" s="1837">
        <f>CI161</f>
        <v>0</v>
      </c>
      <c r="CJ166" s="1838">
        <f>CJ161</f>
        <v>0</v>
      </c>
      <c r="CK166" s="1839">
        <f>CG169/(1-CI166)</f>
        <v>0</v>
      </c>
      <c r="CL166" s="1839">
        <f>CK166*$F$13</f>
        <v>0</v>
      </c>
      <c r="CM166" s="907">
        <f>CM165</f>
        <v>0</v>
      </c>
      <c r="CN166" s="902">
        <f>CN165</f>
        <v>0</v>
      </c>
      <c r="CO166" s="902">
        <f>CM166*CN166</f>
        <v>0</v>
      </c>
      <c r="CP166" s="1840">
        <f>CO167*$I$14</f>
        <v>0</v>
      </c>
      <c r="CQ166" s="1841">
        <f>CQ161</f>
        <v>0</v>
      </c>
      <c r="CR166" s="1842">
        <f>CR161</f>
        <v>0</v>
      </c>
      <c r="CS166" s="1843">
        <f>CO169/(1-CQ166)</f>
        <v>0</v>
      </c>
      <c r="CT166" s="1843">
        <f>CS166*$F$14</f>
        <v>0</v>
      </c>
      <c r="CU166" s="1844">
        <f>E167+M167+U167+AC167+AK167+AS167+BA167+BI167+BQ167+BY167+CG167+CO167</f>
        <v>0</v>
      </c>
      <c r="CV166" s="1844">
        <f>CP166+CH166+BZ166+BR166+BJ166+BB166+AT166+AL166+AD166+V166+N166+F166</f>
        <v>0</v>
      </c>
      <c r="CW166" s="1845">
        <f>I166+Q166+Y166+AG166+AO166+AW166+BE166+BM166+BU166+CC166+CK166+CS166</f>
        <v>0</v>
      </c>
      <c r="CX166" s="1844">
        <f>CT166+CL166+CD166+BV166+BN166+BF166+AX166+AP166+AH166+Z166+R166+J166</f>
        <v>0</v>
      </c>
      <c r="CY166" s="1845">
        <f>CZ161</f>
        <v>0</v>
      </c>
      <c r="CZ166" s="1845">
        <f>E170+M170+U170+AC170+AK170+AS170+BA170+BI170+BQ170+BY170+CG170+CO170</f>
        <v>0</v>
      </c>
      <c r="DA166" s="1845">
        <f>CZ166-CY166</f>
        <v>0</v>
      </c>
      <c r="DB166" s="914"/>
    </row>
    <row r="167" spans="1:119" x14ac:dyDescent="0.3">
      <c r="A167" s="1835"/>
      <c r="B167" s="108" t="s">
        <v>310</v>
      </c>
      <c r="C167" s="898">
        <f>C162</f>
        <v>0</v>
      </c>
      <c r="D167" s="899">
        <f>D162</f>
        <v>0</v>
      </c>
      <c r="E167" s="29">
        <f>C167*D167</f>
        <v>0</v>
      </c>
      <c r="F167" s="1836"/>
      <c r="G167" s="1837"/>
      <c r="H167" s="1838"/>
      <c r="I167" s="1839"/>
      <c r="J167" s="1839"/>
      <c r="K167" s="900">
        <f>K162</f>
        <v>0</v>
      </c>
      <c r="L167" s="901">
        <f>L162</f>
        <v>0</v>
      </c>
      <c r="M167" s="902">
        <f>K167*L167</f>
        <v>0</v>
      </c>
      <c r="N167" s="1840"/>
      <c r="O167" s="1841"/>
      <c r="P167" s="1842"/>
      <c r="Q167" s="1843"/>
      <c r="R167" s="1843"/>
      <c r="S167" s="898">
        <f>S162</f>
        <v>0</v>
      </c>
      <c r="T167" s="899">
        <f>T162</f>
        <v>0</v>
      </c>
      <c r="U167" s="29">
        <f>S167*T167</f>
        <v>0</v>
      </c>
      <c r="V167" s="1836"/>
      <c r="W167" s="1837"/>
      <c r="X167" s="1838"/>
      <c r="Y167" s="1839"/>
      <c r="Z167" s="1839"/>
      <c r="AA167" s="900">
        <f>AA162</f>
        <v>0</v>
      </c>
      <c r="AB167" s="901">
        <f>AB162</f>
        <v>0</v>
      </c>
      <c r="AC167" s="902">
        <f>AA167*AB167</f>
        <v>0</v>
      </c>
      <c r="AD167" s="1840"/>
      <c r="AE167" s="1841"/>
      <c r="AF167" s="1842"/>
      <c r="AG167" s="1843"/>
      <c r="AH167" s="1843"/>
      <c r="AI167" s="898">
        <f>AI162</f>
        <v>0</v>
      </c>
      <c r="AJ167" s="899">
        <f>AJ162</f>
        <v>0</v>
      </c>
      <c r="AK167" s="29">
        <f>AI167*AJ167</f>
        <v>0</v>
      </c>
      <c r="AL167" s="1836"/>
      <c r="AM167" s="1837"/>
      <c r="AN167" s="1838"/>
      <c r="AO167" s="1839"/>
      <c r="AP167" s="1839"/>
      <c r="AQ167" s="900">
        <f>AQ162</f>
        <v>0</v>
      </c>
      <c r="AR167" s="901">
        <f>AR162</f>
        <v>0</v>
      </c>
      <c r="AS167" s="902">
        <f>AQ167*AR167</f>
        <v>0</v>
      </c>
      <c r="AT167" s="1840"/>
      <c r="AU167" s="1841"/>
      <c r="AV167" s="1842"/>
      <c r="AW167" s="1843"/>
      <c r="AX167" s="1843"/>
      <c r="AY167" s="898">
        <f>AY162</f>
        <v>0</v>
      </c>
      <c r="AZ167" s="899">
        <f>AZ162</f>
        <v>0</v>
      </c>
      <c r="BA167" s="29">
        <f>AY167*AZ167</f>
        <v>0</v>
      </c>
      <c r="BB167" s="1836"/>
      <c r="BC167" s="1837"/>
      <c r="BD167" s="1838"/>
      <c r="BE167" s="1839"/>
      <c r="BF167" s="1839"/>
      <c r="BG167" s="900">
        <f>BG162</f>
        <v>0</v>
      </c>
      <c r="BH167" s="901">
        <f>BH162</f>
        <v>0</v>
      </c>
      <c r="BI167" s="902">
        <f>BG167*BH167</f>
        <v>0</v>
      </c>
      <c r="BJ167" s="1840"/>
      <c r="BK167" s="1841"/>
      <c r="BL167" s="1842"/>
      <c r="BM167" s="1843"/>
      <c r="BN167" s="1843"/>
      <c r="BO167" s="898">
        <f>BO162</f>
        <v>0</v>
      </c>
      <c r="BP167" s="899">
        <f>BP162</f>
        <v>0</v>
      </c>
      <c r="BQ167" s="29">
        <f>BO167*BP167</f>
        <v>0</v>
      </c>
      <c r="BR167" s="1836"/>
      <c r="BS167" s="1837"/>
      <c r="BT167" s="1838"/>
      <c r="BU167" s="1839"/>
      <c r="BV167" s="1839"/>
      <c r="BW167" s="900">
        <f>BW162</f>
        <v>0</v>
      </c>
      <c r="BX167" s="901">
        <f>BX162</f>
        <v>0</v>
      </c>
      <c r="BY167" s="902">
        <f>BW167*BX167</f>
        <v>0</v>
      </c>
      <c r="BZ167" s="1840"/>
      <c r="CA167" s="1841"/>
      <c r="CB167" s="1842"/>
      <c r="CC167" s="1843"/>
      <c r="CD167" s="1843"/>
      <c r="CE167" s="898">
        <f>CE162</f>
        <v>0</v>
      </c>
      <c r="CF167" s="899">
        <f>CF162</f>
        <v>0</v>
      </c>
      <c r="CG167" s="29">
        <f>CE167*CF167</f>
        <v>0</v>
      </c>
      <c r="CH167" s="1836"/>
      <c r="CI167" s="1837"/>
      <c r="CJ167" s="1838"/>
      <c r="CK167" s="1839"/>
      <c r="CL167" s="1839"/>
      <c r="CM167" s="900">
        <f>CM162</f>
        <v>0</v>
      </c>
      <c r="CN167" s="901">
        <f>CN162</f>
        <v>0</v>
      </c>
      <c r="CO167" s="902">
        <f>CM167*CN167</f>
        <v>0</v>
      </c>
      <c r="CP167" s="1840"/>
      <c r="CQ167" s="1841"/>
      <c r="CR167" s="1842"/>
      <c r="CS167" s="1843"/>
      <c r="CT167" s="1843"/>
      <c r="CU167" s="1844"/>
      <c r="CV167" s="1844"/>
      <c r="CW167" s="1845"/>
      <c r="CX167" s="1844"/>
      <c r="CY167" s="1845"/>
      <c r="CZ167" s="1845"/>
      <c r="DA167" s="1845"/>
      <c r="DB167" s="912"/>
    </row>
    <row r="168" spans="1:119" ht="12.75" hidden="1" customHeight="1" x14ac:dyDescent="0.3">
      <c r="A168" s="1835"/>
      <c r="B168" s="108" t="s">
        <v>315</v>
      </c>
      <c r="C168" s="906">
        <f>C167+C166</f>
        <v>0</v>
      </c>
      <c r="D168" s="29">
        <f>IF(C168=0,0,E168/C168)</f>
        <v>0</v>
      </c>
      <c r="E168" s="29">
        <f>E167+E166</f>
        <v>0</v>
      </c>
      <c r="F168" s="1836"/>
      <c r="G168" s="1837"/>
      <c r="H168" s="1838"/>
      <c r="I168" s="1839"/>
      <c r="J168" s="1839"/>
      <c r="K168" s="907">
        <f>K167+K166</f>
        <v>0</v>
      </c>
      <c r="L168" s="902">
        <f>IF(K168=0,0,M168/K168)</f>
        <v>0</v>
      </c>
      <c r="M168" s="902">
        <f>M167+M166</f>
        <v>0</v>
      </c>
      <c r="N168" s="1840"/>
      <c r="O168" s="1841"/>
      <c r="P168" s="1842"/>
      <c r="Q168" s="1843"/>
      <c r="R168" s="1843"/>
      <c r="S168" s="906">
        <f>S167+S166</f>
        <v>0</v>
      </c>
      <c r="T168" s="29">
        <f>IF(S168=0,0,U168/S168)</f>
        <v>0</v>
      </c>
      <c r="U168" s="29">
        <f>U167+U166</f>
        <v>0</v>
      </c>
      <c r="V168" s="1836"/>
      <c r="W168" s="1837"/>
      <c r="X168" s="1838"/>
      <c r="Y168" s="1839"/>
      <c r="Z168" s="1839"/>
      <c r="AA168" s="907">
        <f>AA167+AA166</f>
        <v>0</v>
      </c>
      <c r="AB168" s="902">
        <f>IF(AA168=0,0,AC168/AA168)</f>
        <v>0</v>
      </c>
      <c r="AC168" s="902">
        <f>AC167+AC166</f>
        <v>0</v>
      </c>
      <c r="AD168" s="1840"/>
      <c r="AE168" s="1841"/>
      <c r="AF168" s="1842"/>
      <c r="AG168" s="1843"/>
      <c r="AH168" s="1843"/>
      <c r="AI168" s="906">
        <f>AI167+AI166</f>
        <v>0</v>
      </c>
      <c r="AJ168" s="29">
        <f>IF(AI168=0,0,AK168/AI168)</f>
        <v>0</v>
      </c>
      <c r="AK168" s="29">
        <f>AK167+AK166</f>
        <v>0</v>
      </c>
      <c r="AL168" s="1836"/>
      <c r="AM168" s="1837"/>
      <c r="AN168" s="1838"/>
      <c r="AO168" s="1839"/>
      <c r="AP168" s="1839"/>
      <c r="AQ168" s="907">
        <f>AQ167+AQ166</f>
        <v>0</v>
      </c>
      <c r="AR168" s="902">
        <f>IF(AQ168=0,0,AS168/AQ168)</f>
        <v>0</v>
      </c>
      <c r="AS168" s="902">
        <f>AS167+AS166</f>
        <v>0</v>
      </c>
      <c r="AT168" s="1840"/>
      <c r="AU168" s="1841"/>
      <c r="AV168" s="1842"/>
      <c r="AW168" s="1843"/>
      <c r="AX168" s="1843"/>
      <c r="AY168" s="906">
        <f>AY167+AY166</f>
        <v>0</v>
      </c>
      <c r="AZ168" s="29">
        <f>IF(AY168=0,0,BA168/AY168)</f>
        <v>0</v>
      </c>
      <c r="BA168" s="29">
        <f>BA167+BA166</f>
        <v>0</v>
      </c>
      <c r="BB168" s="1836"/>
      <c r="BC168" s="1837"/>
      <c r="BD168" s="1838"/>
      <c r="BE168" s="1839"/>
      <c r="BF168" s="1839"/>
      <c r="BG168" s="907">
        <f>BG167+BG166</f>
        <v>0</v>
      </c>
      <c r="BH168" s="902">
        <f>IF(BG168=0,0,BI168/BG168)</f>
        <v>0</v>
      </c>
      <c r="BI168" s="902">
        <f>BI167+BI166</f>
        <v>0</v>
      </c>
      <c r="BJ168" s="1840"/>
      <c r="BK168" s="1841"/>
      <c r="BL168" s="1842"/>
      <c r="BM168" s="1843"/>
      <c r="BN168" s="1843"/>
      <c r="BO168" s="906">
        <f>BO167+BO166</f>
        <v>0</v>
      </c>
      <c r="BP168" s="29">
        <f>IF(BO168=0,0,BQ168/BO168)</f>
        <v>0</v>
      </c>
      <c r="BQ168" s="29">
        <f>BQ167+BQ166</f>
        <v>0</v>
      </c>
      <c r="BR168" s="1836"/>
      <c r="BS168" s="1837"/>
      <c r="BT168" s="1838"/>
      <c r="BU168" s="1839"/>
      <c r="BV168" s="1839"/>
      <c r="BW168" s="907">
        <f>BW167+BW166</f>
        <v>0</v>
      </c>
      <c r="BX168" s="902">
        <f>IF(BW168=0,0,BY168/BW168)</f>
        <v>0</v>
      </c>
      <c r="BY168" s="902">
        <f>BY167+BY166</f>
        <v>0</v>
      </c>
      <c r="BZ168" s="1840"/>
      <c r="CA168" s="1841"/>
      <c r="CB168" s="1842"/>
      <c r="CC168" s="1843"/>
      <c r="CD168" s="1843"/>
      <c r="CE168" s="906">
        <f>CE167+CE166</f>
        <v>0</v>
      </c>
      <c r="CF168" s="29">
        <f>IF(CE168=0,0,CG168/CE168)</f>
        <v>0</v>
      </c>
      <c r="CG168" s="29">
        <f>CG167+CG166</f>
        <v>0</v>
      </c>
      <c r="CH168" s="1836"/>
      <c r="CI168" s="1837"/>
      <c r="CJ168" s="1838"/>
      <c r="CK168" s="1839"/>
      <c r="CL168" s="1839"/>
      <c r="CM168" s="907">
        <f>CM167+CM166</f>
        <v>0</v>
      </c>
      <c r="CN168" s="902">
        <f>IF(CM168=0,0,CO168/CM168)</f>
        <v>0</v>
      </c>
      <c r="CO168" s="902">
        <f>CO167+CO166</f>
        <v>0</v>
      </c>
      <c r="CP168" s="1840"/>
      <c r="CQ168" s="1841"/>
      <c r="CR168" s="1842"/>
      <c r="CS168" s="1843"/>
      <c r="CT168" s="1843"/>
      <c r="CU168" s="1844"/>
      <c r="CV168" s="1844"/>
      <c r="CW168" s="1845"/>
      <c r="CX168" s="1844"/>
      <c r="CY168" s="1845"/>
      <c r="CZ168" s="1845"/>
      <c r="DA168" s="1845"/>
      <c r="DB168" s="912"/>
    </row>
    <row r="169" spans="1:119" x14ac:dyDescent="0.3">
      <c r="A169" s="1835"/>
      <c r="B169" s="108" t="s">
        <v>312</v>
      </c>
      <c r="C169" s="906">
        <f>H166*C168</f>
        <v>0</v>
      </c>
      <c r="D169" s="29">
        <f>D168</f>
        <v>0</v>
      </c>
      <c r="E169" s="29">
        <f>C169*D169</f>
        <v>0</v>
      </c>
      <c r="F169" s="1836"/>
      <c r="G169" s="1837"/>
      <c r="H169" s="1838"/>
      <c r="I169" s="1839"/>
      <c r="J169" s="1839"/>
      <c r="K169" s="907">
        <f>P166*K168</f>
        <v>0</v>
      </c>
      <c r="L169" s="902">
        <f>L168</f>
        <v>0</v>
      </c>
      <c r="M169" s="902">
        <f>K169*L169</f>
        <v>0</v>
      </c>
      <c r="N169" s="1840"/>
      <c r="O169" s="1841"/>
      <c r="P169" s="1842"/>
      <c r="Q169" s="1843"/>
      <c r="R169" s="1843"/>
      <c r="S169" s="906">
        <f>X166*S168</f>
        <v>0</v>
      </c>
      <c r="T169" s="29">
        <f>T168</f>
        <v>0</v>
      </c>
      <c r="U169" s="29">
        <f>S169*T169</f>
        <v>0</v>
      </c>
      <c r="V169" s="1836"/>
      <c r="W169" s="1837"/>
      <c r="X169" s="1838"/>
      <c r="Y169" s="1839"/>
      <c r="Z169" s="1839"/>
      <c r="AA169" s="907">
        <f>AF166*AA168</f>
        <v>0</v>
      </c>
      <c r="AB169" s="902">
        <f>AB168</f>
        <v>0</v>
      </c>
      <c r="AC169" s="902">
        <f>AA169*AB169</f>
        <v>0</v>
      </c>
      <c r="AD169" s="1840"/>
      <c r="AE169" s="1841"/>
      <c r="AF169" s="1842"/>
      <c r="AG169" s="1843"/>
      <c r="AH169" s="1843"/>
      <c r="AI169" s="906">
        <f>AN166*AI168</f>
        <v>0</v>
      </c>
      <c r="AJ169" s="29">
        <f>AJ168</f>
        <v>0</v>
      </c>
      <c r="AK169" s="29">
        <f>AI169*AJ169</f>
        <v>0</v>
      </c>
      <c r="AL169" s="1836"/>
      <c r="AM169" s="1837"/>
      <c r="AN169" s="1838"/>
      <c r="AO169" s="1839"/>
      <c r="AP169" s="1839"/>
      <c r="AQ169" s="907">
        <f>AV166*AQ168</f>
        <v>0</v>
      </c>
      <c r="AR169" s="902">
        <f>AR168</f>
        <v>0</v>
      </c>
      <c r="AS169" s="902">
        <f>AQ169*AR169</f>
        <v>0</v>
      </c>
      <c r="AT169" s="1840"/>
      <c r="AU169" s="1841"/>
      <c r="AV169" s="1842"/>
      <c r="AW169" s="1843"/>
      <c r="AX169" s="1843"/>
      <c r="AY169" s="906">
        <f>BD166*AY168</f>
        <v>0</v>
      </c>
      <c r="AZ169" s="29">
        <f>AZ168</f>
        <v>0</v>
      </c>
      <c r="BA169" s="29">
        <f>AY169*AZ169</f>
        <v>0</v>
      </c>
      <c r="BB169" s="1836"/>
      <c r="BC169" s="1837"/>
      <c r="BD169" s="1838"/>
      <c r="BE169" s="1839"/>
      <c r="BF169" s="1839"/>
      <c r="BG169" s="907">
        <f>BL166*BG168</f>
        <v>0</v>
      </c>
      <c r="BH169" s="902">
        <f>BH168</f>
        <v>0</v>
      </c>
      <c r="BI169" s="902">
        <f>BG169*BH169</f>
        <v>0</v>
      </c>
      <c r="BJ169" s="1840"/>
      <c r="BK169" s="1841"/>
      <c r="BL169" s="1842"/>
      <c r="BM169" s="1843"/>
      <c r="BN169" s="1843"/>
      <c r="BO169" s="906">
        <f>BT166*BO168</f>
        <v>0</v>
      </c>
      <c r="BP169" s="29">
        <f>BP168</f>
        <v>0</v>
      </c>
      <c r="BQ169" s="29">
        <f>BO169*BP169</f>
        <v>0</v>
      </c>
      <c r="BR169" s="1836"/>
      <c r="BS169" s="1837"/>
      <c r="BT169" s="1838"/>
      <c r="BU169" s="1839"/>
      <c r="BV169" s="1839"/>
      <c r="BW169" s="907">
        <f>CB166*BW168</f>
        <v>0</v>
      </c>
      <c r="BX169" s="902">
        <f>BX168</f>
        <v>0</v>
      </c>
      <c r="BY169" s="902">
        <f>BW169*BX169</f>
        <v>0</v>
      </c>
      <c r="BZ169" s="1840"/>
      <c r="CA169" s="1841"/>
      <c r="CB169" s="1842"/>
      <c r="CC169" s="1843"/>
      <c r="CD169" s="1843"/>
      <c r="CE169" s="906">
        <f>CJ166*CE168</f>
        <v>0</v>
      </c>
      <c r="CF169" s="29">
        <f>CF168</f>
        <v>0</v>
      </c>
      <c r="CG169" s="29">
        <f>CE169*CF169</f>
        <v>0</v>
      </c>
      <c r="CH169" s="1836"/>
      <c r="CI169" s="1837"/>
      <c r="CJ169" s="1838"/>
      <c r="CK169" s="1839"/>
      <c r="CL169" s="1839"/>
      <c r="CM169" s="907">
        <f>CR166*CM168</f>
        <v>0</v>
      </c>
      <c r="CN169" s="902">
        <f>CN168</f>
        <v>0</v>
      </c>
      <c r="CO169" s="902">
        <f>CM169*CN169</f>
        <v>0</v>
      </c>
      <c r="CP169" s="1840"/>
      <c r="CQ169" s="1841"/>
      <c r="CR169" s="1842"/>
      <c r="CS169" s="1843"/>
      <c r="CT169" s="1843"/>
      <c r="CU169" s="1844"/>
      <c r="CV169" s="1844"/>
      <c r="CW169" s="1845"/>
      <c r="CX169" s="1844"/>
      <c r="CY169" s="1845"/>
      <c r="CZ169" s="1845"/>
      <c r="DA169" s="1845"/>
      <c r="DB169" s="912"/>
    </row>
    <row r="170" spans="1:119" x14ac:dyDescent="0.3">
      <c r="A170" s="1835"/>
      <c r="B170" s="108" t="s">
        <v>254</v>
      </c>
      <c r="C170" s="906">
        <f>C166+C167-C169</f>
        <v>0</v>
      </c>
      <c r="D170" s="29">
        <f>D169</f>
        <v>0</v>
      </c>
      <c r="E170" s="29">
        <f>D170*C170</f>
        <v>0</v>
      </c>
      <c r="F170" s="1836"/>
      <c r="G170" s="1837"/>
      <c r="H170" s="1838"/>
      <c r="I170" s="1839"/>
      <c r="J170" s="1839"/>
      <c r="K170" s="907">
        <f>K166+K167-K169</f>
        <v>0</v>
      </c>
      <c r="L170" s="902">
        <f>L169</f>
        <v>0</v>
      </c>
      <c r="M170" s="902">
        <f>L170*K170</f>
        <v>0</v>
      </c>
      <c r="N170" s="1840"/>
      <c r="O170" s="1841"/>
      <c r="P170" s="1842"/>
      <c r="Q170" s="1843"/>
      <c r="R170" s="1843"/>
      <c r="S170" s="906">
        <f>S166+S167-S169</f>
        <v>0</v>
      </c>
      <c r="T170" s="29">
        <f>T169</f>
        <v>0</v>
      </c>
      <c r="U170" s="29">
        <f>T170*S170</f>
        <v>0</v>
      </c>
      <c r="V170" s="1836"/>
      <c r="W170" s="1837"/>
      <c r="X170" s="1838"/>
      <c r="Y170" s="1839"/>
      <c r="Z170" s="1839"/>
      <c r="AA170" s="907">
        <f>AA166+AA167-AA169</f>
        <v>0</v>
      </c>
      <c r="AB170" s="902">
        <f>AB169</f>
        <v>0</v>
      </c>
      <c r="AC170" s="902">
        <f>AB170*AA170</f>
        <v>0</v>
      </c>
      <c r="AD170" s="1840"/>
      <c r="AE170" s="1841"/>
      <c r="AF170" s="1842"/>
      <c r="AG170" s="1843"/>
      <c r="AH170" s="1843"/>
      <c r="AI170" s="906">
        <f>AI166+AI167-AI169</f>
        <v>0</v>
      </c>
      <c r="AJ170" s="29">
        <f>AJ169</f>
        <v>0</v>
      </c>
      <c r="AK170" s="29">
        <f>AJ170*AI170</f>
        <v>0</v>
      </c>
      <c r="AL170" s="1836"/>
      <c r="AM170" s="1837"/>
      <c r="AN170" s="1838"/>
      <c r="AO170" s="1839"/>
      <c r="AP170" s="1839"/>
      <c r="AQ170" s="907">
        <f>AQ166+AQ167-AQ169</f>
        <v>0</v>
      </c>
      <c r="AR170" s="902">
        <f>AR169</f>
        <v>0</v>
      </c>
      <c r="AS170" s="902">
        <f>AR170*AQ170</f>
        <v>0</v>
      </c>
      <c r="AT170" s="1840"/>
      <c r="AU170" s="1841"/>
      <c r="AV170" s="1842"/>
      <c r="AW170" s="1843"/>
      <c r="AX170" s="1843"/>
      <c r="AY170" s="906">
        <f>AY166+AY167-AY169</f>
        <v>0</v>
      </c>
      <c r="AZ170" s="29">
        <f>AZ169</f>
        <v>0</v>
      </c>
      <c r="BA170" s="29">
        <f>AZ170*AY170</f>
        <v>0</v>
      </c>
      <c r="BB170" s="1836"/>
      <c r="BC170" s="1837"/>
      <c r="BD170" s="1838"/>
      <c r="BE170" s="1839"/>
      <c r="BF170" s="1839"/>
      <c r="BG170" s="907">
        <f>BG166+BG167-BG169</f>
        <v>0</v>
      </c>
      <c r="BH170" s="902">
        <f>BH169</f>
        <v>0</v>
      </c>
      <c r="BI170" s="902">
        <f>BH170*BG170</f>
        <v>0</v>
      </c>
      <c r="BJ170" s="1840"/>
      <c r="BK170" s="1841"/>
      <c r="BL170" s="1842"/>
      <c r="BM170" s="1843"/>
      <c r="BN170" s="1843"/>
      <c r="BO170" s="906">
        <f>BO166+BO167-BO169</f>
        <v>0</v>
      </c>
      <c r="BP170" s="29">
        <f>BP169</f>
        <v>0</v>
      </c>
      <c r="BQ170" s="29">
        <f>BP170*BO170</f>
        <v>0</v>
      </c>
      <c r="BR170" s="1836"/>
      <c r="BS170" s="1837"/>
      <c r="BT170" s="1838"/>
      <c r="BU170" s="1839"/>
      <c r="BV170" s="1839"/>
      <c r="BW170" s="907">
        <f>BW166+BW167-BW169</f>
        <v>0</v>
      </c>
      <c r="BX170" s="902">
        <f>BX169</f>
        <v>0</v>
      </c>
      <c r="BY170" s="902">
        <f>BX170*BW170</f>
        <v>0</v>
      </c>
      <c r="BZ170" s="1840"/>
      <c r="CA170" s="1841"/>
      <c r="CB170" s="1842"/>
      <c r="CC170" s="1843"/>
      <c r="CD170" s="1843"/>
      <c r="CE170" s="906">
        <f>CE166+CE167-CE169</f>
        <v>0</v>
      </c>
      <c r="CF170" s="29">
        <f>CF169</f>
        <v>0</v>
      </c>
      <c r="CG170" s="29">
        <f>CF170*CE170</f>
        <v>0</v>
      </c>
      <c r="CH170" s="1836"/>
      <c r="CI170" s="1837"/>
      <c r="CJ170" s="1838"/>
      <c r="CK170" s="1839"/>
      <c r="CL170" s="1839"/>
      <c r="CM170" s="907">
        <f>CM166+CM167-CM169</f>
        <v>0</v>
      </c>
      <c r="CN170" s="902">
        <f>CN169</f>
        <v>0</v>
      </c>
      <c r="CO170" s="902">
        <f>CN170*CM170</f>
        <v>0</v>
      </c>
      <c r="CP170" s="1840"/>
      <c r="CQ170" s="1841"/>
      <c r="CR170" s="1842"/>
      <c r="CS170" s="1843"/>
      <c r="CT170" s="1843"/>
      <c r="CU170" s="1844"/>
      <c r="CV170" s="1844"/>
      <c r="CW170" s="1845"/>
      <c r="CX170" s="1844"/>
      <c r="CY170" s="1845"/>
      <c r="CZ170" s="1845"/>
      <c r="DA170" s="1845"/>
      <c r="DB170" s="912"/>
    </row>
    <row r="171" spans="1:119" x14ac:dyDescent="0.3">
      <c r="A171" s="1835" t="str">
        <f>A102</f>
        <v>ABRIL</v>
      </c>
      <c r="B171" s="108" t="s">
        <v>255</v>
      </c>
      <c r="C171" s="906">
        <f>C170</f>
        <v>0</v>
      </c>
      <c r="D171" s="29">
        <f>D170</f>
        <v>0</v>
      </c>
      <c r="E171" s="29">
        <f>C171*D171</f>
        <v>0</v>
      </c>
      <c r="F171" s="1836">
        <f>E172*$I$3</f>
        <v>0</v>
      </c>
      <c r="G171" s="1837">
        <f>G166</f>
        <v>0</v>
      </c>
      <c r="H171" s="1838">
        <f>H166</f>
        <v>0</v>
      </c>
      <c r="I171" s="1839">
        <f>E174/(1-G171)</f>
        <v>0</v>
      </c>
      <c r="J171" s="1839">
        <f>I171*$F$3</f>
        <v>0</v>
      </c>
      <c r="K171" s="907">
        <f>K170</f>
        <v>0</v>
      </c>
      <c r="L171" s="902">
        <f>L170</f>
        <v>0</v>
      </c>
      <c r="M171" s="902">
        <f>K171*L171</f>
        <v>0</v>
      </c>
      <c r="N171" s="1840">
        <f>M172*$I$4</f>
        <v>0</v>
      </c>
      <c r="O171" s="1841">
        <f>O166</f>
        <v>0</v>
      </c>
      <c r="P171" s="1842">
        <f>P166</f>
        <v>0</v>
      </c>
      <c r="Q171" s="1843">
        <f>M174/(1-O171)</f>
        <v>0</v>
      </c>
      <c r="R171" s="1843">
        <f>Q171*$F$4</f>
        <v>0</v>
      </c>
      <c r="S171" s="906">
        <f>S170</f>
        <v>0</v>
      </c>
      <c r="T171" s="29">
        <f>T170</f>
        <v>0</v>
      </c>
      <c r="U171" s="29">
        <f>S171*T171</f>
        <v>0</v>
      </c>
      <c r="V171" s="1836">
        <f>U172*$I$5</f>
        <v>0</v>
      </c>
      <c r="W171" s="1837">
        <f>W166</f>
        <v>0</v>
      </c>
      <c r="X171" s="1838">
        <f>X166</f>
        <v>0</v>
      </c>
      <c r="Y171" s="1839">
        <f>U174/(1-W171)</f>
        <v>0</v>
      </c>
      <c r="Z171" s="1839">
        <f>Y171*$F$5</f>
        <v>0</v>
      </c>
      <c r="AA171" s="907">
        <f>AA170</f>
        <v>0</v>
      </c>
      <c r="AB171" s="902">
        <f>AB170</f>
        <v>0</v>
      </c>
      <c r="AC171" s="902">
        <f>AA171*AB171</f>
        <v>0</v>
      </c>
      <c r="AD171" s="1840">
        <f>AC172*$I$6</f>
        <v>0</v>
      </c>
      <c r="AE171" s="1841">
        <f>AE166</f>
        <v>0</v>
      </c>
      <c r="AF171" s="1842">
        <f>AF166</f>
        <v>0</v>
      </c>
      <c r="AG171" s="1843">
        <f>AC174/(1-AE171)</f>
        <v>0</v>
      </c>
      <c r="AH171" s="1843">
        <f>AG171*$F$6</f>
        <v>0</v>
      </c>
      <c r="AI171" s="906">
        <f>AI170</f>
        <v>0</v>
      </c>
      <c r="AJ171" s="29">
        <f>AJ170</f>
        <v>0</v>
      </c>
      <c r="AK171" s="29">
        <f>AI171*AJ171</f>
        <v>0</v>
      </c>
      <c r="AL171" s="1836">
        <f>AK172*$I$7</f>
        <v>0</v>
      </c>
      <c r="AM171" s="1837">
        <f>AM166</f>
        <v>0</v>
      </c>
      <c r="AN171" s="1838">
        <f>AN166</f>
        <v>0</v>
      </c>
      <c r="AO171" s="1839">
        <f>AK174/(1-AM171)</f>
        <v>0</v>
      </c>
      <c r="AP171" s="1839">
        <f>AO171*$F$7</f>
        <v>0</v>
      </c>
      <c r="AQ171" s="907">
        <f>AQ170</f>
        <v>0</v>
      </c>
      <c r="AR171" s="902">
        <f>AR170</f>
        <v>0</v>
      </c>
      <c r="AS171" s="902">
        <f>AQ171*AR171</f>
        <v>0</v>
      </c>
      <c r="AT171" s="1840">
        <f>AS172*$I$8</f>
        <v>0</v>
      </c>
      <c r="AU171" s="1841">
        <f>AU166</f>
        <v>0</v>
      </c>
      <c r="AV171" s="1842">
        <f>AV166</f>
        <v>0</v>
      </c>
      <c r="AW171" s="1843">
        <f>AS174/(1-AU171)</f>
        <v>0</v>
      </c>
      <c r="AX171" s="1843">
        <f>AW171*$F$8</f>
        <v>0</v>
      </c>
      <c r="AY171" s="906">
        <f>AY170</f>
        <v>0</v>
      </c>
      <c r="AZ171" s="29">
        <f>AZ170</f>
        <v>0</v>
      </c>
      <c r="BA171" s="29">
        <f>AY171*AZ171</f>
        <v>0</v>
      </c>
      <c r="BB171" s="1836">
        <f>BA172*$I$9</f>
        <v>0</v>
      </c>
      <c r="BC171" s="1837">
        <f>BC166</f>
        <v>0</v>
      </c>
      <c r="BD171" s="1838">
        <f>BD166</f>
        <v>0</v>
      </c>
      <c r="BE171" s="1839">
        <f>BA174/(1-BC171)</f>
        <v>0</v>
      </c>
      <c r="BF171" s="1839">
        <f>BE171*$F$9</f>
        <v>0</v>
      </c>
      <c r="BG171" s="907">
        <f>BG170</f>
        <v>0</v>
      </c>
      <c r="BH171" s="902">
        <f>BH170</f>
        <v>0</v>
      </c>
      <c r="BI171" s="902">
        <f>BG171*BH171</f>
        <v>0</v>
      </c>
      <c r="BJ171" s="1840">
        <f>BI172*$I$10</f>
        <v>0</v>
      </c>
      <c r="BK171" s="1841">
        <f>BK166</f>
        <v>0</v>
      </c>
      <c r="BL171" s="1842">
        <f>BL166</f>
        <v>0</v>
      </c>
      <c r="BM171" s="1843">
        <f>BI174/(1-BK171)</f>
        <v>0</v>
      </c>
      <c r="BN171" s="1843">
        <f>BM171*$F$10</f>
        <v>0</v>
      </c>
      <c r="BO171" s="906">
        <f>BO170</f>
        <v>0</v>
      </c>
      <c r="BP171" s="29">
        <f>BP170</f>
        <v>0</v>
      </c>
      <c r="BQ171" s="29">
        <f>BO171*BP171</f>
        <v>0</v>
      </c>
      <c r="BR171" s="1836">
        <f>BQ172*$I$11</f>
        <v>0</v>
      </c>
      <c r="BS171" s="1837">
        <f>BS166</f>
        <v>0</v>
      </c>
      <c r="BT171" s="1838">
        <f>BT166</f>
        <v>0</v>
      </c>
      <c r="BU171" s="1839">
        <f>BQ174/(1-BS171)</f>
        <v>0</v>
      </c>
      <c r="BV171" s="1839">
        <f>BU171*$F$11</f>
        <v>0</v>
      </c>
      <c r="BW171" s="907">
        <f>BW170</f>
        <v>0</v>
      </c>
      <c r="BX171" s="902">
        <f>BX170</f>
        <v>0</v>
      </c>
      <c r="BY171" s="902">
        <f>BW171*BX171</f>
        <v>0</v>
      </c>
      <c r="BZ171" s="1840">
        <f>BY172*$I$12</f>
        <v>0</v>
      </c>
      <c r="CA171" s="1841">
        <f>CA166</f>
        <v>0</v>
      </c>
      <c r="CB171" s="1842">
        <f>CB166</f>
        <v>0</v>
      </c>
      <c r="CC171" s="1843">
        <f>BY174/(1-CA171)</f>
        <v>0</v>
      </c>
      <c r="CD171" s="1843">
        <f>CC171*$F$12</f>
        <v>0</v>
      </c>
      <c r="CE171" s="906">
        <f>CE170</f>
        <v>0</v>
      </c>
      <c r="CF171" s="29">
        <f>CF170</f>
        <v>0</v>
      </c>
      <c r="CG171" s="29">
        <f>CE171*CF171</f>
        <v>0</v>
      </c>
      <c r="CH171" s="1836">
        <f>CG172*$I$13</f>
        <v>0</v>
      </c>
      <c r="CI171" s="1837">
        <f>CI166</f>
        <v>0</v>
      </c>
      <c r="CJ171" s="1838">
        <f>CJ166</f>
        <v>0</v>
      </c>
      <c r="CK171" s="1839">
        <f>CG174/(1-CI171)</f>
        <v>0</v>
      </c>
      <c r="CL171" s="1839">
        <f>CK171*$F$13</f>
        <v>0</v>
      </c>
      <c r="CM171" s="907">
        <f>CM170</f>
        <v>0</v>
      </c>
      <c r="CN171" s="902">
        <f>CN170</f>
        <v>0</v>
      </c>
      <c r="CO171" s="902">
        <f>CM171*CN171</f>
        <v>0</v>
      </c>
      <c r="CP171" s="1840">
        <f>CO172*$I$14</f>
        <v>0</v>
      </c>
      <c r="CQ171" s="1841">
        <f>CQ166</f>
        <v>0</v>
      </c>
      <c r="CR171" s="1842">
        <f>CR166</f>
        <v>0</v>
      </c>
      <c r="CS171" s="1843">
        <f>CO174/(1-CQ171)</f>
        <v>0</v>
      </c>
      <c r="CT171" s="1843">
        <f>CS171*$F$14</f>
        <v>0</v>
      </c>
      <c r="CU171" s="1844">
        <f>E172+M172+U172+AC172+AK172+AS172+BA172+BI172+BQ172+BY172+CG172+CO172</f>
        <v>0</v>
      </c>
      <c r="CV171" s="1844">
        <f>CP171+CH171+BZ171+BR171+BJ171+BB171+AT171+AL171+AD171+V171+N171+F171</f>
        <v>0</v>
      </c>
      <c r="CW171" s="1845">
        <f>I171+Q171+Y171+AG171+AO171+AW171+BE171+BM171+BU171+CC171+CK171+CS171</f>
        <v>0</v>
      </c>
      <c r="CX171" s="1844">
        <f>CT171+CL171+CD171+BV171+BN171+BF171+AX171+AP171+AH171+Z171+R171+J171</f>
        <v>0</v>
      </c>
      <c r="CY171" s="1845">
        <f>CZ166</f>
        <v>0</v>
      </c>
      <c r="CZ171" s="1845">
        <f>E175+M175+U175+AC175+AK175+AS175+BA175+BI175+BQ175+BY175+CG175+CO175</f>
        <v>0</v>
      </c>
      <c r="DA171" s="1845">
        <f>CZ171-CY171</f>
        <v>0</v>
      </c>
      <c r="DB171" s="914"/>
    </row>
    <row r="172" spans="1:119" x14ac:dyDescent="0.3">
      <c r="A172" s="1835"/>
      <c r="B172" s="108" t="s">
        <v>310</v>
      </c>
      <c r="C172" s="898">
        <f>C167</f>
        <v>0</v>
      </c>
      <c r="D172" s="899">
        <f>D167</f>
        <v>0</v>
      </c>
      <c r="E172" s="29">
        <f>C172*D172</f>
        <v>0</v>
      </c>
      <c r="F172" s="1836"/>
      <c r="G172" s="1837"/>
      <c r="H172" s="1838"/>
      <c r="I172" s="1839"/>
      <c r="J172" s="1839"/>
      <c r="K172" s="900">
        <f>K167</f>
        <v>0</v>
      </c>
      <c r="L172" s="901">
        <f>L167</f>
        <v>0</v>
      </c>
      <c r="M172" s="902">
        <f>K172*L172</f>
        <v>0</v>
      </c>
      <c r="N172" s="1840"/>
      <c r="O172" s="1841"/>
      <c r="P172" s="1842"/>
      <c r="Q172" s="1843"/>
      <c r="R172" s="1843"/>
      <c r="S172" s="898">
        <f>S167</f>
        <v>0</v>
      </c>
      <c r="T172" s="899">
        <f>T167</f>
        <v>0</v>
      </c>
      <c r="U172" s="29">
        <f>S172*T172</f>
        <v>0</v>
      </c>
      <c r="V172" s="1836"/>
      <c r="W172" s="1837"/>
      <c r="X172" s="1838"/>
      <c r="Y172" s="1839"/>
      <c r="Z172" s="1839"/>
      <c r="AA172" s="900">
        <f>AA167</f>
        <v>0</v>
      </c>
      <c r="AB172" s="901">
        <f>AB167</f>
        <v>0</v>
      </c>
      <c r="AC172" s="902">
        <f>AA172*AB172</f>
        <v>0</v>
      </c>
      <c r="AD172" s="1840"/>
      <c r="AE172" s="1841"/>
      <c r="AF172" s="1842"/>
      <c r="AG172" s="1843"/>
      <c r="AH172" s="1843"/>
      <c r="AI172" s="898">
        <f>AI167</f>
        <v>0</v>
      </c>
      <c r="AJ172" s="899">
        <f>AJ167</f>
        <v>0</v>
      </c>
      <c r="AK172" s="29">
        <f>AI172*AJ172</f>
        <v>0</v>
      </c>
      <c r="AL172" s="1836"/>
      <c r="AM172" s="1837"/>
      <c r="AN172" s="1838"/>
      <c r="AO172" s="1839"/>
      <c r="AP172" s="1839"/>
      <c r="AQ172" s="900">
        <f>AQ167</f>
        <v>0</v>
      </c>
      <c r="AR172" s="901">
        <f>AR167</f>
        <v>0</v>
      </c>
      <c r="AS172" s="902">
        <f>AQ172*AR172</f>
        <v>0</v>
      </c>
      <c r="AT172" s="1840"/>
      <c r="AU172" s="1841"/>
      <c r="AV172" s="1842"/>
      <c r="AW172" s="1843"/>
      <c r="AX172" s="1843"/>
      <c r="AY172" s="898">
        <f>AY167</f>
        <v>0</v>
      </c>
      <c r="AZ172" s="899">
        <f>AZ167</f>
        <v>0</v>
      </c>
      <c r="BA172" s="29">
        <f>AY172*AZ172</f>
        <v>0</v>
      </c>
      <c r="BB172" s="1836"/>
      <c r="BC172" s="1837"/>
      <c r="BD172" s="1838"/>
      <c r="BE172" s="1839"/>
      <c r="BF172" s="1839"/>
      <c r="BG172" s="900">
        <f>BG167</f>
        <v>0</v>
      </c>
      <c r="BH172" s="901">
        <f>BH167</f>
        <v>0</v>
      </c>
      <c r="BI172" s="902">
        <f>BG172*BH172</f>
        <v>0</v>
      </c>
      <c r="BJ172" s="1840"/>
      <c r="BK172" s="1841"/>
      <c r="BL172" s="1842"/>
      <c r="BM172" s="1843"/>
      <c r="BN172" s="1843"/>
      <c r="BO172" s="898">
        <f>BO167</f>
        <v>0</v>
      </c>
      <c r="BP172" s="899">
        <f>BP167</f>
        <v>0</v>
      </c>
      <c r="BQ172" s="29">
        <f>BO172*BP172</f>
        <v>0</v>
      </c>
      <c r="BR172" s="1836"/>
      <c r="BS172" s="1837"/>
      <c r="BT172" s="1838"/>
      <c r="BU172" s="1839"/>
      <c r="BV172" s="1839"/>
      <c r="BW172" s="900">
        <f>BW167</f>
        <v>0</v>
      </c>
      <c r="BX172" s="901">
        <f>BX167</f>
        <v>0</v>
      </c>
      <c r="BY172" s="902">
        <f>BW172*BX172</f>
        <v>0</v>
      </c>
      <c r="BZ172" s="1840"/>
      <c r="CA172" s="1841"/>
      <c r="CB172" s="1842"/>
      <c r="CC172" s="1843"/>
      <c r="CD172" s="1843"/>
      <c r="CE172" s="898">
        <f>CE167</f>
        <v>0</v>
      </c>
      <c r="CF172" s="899">
        <f>CF167</f>
        <v>0</v>
      </c>
      <c r="CG172" s="29">
        <f>CE172*CF172</f>
        <v>0</v>
      </c>
      <c r="CH172" s="1836"/>
      <c r="CI172" s="1837"/>
      <c r="CJ172" s="1838"/>
      <c r="CK172" s="1839"/>
      <c r="CL172" s="1839"/>
      <c r="CM172" s="900">
        <f>CM167</f>
        <v>0</v>
      </c>
      <c r="CN172" s="901">
        <f>CN167</f>
        <v>0</v>
      </c>
      <c r="CO172" s="902">
        <f>CM172*CN172</f>
        <v>0</v>
      </c>
      <c r="CP172" s="1840"/>
      <c r="CQ172" s="1841"/>
      <c r="CR172" s="1842"/>
      <c r="CS172" s="1843"/>
      <c r="CT172" s="1843"/>
      <c r="CU172" s="1844"/>
      <c r="CV172" s="1844"/>
      <c r="CW172" s="1845"/>
      <c r="CX172" s="1844"/>
      <c r="CY172" s="1845"/>
      <c r="CZ172" s="1845"/>
      <c r="DA172" s="1845"/>
      <c r="DB172" s="912"/>
    </row>
    <row r="173" spans="1:119" ht="12.75" hidden="1" customHeight="1" x14ac:dyDescent="0.3">
      <c r="A173" s="1835"/>
      <c r="B173" s="108" t="s">
        <v>315</v>
      </c>
      <c r="C173" s="906">
        <f>C172+C171</f>
        <v>0</v>
      </c>
      <c r="D173" s="29">
        <f>IF(C173=0,0,E173/C173)</f>
        <v>0</v>
      </c>
      <c r="E173" s="29">
        <f>E172+E171</f>
        <v>0</v>
      </c>
      <c r="F173" s="1836"/>
      <c r="G173" s="1837"/>
      <c r="H173" s="1838"/>
      <c r="I173" s="1839"/>
      <c r="J173" s="1839"/>
      <c r="K173" s="907">
        <f>K172+K171</f>
        <v>0</v>
      </c>
      <c r="L173" s="902">
        <f>IF(K173=0,0,M173/K173)</f>
        <v>0</v>
      </c>
      <c r="M173" s="902">
        <f>M172+M171</f>
        <v>0</v>
      </c>
      <c r="N173" s="1840"/>
      <c r="O173" s="1841"/>
      <c r="P173" s="1842"/>
      <c r="Q173" s="1843"/>
      <c r="R173" s="1843"/>
      <c r="S173" s="906">
        <f>S172+S171</f>
        <v>0</v>
      </c>
      <c r="T173" s="29">
        <f>IF(S173=0,0,U173/S173)</f>
        <v>0</v>
      </c>
      <c r="U173" s="29">
        <f>U172+U171</f>
        <v>0</v>
      </c>
      <c r="V173" s="1836"/>
      <c r="W173" s="1837"/>
      <c r="X173" s="1838"/>
      <c r="Y173" s="1839"/>
      <c r="Z173" s="1839"/>
      <c r="AA173" s="907">
        <f>AA172+AA171</f>
        <v>0</v>
      </c>
      <c r="AB173" s="902">
        <f>IF(AA173=0,0,AC173/AA173)</f>
        <v>0</v>
      </c>
      <c r="AC173" s="902">
        <f>AC172+AC171</f>
        <v>0</v>
      </c>
      <c r="AD173" s="1840"/>
      <c r="AE173" s="1841"/>
      <c r="AF173" s="1842"/>
      <c r="AG173" s="1843"/>
      <c r="AH173" s="1843"/>
      <c r="AI173" s="906">
        <f>AI172+AI171</f>
        <v>0</v>
      </c>
      <c r="AJ173" s="29">
        <f>IF(AI173=0,0,AK173/AI173)</f>
        <v>0</v>
      </c>
      <c r="AK173" s="29">
        <f>AK172+AK171</f>
        <v>0</v>
      </c>
      <c r="AL173" s="1836"/>
      <c r="AM173" s="1837"/>
      <c r="AN173" s="1838"/>
      <c r="AO173" s="1839"/>
      <c r="AP173" s="1839"/>
      <c r="AQ173" s="907">
        <f>AQ172+AQ171</f>
        <v>0</v>
      </c>
      <c r="AR173" s="902">
        <f>IF(AQ173=0,0,AS173/AQ173)</f>
        <v>0</v>
      </c>
      <c r="AS173" s="902">
        <f>AS172+AS171</f>
        <v>0</v>
      </c>
      <c r="AT173" s="1840"/>
      <c r="AU173" s="1841"/>
      <c r="AV173" s="1842"/>
      <c r="AW173" s="1843"/>
      <c r="AX173" s="1843"/>
      <c r="AY173" s="906">
        <f>AY172+AY171</f>
        <v>0</v>
      </c>
      <c r="AZ173" s="29">
        <f>IF(AY173=0,0,BA173/AY173)</f>
        <v>0</v>
      </c>
      <c r="BA173" s="29">
        <f>BA172+BA171</f>
        <v>0</v>
      </c>
      <c r="BB173" s="1836"/>
      <c r="BC173" s="1837"/>
      <c r="BD173" s="1838"/>
      <c r="BE173" s="1839"/>
      <c r="BF173" s="1839"/>
      <c r="BG173" s="907">
        <f>BG172+BG171</f>
        <v>0</v>
      </c>
      <c r="BH173" s="902">
        <f>IF(BG173=0,0,BI173/BG173)</f>
        <v>0</v>
      </c>
      <c r="BI173" s="902">
        <f>BI172+BI171</f>
        <v>0</v>
      </c>
      <c r="BJ173" s="1840"/>
      <c r="BK173" s="1841"/>
      <c r="BL173" s="1842"/>
      <c r="BM173" s="1843"/>
      <c r="BN173" s="1843"/>
      <c r="BO173" s="906">
        <f>BO172+BO171</f>
        <v>0</v>
      </c>
      <c r="BP173" s="29">
        <f>IF(BO173=0,0,BQ173/BO173)</f>
        <v>0</v>
      </c>
      <c r="BQ173" s="29">
        <f>BQ172+BQ171</f>
        <v>0</v>
      </c>
      <c r="BR173" s="1836"/>
      <c r="BS173" s="1837"/>
      <c r="BT173" s="1838"/>
      <c r="BU173" s="1839"/>
      <c r="BV173" s="1839"/>
      <c r="BW173" s="907">
        <f>BW172+BW171</f>
        <v>0</v>
      </c>
      <c r="BX173" s="902">
        <f>IF(BW173=0,0,BY173/BW173)</f>
        <v>0</v>
      </c>
      <c r="BY173" s="902">
        <f>BY172+BY171</f>
        <v>0</v>
      </c>
      <c r="BZ173" s="1840"/>
      <c r="CA173" s="1841"/>
      <c r="CB173" s="1842"/>
      <c r="CC173" s="1843"/>
      <c r="CD173" s="1843"/>
      <c r="CE173" s="906">
        <f>CE172+CE171</f>
        <v>0</v>
      </c>
      <c r="CF173" s="29">
        <f>IF(CE173=0,0,CG173/CE173)</f>
        <v>0</v>
      </c>
      <c r="CG173" s="29">
        <f>CG172+CG171</f>
        <v>0</v>
      </c>
      <c r="CH173" s="1836"/>
      <c r="CI173" s="1837"/>
      <c r="CJ173" s="1838"/>
      <c r="CK173" s="1839"/>
      <c r="CL173" s="1839"/>
      <c r="CM173" s="907">
        <f>CM172+CM171</f>
        <v>0</v>
      </c>
      <c r="CN173" s="902">
        <f>IF(CM173=0,0,CO173/CM173)</f>
        <v>0</v>
      </c>
      <c r="CO173" s="902">
        <f>CO172+CO171</f>
        <v>0</v>
      </c>
      <c r="CP173" s="1840"/>
      <c r="CQ173" s="1841"/>
      <c r="CR173" s="1842"/>
      <c r="CS173" s="1843"/>
      <c r="CT173" s="1843"/>
      <c r="CU173" s="1844"/>
      <c r="CV173" s="1844"/>
      <c r="CW173" s="1845"/>
      <c r="CX173" s="1844"/>
      <c r="CY173" s="1845"/>
      <c r="CZ173" s="1845"/>
      <c r="DA173" s="1845"/>
      <c r="DB173" s="912"/>
    </row>
    <row r="174" spans="1:119" x14ac:dyDescent="0.3">
      <c r="A174" s="1835"/>
      <c r="B174" s="108" t="s">
        <v>312</v>
      </c>
      <c r="C174" s="906">
        <f>H171*C173</f>
        <v>0</v>
      </c>
      <c r="D174" s="29">
        <f>D173</f>
        <v>0</v>
      </c>
      <c r="E174" s="29">
        <f>C174*D174</f>
        <v>0</v>
      </c>
      <c r="F174" s="1836"/>
      <c r="G174" s="1837"/>
      <c r="H174" s="1838"/>
      <c r="I174" s="1839"/>
      <c r="J174" s="1839"/>
      <c r="K174" s="907">
        <f>P171*K173</f>
        <v>0</v>
      </c>
      <c r="L174" s="902">
        <f>L173</f>
        <v>0</v>
      </c>
      <c r="M174" s="902">
        <f>K174*L174</f>
        <v>0</v>
      </c>
      <c r="N174" s="1840"/>
      <c r="O174" s="1841"/>
      <c r="P174" s="1842"/>
      <c r="Q174" s="1843"/>
      <c r="R174" s="1843"/>
      <c r="S174" s="906">
        <f>X171*S173</f>
        <v>0</v>
      </c>
      <c r="T174" s="29">
        <f>T173</f>
        <v>0</v>
      </c>
      <c r="U174" s="29">
        <f>S174*T174</f>
        <v>0</v>
      </c>
      <c r="V174" s="1836"/>
      <c r="W174" s="1837"/>
      <c r="X174" s="1838"/>
      <c r="Y174" s="1839"/>
      <c r="Z174" s="1839"/>
      <c r="AA174" s="907">
        <f>AF171*AA173</f>
        <v>0</v>
      </c>
      <c r="AB174" s="902">
        <f>AB173</f>
        <v>0</v>
      </c>
      <c r="AC174" s="902">
        <f>AA174*AB174</f>
        <v>0</v>
      </c>
      <c r="AD174" s="1840"/>
      <c r="AE174" s="1841"/>
      <c r="AF174" s="1842"/>
      <c r="AG174" s="1843"/>
      <c r="AH174" s="1843"/>
      <c r="AI174" s="906">
        <f>AN171*AI173</f>
        <v>0</v>
      </c>
      <c r="AJ174" s="29">
        <f>AJ173</f>
        <v>0</v>
      </c>
      <c r="AK174" s="29">
        <f>AI174*AJ174</f>
        <v>0</v>
      </c>
      <c r="AL174" s="1836"/>
      <c r="AM174" s="1837"/>
      <c r="AN174" s="1838"/>
      <c r="AO174" s="1839"/>
      <c r="AP174" s="1839"/>
      <c r="AQ174" s="907">
        <f>AV171*AQ173</f>
        <v>0</v>
      </c>
      <c r="AR174" s="902">
        <f>AR173</f>
        <v>0</v>
      </c>
      <c r="AS174" s="902">
        <f>AQ174*AR174</f>
        <v>0</v>
      </c>
      <c r="AT174" s="1840"/>
      <c r="AU174" s="1841"/>
      <c r="AV174" s="1842"/>
      <c r="AW174" s="1843"/>
      <c r="AX174" s="1843"/>
      <c r="AY174" s="906">
        <f>BD171*AY173</f>
        <v>0</v>
      </c>
      <c r="AZ174" s="29">
        <f>AZ173</f>
        <v>0</v>
      </c>
      <c r="BA174" s="29">
        <f>AY174*AZ174</f>
        <v>0</v>
      </c>
      <c r="BB174" s="1836"/>
      <c r="BC174" s="1837"/>
      <c r="BD174" s="1838"/>
      <c r="BE174" s="1839"/>
      <c r="BF174" s="1839"/>
      <c r="BG174" s="907">
        <f>BL171*BG173</f>
        <v>0</v>
      </c>
      <c r="BH174" s="902">
        <f>BH173</f>
        <v>0</v>
      </c>
      <c r="BI174" s="902">
        <f>BG174*BH174</f>
        <v>0</v>
      </c>
      <c r="BJ174" s="1840"/>
      <c r="BK174" s="1841"/>
      <c r="BL174" s="1842"/>
      <c r="BM174" s="1843"/>
      <c r="BN174" s="1843"/>
      <c r="BO174" s="906">
        <f>BT171*BO173</f>
        <v>0</v>
      </c>
      <c r="BP174" s="29">
        <f>BP173</f>
        <v>0</v>
      </c>
      <c r="BQ174" s="29">
        <f>BO174*BP174</f>
        <v>0</v>
      </c>
      <c r="BR174" s="1836"/>
      <c r="BS174" s="1837"/>
      <c r="BT174" s="1838"/>
      <c r="BU174" s="1839"/>
      <c r="BV174" s="1839"/>
      <c r="BW174" s="907">
        <f>CB171*BW173</f>
        <v>0</v>
      </c>
      <c r="BX174" s="902">
        <f>BX173</f>
        <v>0</v>
      </c>
      <c r="BY174" s="902">
        <f>BW174*BX174</f>
        <v>0</v>
      </c>
      <c r="BZ174" s="1840"/>
      <c r="CA174" s="1841"/>
      <c r="CB174" s="1842"/>
      <c r="CC174" s="1843"/>
      <c r="CD174" s="1843"/>
      <c r="CE174" s="906">
        <f>CJ171*CE173</f>
        <v>0</v>
      </c>
      <c r="CF174" s="29">
        <f>CF173</f>
        <v>0</v>
      </c>
      <c r="CG174" s="29">
        <f>CE174*CF174</f>
        <v>0</v>
      </c>
      <c r="CH174" s="1836"/>
      <c r="CI174" s="1837"/>
      <c r="CJ174" s="1838"/>
      <c r="CK174" s="1839"/>
      <c r="CL174" s="1839"/>
      <c r="CM174" s="907">
        <f>CR171*CM173</f>
        <v>0</v>
      </c>
      <c r="CN174" s="902">
        <f>CN173</f>
        <v>0</v>
      </c>
      <c r="CO174" s="902">
        <f>CM174*CN174</f>
        <v>0</v>
      </c>
      <c r="CP174" s="1840"/>
      <c r="CQ174" s="1841"/>
      <c r="CR174" s="1842"/>
      <c r="CS174" s="1843"/>
      <c r="CT174" s="1843"/>
      <c r="CU174" s="1844"/>
      <c r="CV174" s="1844"/>
      <c r="CW174" s="1845"/>
      <c r="CX174" s="1844"/>
      <c r="CY174" s="1845"/>
      <c r="CZ174" s="1845"/>
      <c r="DA174" s="1845"/>
      <c r="DB174" s="912"/>
    </row>
    <row r="175" spans="1:119" x14ac:dyDescent="0.3">
      <c r="A175" s="1835"/>
      <c r="B175" s="108" t="s">
        <v>254</v>
      </c>
      <c r="C175" s="906">
        <f>C171+C172-C174</f>
        <v>0</v>
      </c>
      <c r="D175" s="29">
        <f>D174</f>
        <v>0</v>
      </c>
      <c r="E175" s="29">
        <f>D175*C175</f>
        <v>0</v>
      </c>
      <c r="F175" s="1836"/>
      <c r="G175" s="1837"/>
      <c r="H175" s="1838"/>
      <c r="I175" s="1839"/>
      <c r="J175" s="1839"/>
      <c r="K175" s="907">
        <f>K171+K172-K174</f>
        <v>0</v>
      </c>
      <c r="L175" s="902">
        <f>L174</f>
        <v>0</v>
      </c>
      <c r="M175" s="902">
        <f>L175*K175</f>
        <v>0</v>
      </c>
      <c r="N175" s="1840"/>
      <c r="O175" s="1841"/>
      <c r="P175" s="1842"/>
      <c r="Q175" s="1843"/>
      <c r="R175" s="1843"/>
      <c r="S175" s="906">
        <f>S171+S172-S174</f>
        <v>0</v>
      </c>
      <c r="T175" s="29">
        <f>T174</f>
        <v>0</v>
      </c>
      <c r="U175" s="29">
        <f>T175*S175</f>
        <v>0</v>
      </c>
      <c r="V175" s="1836"/>
      <c r="W175" s="1837"/>
      <c r="X175" s="1838"/>
      <c r="Y175" s="1839"/>
      <c r="Z175" s="1839"/>
      <c r="AA175" s="907">
        <f>AA171+AA172-AA174</f>
        <v>0</v>
      </c>
      <c r="AB175" s="902">
        <f>AB174</f>
        <v>0</v>
      </c>
      <c r="AC175" s="902">
        <f>AB175*AA175</f>
        <v>0</v>
      </c>
      <c r="AD175" s="1840"/>
      <c r="AE175" s="1841"/>
      <c r="AF175" s="1842"/>
      <c r="AG175" s="1843"/>
      <c r="AH175" s="1843"/>
      <c r="AI175" s="906">
        <f>AI171+AI172-AI174</f>
        <v>0</v>
      </c>
      <c r="AJ175" s="29">
        <f>AJ174</f>
        <v>0</v>
      </c>
      <c r="AK175" s="29">
        <f>AJ175*AI175</f>
        <v>0</v>
      </c>
      <c r="AL175" s="1836"/>
      <c r="AM175" s="1837"/>
      <c r="AN175" s="1838"/>
      <c r="AO175" s="1839"/>
      <c r="AP175" s="1839"/>
      <c r="AQ175" s="907">
        <f>AQ171+AQ172-AQ174</f>
        <v>0</v>
      </c>
      <c r="AR175" s="902">
        <f>AR174</f>
        <v>0</v>
      </c>
      <c r="AS175" s="902">
        <f>AR175*AQ175</f>
        <v>0</v>
      </c>
      <c r="AT175" s="1840"/>
      <c r="AU175" s="1841"/>
      <c r="AV175" s="1842"/>
      <c r="AW175" s="1843"/>
      <c r="AX175" s="1843"/>
      <c r="AY175" s="906">
        <f>AY171+AY172-AY174</f>
        <v>0</v>
      </c>
      <c r="AZ175" s="29">
        <f>AZ174</f>
        <v>0</v>
      </c>
      <c r="BA175" s="29">
        <f>AZ175*AY175</f>
        <v>0</v>
      </c>
      <c r="BB175" s="1836"/>
      <c r="BC175" s="1837"/>
      <c r="BD175" s="1838"/>
      <c r="BE175" s="1839"/>
      <c r="BF175" s="1839"/>
      <c r="BG175" s="907">
        <f>BG171+BG172-BG174</f>
        <v>0</v>
      </c>
      <c r="BH175" s="902">
        <f>BH174</f>
        <v>0</v>
      </c>
      <c r="BI175" s="902">
        <f>BH175*BG175</f>
        <v>0</v>
      </c>
      <c r="BJ175" s="1840"/>
      <c r="BK175" s="1841"/>
      <c r="BL175" s="1842"/>
      <c r="BM175" s="1843"/>
      <c r="BN175" s="1843"/>
      <c r="BO175" s="906">
        <f>BO171+BO172-BO174</f>
        <v>0</v>
      </c>
      <c r="BP175" s="29">
        <f>BP174</f>
        <v>0</v>
      </c>
      <c r="BQ175" s="29">
        <f>BP175*BO175</f>
        <v>0</v>
      </c>
      <c r="BR175" s="1836"/>
      <c r="BS175" s="1837"/>
      <c r="BT175" s="1838"/>
      <c r="BU175" s="1839"/>
      <c r="BV175" s="1839"/>
      <c r="BW175" s="907">
        <f>BW171+BW172-BW174</f>
        <v>0</v>
      </c>
      <c r="BX175" s="902">
        <f>BX174</f>
        <v>0</v>
      </c>
      <c r="BY175" s="902">
        <f>BX175*BW175</f>
        <v>0</v>
      </c>
      <c r="BZ175" s="1840"/>
      <c r="CA175" s="1841"/>
      <c r="CB175" s="1842"/>
      <c r="CC175" s="1843"/>
      <c r="CD175" s="1843"/>
      <c r="CE175" s="906">
        <f>CE171+CE172-CE174</f>
        <v>0</v>
      </c>
      <c r="CF175" s="29">
        <f>CF174</f>
        <v>0</v>
      </c>
      <c r="CG175" s="29">
        <f>CF175*CE175</f>
        <v>0</v>
      </c>
      <c r="CH175" s="1836"/>
      <c r="CI175" s="1837"/>
      <c r="CJ175" s="1838"/>
      <c r="CK175" s="1839"/>
      <c r="CL175" s="1839"/>
      <c r="CM175" s="907">
        <f>CM171+CM172-CM174</f>
        <v>0</v>
      </c>
      <c r="CN175" s="902">
        <f>CN174</f>
        <v>0</v>
      </c>
      <c r="CO175" s="902">
        <f>CN175*CM175</f>
        <v>0</v>
      </c>
      <c r="CP175" s="1840"/>
      <c r="CQ175" s="1841"/>
      <c r="CR175" s="1842"/>
      <c r="CS175" s="1843"/>
      <c r="CT175" s="1843"/>
      <c r="CU175" s="1844"/>
      <c r="CV175" s="1844"/>
      <c r="CW175" s="1845"/>
      <c r="CX175" s="1844"/>
      <c r="CY175" s="1845"/>
      <c r="CZ175" s="1845"/>
      <c r="DA175" s="1845"/>
      <c r="DB175" s="912"/>
    </row>
    <row r="176" spans="1:119" x14ac:dyDescent="0.3">
      <c r="A176" s="1835" t="str">
        <f>A107</f>
        <v>MAIG</v>
      </c>
      <c r="B176" s="108" t="s">
        <v>255</v>
      </c>
      <c r="C176" s="906">
        <f>C175</f>
        <v>0</v>
      </c>
      <c r="D176" s="29">
        <f>D175</f>
        <v>0</v>
      </c>
      <c r="E176" s="29">
        <f>C176*D176</f>
        <v>0</v>
      </c>
      <c r="F176" s="1836">
        <f>E177*$I$3</f>
        <v>0</v>
      </c>
      <c r="G176" s="1837">
        <f>G171</f>
        <v>0</v>
      </c>
      <c r="H176" s="1838">
        <f>H171</f>
        <v>0</v>
      </c>
      <c r="I176" s="1839">
        <f>E179/(1-G176)</f>
        <v>0</v>
      </c>
      <c r="J176" s="1839">
        <f>I176*$F$3</f>
        <v>0</v>
      </c>
      <c r="K176" s="907">
        <f>K175</f>
        <v>0</v>
      </c>
      <c r="L176" s="902">
        <f>L175</f>
        <v>0</v>
      </c>
      <c r="M176" s="902">
        <f>K176*L176</f>
        <v>0</v>
      </c>
      <c r="N176" s="1840">
        <f>M177*$I$4</f>
        <v>0</v>
      </c>
      <c r="O176" s="1841">
        <f>O171</f>
        <v>0</v>
      </c>
      <c r="P176" s="1842">
        <f>P171</f>
        <v>0</v>
      </c>
      <c r="Q176" s="1843">
        <f>M179/(1-O176)</f>
        <v>0</v>
      </c>
      <c r="R176" s="1843">
        <f>Q176*$F$4</f>
        <v>0</v>
      </c>
      <c r="S176" s="906">
        <f>S175</f>
        <v>0</v>
      </c>
      <c r="T176" s="29">
        <f>T175</f>
        <v>0</v>
      </c>
      <c r="U176" s="29">
        <f>S176*T176</f>
        <v>0</v>
      </c>
      <c r="V176" s="1836">
        <f>U177*$I$5</f>
        <v>0</v>
      </c>
      <c r="W176" s="1837">
        <f>W171</f>
        <v>0</v>
      </c>
      <c r="X176" s="1838">
        <f>X171</f>
        <v>0</v>
      </c>
      <c r="Y176" s="1839">
        <f>U179/(1-W176)</f>
        <v>0</v>
      </c>
      <c r="Z176" s="1839">
        <f>Y176*$F$5</f>
        <v>0</v>
      </c>
      <c r="AA176" s="907">
        <f>AA175</f>
        <v>0</v>
      </c>
      <c r="AB176" s="902">
        <f>AB175</f>
        <v>0</v>
      </c>
      <c r="AC176" s="902">
        <f>AA176*AB176</f>
        <v>0</v>
      </c>
      <c r="AD176" s="1840">
        <f>AC177*$I$6</f>
        <v>0</v>
      </c>
      <c r="AE176" s="1841">
        <f>AE171</f>
        <v>0</v>
      </c>
      <c r="AF176" s="1842">
        <f>AF171</f>
        <v>0</v>
      </c>
      <c r="AG176" s="1843">
        <f>AC179/(1-AE176)</f>
        <v>0</v>
      </c>
      <c r="AH176" s="1843">
        <f>AG176*$F$6</f>
        <v>0</v>
      </c>
      <c r="AI176" s="906">
        <f>AI175</f>
        <v>0</v>
      </c>
      <c r="AJ176" s="29">
        <f>AJ175</f>
        <v>0</v>
      </c>
      <c r="AK176" s="29">
        <f>AI176*AJ176</f>
        <v>0</v>
      </c>
      <c r="AL176" s="1836">
        <f>AK177*$I$7</f>
        <v>0</v>
      </c>
      <c r="AM176" s="1837">
        <f>AM171</f>
        <v>0</v>
      </c>
      <c r="AN176" s="1838">
        <f>AN171</f>
        <v>0</v>
      </c>
      <c r="AO176" s="1839">
        <f>AK179/(1-AM176)</f>
        <v>0</v>
      </c>
      <c r="AP176" s="1839">
        <f>AO176*$F$7</f>
        <v>0</v>
      </c>
      <c r="AQ176" s="907">
        <f>AQ175</f>
        <v>0</v>
      </c>
      <c r="AR176" s="902">
        <f>AR175</f>
        <v>0</v>
      </c>
      <c r="AS176" s="902">
        <f>AQ176*AR176</f>
        <v>0</v>
      </c>
      <c r="AT176" s="1840">
        <f>AS177*$I$8</f>
        <v>0</v>
      </c>
      <c r="AU176" s="1841">
        <f>AU171</f>
        <v>0</v>
      </c>
      <c r="AV176" s="1842">
        <f>AV171</f>
        <v>0</v>
      </c>
      <c r="AW176" s="1843">
        <f>AS179/(1-AU176)</f>
        <v>0</v>
      </c>
      <c r="AX176" s="1843">
        <f>AW176*$F$8</f>
        <v>0</v>
      </c>
      <c r="AY176" s="906">
        <f>AY175</f>
        <v>0</v>
      </c>
      <c r="AZ176" s="29">
        <f>AZ175</f>
        <v>0</v>
      </c>
      <c r="BA176" s="29">
        <f>AY176*AZ176</f>
        <v>0</v>
      </c>
      <c r="BB176" s="1836">
        <f>BA177*$I$9</f>
        <v>0</v>
      </c>
      <c r="BC176" s="1837">
        <f>BC171</f>
        <v>0</v>
      </c>
      <c r="BD176" s="1838">
        <f>BD171</f>
        <v>0</v>
      </c>
      <c r="BE176" s="1839">
        <f>BA179/(1-BC176)</f>
        <v>0</v>
      </c>
      <c r="BF176" s="1839">
        <f>BE176*$F$9</f>
        <v>0</v>
      </c>
      <c r="BG176" s="907">
        <f>BG175</f>
        <v>0</v>
      </c>
      <c r="BH176" s="902">
        <f>BH175</f>
        <v>0</v>
      </c>
      <c r="BI176" s="902">
        <f>BG176*BH176</f>
        <v>0</v>
      </c>
      <c r="BJ176" s="1840">
        <f>BI177*$I$10</f>
        <v>0</v>
      </c>
      <c r="BK176" s="1841">
        <f>BK171</f>
        <v>0</v>
      </c>
      <c r="BL176" s="1842">
        <f>BL171</f>
        <v>0</v>
      </c>
      <c r="BM176" s="1843">
        <f>BI179/(1-BK176)</f>
        <v>0</v>
      </c>
      <c r="BN176" s="1843">
        <f>BM176*$F$10</f>
        <v>0</v>
      </c>
      <c r="BO176" s="906">
        <f>BO175</f>
        <v>0</v>
      </c>
      <c r="BP176" s="29">
        <f>BP175</f>
        <v>0</v>
      </c>
      <c r="BQ176" s="29">
        <f>BO176*BP176</f>
        <v>0</v>
      </c>
      <c r="BR176" s="1836">
        <f>BQ177*$I$11</f>
        <v>0</v>
      </c>
      <c r="BS176" s="1837">
        <f>BS171</f>
        <v>0</v>
      </c>
      <c r="BT176" s="1838">
        <f>BT171</f>
        <v>0</v>
      </c>
      <c r="BU176" s="1839">
        <f>BQ179/(1-BS176)</f>
        <v>0</v>
      </c>
      <c r="BV176" s="1839">
        <f>BU176*$F$11</f>
        <v>0</v>
      </c>
      <c r="BW176" s="907">
        <f>BW175</f>
        <v>0</v>
      </c>
      <c r="BX176" s="902">
        <f>BX175</f>
        <v>0</v>
      </c>
      <c r="BY176" s="902">
        <f>BW176*BX176</f>
        <v>0</v>
      </c>
      <c r="BZ176" s="1840">
        <f>BY177*$I$12</f>
        <v>0</v>
      </c>
      <c r="CA176" s="1841">
        <f>CA171</f>
        <v>0</v>
      </c>
      <c r="CB176" s="1842">
        <f>CB171</f>
        <v>0</v>
      </c>
      <c r="CC176" s="1843">
        <f>BY179/(1-CA176)</f>
        <v>0</v>
      </c>
      <c r="CD176" s="1843">
        <f>CC176*$F$12</f>
        <v>0</v>
      </c>
      <c r="CE176" s="906">
        <f>CE175</f>
        <v>0</v>
      </c>
      <c r="CF176" s="29">
        <f>CF175</f>
        <v>0</v>
      </c>
      <c r="CG176" s="29">
        <f>CE176*CF176</f>
        <v>0</v>
      </c>
      <c r="CH176" s="1836">
        <f>CG177*$I$13</f>
        <v>0</v>
      </c>
      <c r="CI176" s="1837">
        <f>CI171</f>
        <v>0</v>
      </c>
      <c r="CJ176" s="1838">
        <f>CJ171</f>
        <v>0</v>
      </c>
      <c r="CK176" s="1839">
        <f>CG179/(1-CI176)</f>
        <v>0</v>
      </c>
      <c r="CL176" s="1839">
        <f>CK176*$F$13</f>
        <v>0</v>
      </c>
      <c r="CM176" s="907">
        <f>CM175</f>
        <v>0</v>
      </c>
      <c r="CN176" s="902">
        <f>CN175</f>
        <v>0</v>
      </c>
      <c r="CO176" s="902">
        <f>CM176*CN176</f>
        <v>0</v>
      </c>
      <c r="CP176" s="1840">
        <f>CO177*$I$14</f>
        <v>0</v>
      </c>
      <c r="CQ176" s="1841">
        <f>CQ171</f>
        <v>0</v>
      </c>
      <c r="CR176" s="1842">
        <f>CR171</f>
        <v>0</v>
      </c>
      <c r="CS176" s="1843">
        <f>CO179/(1-CQ176)</f>
        <v>0</v>
      </c>
      <c r="CT176" s="1843">
        <f>CS176*$F$14</f>
        <v>0</v>
      </c>
      <c r="CU176" s="1844">
        <f>E177+M177+U177+AC177+AK177+AS177+BA177+BI177+BQ177+BY177+CG177+CO177</f>
        <v>0</v>
      </c>
      <c r="CV176" s="1844">
        <f>CP176+CH176+BZ176+BR176+BJ176+BB176+AT176+AL176+AD176+V176+N176+F176</f>
        <v>0</v>
      </c>
      <c r="CW176" s="1845">
        <f>I176+Q176+Y176+AG176+AO176+AW176+BE176+BM176+BU176+CC176+CK176+CS176</f>
        <v>0</v>
      </c>
      <c r="CX176" s="1844">
        <f>CT176+CL176+CD176+BV176+BN176+BF176+AX176+AP176+AH176+Z176+R176+J176</f>
        <v>0</v>
      </c>
      <c r="CY176" s="1845">
        <f>CZ171</f>
        <v>0</v>
      </c>
      <c r="CZ176" s="1845">
        <f>E180+M180+U180+AC180+AK180+AS180+BA180+BI180+BQ180+BY180+CG180+CO180</f>
        <v>0</v>
      </c>
      <c r="DA176" s="1845">
        <f>CZ176-CY176</f>
        <v>0</v>
      </c>
      <c r="DB176" s="914"/>
    </row>
    <row r="177" spans="1:106" x14ac:dyDescent="0.3">
      <c r="A177" s="1835"/>
      <c r="B177" s="108" t="s">
        <v>310</v>
      </c>
      <c r="C177" s="898">
        <f>C172</f>
        <v>0</v>
      </c>
      <c r="D177" s="899">
        <f>D172</f>
        <v>0</v>
      </c>
      <c r="E177" s="29">
        <f>C177*D177</f>
        <v>0</v>
      </c>
      <c r="F177" s="1836"/>
      <c r="G177" s="1837"/>
      <c r="H177" s="1838"/>
      <c r="I177" s="1839"/>
      <c r="J177" s="1839"/>
      <c r="K177" s="900">
        <f>K172</f>
        <v>0</v>
      </c>
      <c r="L177" s="901">
        <f>L172</f>
        <v>0</v>
      </c>
      <c r="M177" s="902">
        <f>K177*L177</f>
        <v>0</v>
      </c>
      <c r="N177" s="1840"/>
      <c r="O177" s="1841"/>
      <c r="P177" s="1842"/>
      <c r="Q177" s="1843"/>
      <c r="R177" s="1843"/>
      <c r="S177" s="898">
        <f>S172</f>
        <v>0</v>
      </c>
      <c r="T177" s="899">
        <f>T172</f>
        <v>0</v>
      </c>
      <c r="U177" s="29">
        <f>S177*T177</f>
        <v>0</v>
      </c>
      <c r="V177" s="1836"/>
      <c r="W177" s="1837"/>
      <c r="X177" s="1838"/>
      <c r="Y177" s="1839"/>
      <c r="Z177" s="1839"/>
      <c r="AA177" s="900">
        <f>AA172</f>
        <v>0</v>
      </c>
      <c r="AB177" s="901">
        <f>AB172</f>
        <v>0</v>
      </c>
      <c r="AC177" s="902">
        <f>AA177*AB177</f>
        <v>0</v>
      </c>
      <c r="AD177" s="1840"/>
      <c r="AE177" s="1841"/>
      <c r="AF177" s="1842"/>
      <c r="AG177" s="1843"/>
      <c r="AH177" s="1843"/>
      <c r="AI177" s="898">
        <f>AI172</f>
        <v>0</v>
      </c>
      <c r="AJ177" s="899">
        <f>AJ172</f>
        <v>0</v>
      </c>
      <c r="AK177" s="29">
        <f>AI177*AJ177</f>
        <v>0</v>
      </c>
      <c r="AL177" s="1836"/>
      <c r="AM177" s="1837"/>
      <c r="AN177" s="1838"/>
      <c r="AO177" s="1839"/>
      <c r="AP177" s="1839"/>
      <c r="AQ177" s="900">
        <f>AQ172</f>
        <v>0</v>
      </c>
      <c r="AR177" s="901">
        <f>AR172</f>
        <v>0</v>
      </c>
      <c r="AS177" s="902">
        <f>AQ177*AR177</f>
        <v>0</v>
      </c>
      <c r="AT177" s="1840"/>
      <c r="AU177" s="1841"/>
      <c r="AV177" s="1842"/>
      <c r="AW177" s="1843"/>
      <c r="AX177" s="1843"/>
      <c r="AY177" s="898">
        <f>AY172</f>
        <v>0</v>
      </c>
      <c r="AZ177" s="899">
        <f>AZ172</f>
        <v>0</v>
      </c>
      <c r="BA177" s="29">
        <f>AY177*AZ177</f>
        <v>0</v>
      </c>
      <c r="BB177" s="1836"/>
      <c r="BC177" s="1837"/>
      <c r="BD177" s="1838"/>
      <c r="BE177" s="1839"/>
      <c r="BF177" s="1839"/>
      <c r="BG177" s="900">
        <f>BG172</f>
        <v>0</v>
      </c>
      <c r="BH177" s="901">
        <f>BH172</f>
        <v>0</v>
      </c>
      <c r="BI177" s="902">
        <f>BG177*BH177</f>
        <v>0</v>
      </c>
      <c r="BJ177" s="1840"/>
      <c r="BK177" s="1841"/>
      <c r="BL177" s="1842"/>
      <c r="BM177" s="1843"/>
      <c r="BN177" s="1843"/>
      <c r="BO177" s="898">
        <f>BO172</f>
        <v>0</v>
      </c>
      <c r="BP177" s="899">
        <f>BP172</f>
        <v>0</v>
      </c>
      <c r="BQ177" s="29">
        <f>BO177*BP177</f>
        <v>0</v>
      </c>
      <c r="BR177" s="1836"/>
      <c r="BS177" s="1837"/>
      <c r="BT177" s="1838"/>
      <c r="BU177" s="1839"/>
      <c r="BV177" s="1839"/>
      <c r="BW177" s="900">
        <f>BW172</f>
        <v>0</v>
      </c>
      <c r="BX177" s="901">
        <f>BX172</f>
        <v>0</v>
      </c>
      <c r="BY177" s="902">
        <f>BW177*BX177</f>
        <v>0</v>
      </c>
      <c r="BZ177" s="1840"/>
      <c r="CA177" s="1841"/>
      <c r="CB177" s="1842"/>
      <c r="CC177" s="1843"/>
      <c r="CD177" s="1843"/>
      <c r="CE177" s="898">
        <f>CE172</f>
        <v>0</v>
      </c>
      <c r="CF177" s="899">
        <f>CF172</f>
        <v>0</v>
      </c>
      <c r="CG177" s="29">
        <f>CE177*CF177</f>
        <v>0</v>
      </c>
      <c r="CH177" s="1836"/>
      <c r="CI177" s="1837"/>
      <c r="CJ177" s="1838"/>
      <c r="CK177" s="1839"/>
      <c r="CL177" s="1839"/>
      <c r="CM177" s="900">
        <f>CM172</f>
        <v>0</v>
      </c>
      <c r="CN177" s="901">
        <f>CN172</f>
        <v>0</v>
      </c>
      <c r="CO177" s="902">
        <f>CM177*CN177</f>
        <v>0</v>
      </c>
      <c r="CP177" s="1840"/>
      <c r="CQ177" s="1841"/>
      <c r="CR177" s="1842"/>
      <c r="CS177" s="1843"/>
      <c r="CT177" s="1843"/>
      <c r="CU177" s="1844"/>
      <c r="CV177" s="1844"/>
      <c r="CW177" s="1845"/>
      <c r="CX177" s="1844"/>
      <c r="CY177" s="1845"/>
      <c r="CZ177" s="1845"/>
      <c r="DA177" s="1845"/>
      <c r="DB177" s="912"/>
    </row>
    <row r="178" spans="1:106" ht="12.75" hidden="1" customHeight="1" x14ac:dyDescent="0.3">
      <c r="A178" s="1835"/>
      <c r="B178" s="108" t="s">
        <v>315</v>
      </c>
      <c r="C178" s="906">
        <f>C177+C176</f>
        <v>0</v>
      </c>
      <c r="D178" s="29">
        <f>IF(C178=0,0,E178/C178)</f>
        <v>0</v>
      </c>
      <c r="E178" s="29">
        <f>E177+E176</f>
        <v>0</v>
      </c>
      <c r="F178" s="1836"/>
      <c r="G178" s="1837"/>
      <c r="H178" s="1838"/>
      <c r="I178" s="1839"/>
      <c r="J178" s="1839"/>
      <c r="K178" s="907">
        <f>K177+K176</f>
        <v>0</v>
      </c>
      <c r="L178" s="902">
        <f>IF(K178=0,0,M178/K178)</f>
        <v>0</v>
      </c>
      <c r="M178" s="902">
        <f>M177+M176</f>
        <v>0</v>
      </c>
      <c r="N178" s="1840"/>
      <c r="O178" s="1841"/>
      <c r="P178" s="1842"/>
      <c r="Q178" s="1843"/>
      <c r="R178" s="1843"/>
      <c r="S178" s="906">
        <f>S177+S176</f>
        <v>0</v>
      </c>
      <c r="T178" s="29">
        <f>IF(S178=0,0,U178/S178)</f>
        <v>0</v>
      </c>
      <c r="U178" s="29">
        <f>U177+U176</f>
        <v>0</v>
      </c>
      <c r="V178" s="1836"/>
      <c r="W178" s="1837"/>
      <c r="X178" s="1838"/>
      <c r="Y178" s="1839"/>
      <c r="Z178" s="1839"/>
      <c r="AA178" s="907">
        <f>AA177+AA176</f>
        <v>0</v>
      </c>
      <c r="AB178" s="902">
        <f>IF(AA178=0,0,AC178/AA178)</f>
        <v>0</v>
      </c>
      <c r="AC178" s="902">
        <f>AC177+AC176</f>
        <v>0</v>
      </c>
      <c r="AD178" s="1840"/>
      <c r="AE178" s="1841"/>
      <c r="AF178" s="1842"/>
      <c r="AG178" s="1843"/>
      <c r="AH178" s="1843"/>
      <c r="AI178" s="906">
        <f>AI177+AI176</f>
        <v>0</v>
      </c>
      <c r="AJ178" s="29">
        <f>IF(AI178=0,0,AK178/AI178)</f>
        <v>0</v>
      </c>
      <c r="AK178" s="29">
        <f>AK177+AK176</f>
        <v>0</v>
      </c>
      <c r="AL178" s="1836"/>
      <c r="AM178" s="1837"/>
      <c r="AN178" s="1838"/>
      <c r="AO178" s="1839"/>
      <c r="AP178" s="1839"/>
      <c r="AQ178" s="907">
        <f>AQ177+AQ176</f>
        <v>0</v>
      </c>
      <c r="AR178" s="902">
        <f>IF(AQ178=0,0,AS178/AQ178)</f>
        <v>0</v>
      </c>
      <c r="AS178" s="902">
        <f>AS177+AS176</f>
        <v>0</v>
      </c>
      <c r="AT178" s="1840"/>
      <c r="AU178" s="1841"/>
      <c r="AV178" s="1842"/>
      <c r="AW178" s="1843"/>
      <c r="AX178" s="1843"/>
      <c r="AY178" s="906">
        <f>AY177+AY176</f>
        <v>0</v>
      </c>
      <c r="AZ178" s="29">
        <f>IF(AY178=0,0,BA178/AY178)</f>
        <v>0</v>
      </c>
      <c r="BA178" s="29">
        <f>BA177+BA176</f>
        <v>0</v>
      </c>
      <c r="BB178" s="1836"/>
      <c r="BC178" s="1837"/>
      <c r="BD178" s="1838"/>
      <c r="BE178" s="1839"/>
      <c r="BF178" s="1839"/>
      <c r="BG178" s="907">
        <f>BG177+BG176</f>
        <v>0</v>
      </c>
      <c r="BH178" s="902">
        <f>IF(BG178=0,0,BI178/BG178)</f>
        <v>0</v>
      </c>
      <c r="BI178" s="902">
        <f>BI177+BI176</f>
        <v>0</v>
      </c>
      <c r="BJ178" s="1840"/>
      <c r="BK178" s="1841"/>
      <c r="BL178" s="1842"/>
      <c r="BM178" s="1843"/>
      <c r="BN178" s="1843"/>
      <c r="BO178" s="906">
        <f>BO177+BO176</f>
        <v>0</v>
      </c>
      <c r="BP178" s="29">
        <f>IF(BO178=0,0,BQ178/BO178)</f>
        <v>0</v>
      </c>
      <c r="BQ178" s="29">
        <f>BQ177+BQ176</f>
        <v>0</v>
      </c>
      <c r="BR178" s="1836"/>
      <c r="BS178" s="1837"/>
      <c r="BT178" s="1838"/>
      <c r="BU178" s="1839"/>
      <c r="BV178" s="1839"/>
      <c r="BW178" s="907">
        <f>BW177+BW176</f>
        <v>0</v>
      </c>
      <c r="BX178" s="902">
        <f>IF(BW178=0,0,BY178/BW178)</f>
        <v>0</v>
      </c>
      <c r="BY178" s="902">
        <f>BY177+BY176</f>
        <v>0</v>
      </c>
      <c r="BZ178" s="1840"/>
      <c r="CA178" s="1841"/>
      <c r="CB178" s="1842"/>
      <c r="CC178" s="1843"/>
      <c r="CD178" s="1843"/>
      <c r="CE178" s="906">
        <f>CE177+CE176</f>
        <v>0</v>
      </c>
      <c r="CF178" s="29">
        <f>IF(CE178=0,0,CG178/CE178)</f>
        <v>0</v>
      </c>
      <c r="CG178" s="29">
        <f>CG177+CG176</f>
        <v>0</v>
      </c>
      <c r="CH178" s="1836"/>
      <c r="CI178" s="1837"/>
      <c r="CJ178" s="1838"/>
      <c r="CK178" s="1839"/>
      <c r="CL178" s="1839"/>
      <c r="CM178" s="907">
        <f>CM177+CM176</f>
        <v>0</v>
      </c>
      <c r="CN178" s="902">
        <f>IF(CM178=0,0,CO178/CM178)</f>
        <v>0</v>
      </c>
      <c r="CO178" s="902">
        <f>CO177+CO176</f>
        <v>0</v>
      </c>
      <c r="CP178" s="1840"/>
      <c r="CQ178" s="1841"/>
      <c r="CR178" s="1842"/>
      <c r="CS178" s="1843"/>
      <c r="CT178" s="1843"/>
      <c r="CU178" s="1844"/>
      <c r="CV178" s="1844"/>
      <c r="CW178" s="1845"/>
      <c r="CX178" s="1844"/>
      <c r="CY178" s="1845"/>
      <c r="CZ178" s="1845"/>
      <c r="DA178" s="1845"/>
      <c r="DB178" s="912"/>
    </row>
    <row r="179" spans="1:106" x14ac:dyDescent="0.3">
      <c r="A179" s="1835"/>
      <c r="B179" s="108" t="s">
        <v>312</v>
      </c>
      <c r="C179" s="906">
        <f>H176*C178</f>
        <v>0</v>
      </c>
      <c r="D179" s="29">
        <f>D178</f>
        <v>0</v>
      </c>
      <c r="E179" s="29">
        <f>C179*D179</f>
        <v>0</v>
      </c>
      <c r="F179" s="1836"/>
      <c r="G179" s="1837"/>
      <c r="H179" s="1838"/>
      <c r="I179" s="1839"/>
      <c r="J179" s="1839"/>
      <c r="K179" s="907">
        <f>P176*K178</f>
        <v>0</v>
      </c>
      <c r="L179" s="902">
        <f>L178</f>
        <v>0</v>
      </c>
      <c r="M179" s="902">
        <f>K179*L179</f>
        <v>0</v>
      </c>
      <c r="N179" s="1840"/>
      <c r="O179" s="1841"/>
      <c r="P179" s="1842"/>
      <c r="Q179" s="1843"/>
      <c r="R179" s="1843"/>
      <c r="S179" s="906">
        <f>X176*S178</f>
        <v>0</v>
      </c>
      <c r="T179" s="29">
        <f>T178</f>
        <v>0</v>
      </c>
      <c r="U179" s="29">
        <f>S179*T179</f>
        <v>0</v>
      </c>
      <c r="V179" s="1836"/>
      <c r="W179" s="1837"/>
      <c r="X179" s="1838"/>
      <c r="Y179" s="1839"/>
      <c r="Z179" s="1839"/>
      <c r="AA179" s="907">
        <f>AF176*AA178</f>
        <v>0</v>
      </c>
      <c r="AB179" s="902">
        <f>AB178</f>
        <v>0</v>
      </c>
      <c r="AC179" s="902">
        <f>AA179*AB179</f>
        <v>0</v>
      </c>
      <c r="AD179" s="1840"/>
      <c r="AE179" s="1841"/>
      <c r="AF179" s="1842"/>
      <c r="AG179" s="1843"/>
      <c r="AH179" s="1843"/>
      <c r="AI179" s="906">
        <f>AN176*AI178</f>
        <v>0</v>
      </c>
      <c r="AJ179" s="29">
        <f>AJ178</f>
        <v>0</v>
      </c>
      <c r="AK179" s="29">
        <f>AI179*AJ179</f>
        <v>0</v>
      </c>
      <c r="AL179" s="1836"/>
      <c r="AM179" s="1837"/>
      <c r="AN179" s="1838"/>
      <c r="AO179" s="1839"/>
      <c r="AP179" s="1839"/>
      <c r="AQ179" s="907">
        <f>AV176*AQ178</f>
        <v>0</v>
      </c>
      <c r="AR179" s="902">
        <f>AR178</f>
        <v>0</v>
      </c>
      <c r="AS179" s="902">
        <f>AQ179*AR179</f>
        <v>0</v>
      </c>
      <c r="AT179" s="1840"/>
      <c r="AU179" s="1841"/>
      <c r="AV179" s="1842"/>
      <c r="AW179" s="1843"/>
      <c r="AX179" s="1843"/>
      <c r="AY179" s="906">
        <f>BD176*AY178</f>
        <v>0</v>
      </c>
      <c r="AZ179" s="29">
        <f>AZ178</f>
        <v>0</v>
      </c>
      <c r="BA179" s="29">
        <f>AY179*AZ179</f>
        <v>0</v>
      </c>
      <c r="BB179" s="1836"/>
      <c r="BC179" s="1837"/>
      <c r="BD179" s="1838"/>
      <c r="BE179" s="1839"/>
      <c r="BF179" s="1839"/>
      <c r="BG179" s="907">
        <f>BL176*BG178</f>
        <v>0</v>
      </c>
      <c r="BH179" s="902">
        <f>BH178</f>
        <v>0</v>
      </c>
      <c r="BI179" s="902">
        <f>BG179*BH179</f>
        <v>0</v>
      </c>
      <c r="BJ179" s="1840"/>
      <c r="BK179" s="1841"/>
      <c r="BL179" s="1842"/>
      <c r="BM179" s="1843"/>
      <c r="BN179" s="1843"/>
      <c r="BO179" s="906">
        <f>BT176*BO178</f>
        <v>0</v>
      </c>
      <c r="BP179" s="29">
        <f>BP178</f>
        <v>0</v>
      </c>
      <c r="BQ179" s="29">
        <f>BO179*BP179</f>
        <v>0</v>
      </c>
      <c r="BR179" s="1836"/>
      <c r="BS179" s="1837"/>
      <c r="BT179" s="1838"/>
      <c r="BU179" s="1839"/>
      <c r="BV179" s="1839"/>
      <c r="BW179" s="907">
        <f>CB176*BW178</f>
        <v>0</v>
      </c>
      <c r="BX179" s="902">
        <f>BX178</f>
        <v>0</v>
      </c>
      <c r="BY179" s="902">
        <f>BW179*BX179</f>
        <v>0</v>
      </c>
      <c r="BZ179" s="1840"/>
      <c r="CA179" s="1841"/>
      <c r="CB179" s="1842"/>
      <c r="CC179" s="1843"/>
      <c r="CD179" s="1843"/>
      <c r="CE179" s="906">
        <f>CJ176*CE178</f>
        <v>0</v>
      </c>
      <c r="CF179" s="29">
        <f>CF178</f>
        <v>0</v>
      </c>
      <c r="CG179" s="29">
        <f>CE179*CF179</f>
        <v>0</v>
      </c>
      <c r="CH179" s="1836"/>
      <c r="CI179" s="1837"/>
      <c r="CJ179" s="1838"/>
      <c r="CK179" s="1839"/>
      <c r="CL179" s="1839"/>
      <c r="CM179" s="907">
        <f>CR176*CM178</f>
        <v>0</v>
      </c>
      <c r="CN179" s="902">
        <f>CN178</f>
        <v>0</v>
      </c>
      <c r="CO179" s="902">
        <f>CM179*CN179</f>
        <v>0</v>
      </c>
      <c r="CP179" s="1840"/>
      <c r="CQ179" s="1841"/>
      <c r="CR179" s="1842"/>
      <c r="CS179" s="1843"/>
      <c r="CT179" s="1843"/>
      <c r="CU179" s="1844"/>
      <c r="CV179" s="1844"/>
      <c r="CW179" s="1845"/>
      <c r="CX179" s="1844"/>
      <c r="CY179" s="1845"/>
      <c r="CZ179" s="1845"/>
      <c r="DA179" s="1845"/>
      <c r="DB179" s="912"/>
    </row>
    <row r="180" spans="1:106" x14ac:dyDescent="0.3">
      <c r="A180" s="1835"/>
      <c r="B180" s="108" t="s">
        <v>254</v>
      </c>
      <c r="C180" s="906">
        <f>C176+C177-C179</f>
        <v>0</v>
      </c>
      <c r="D180" s="29">
        <f>D179</f>
        <v>0</v>
      </c>
      <c r="E180" s="29">
        <f>D180*C180</f>
        <v>0</v>
      </c>
      <c r="F180" s="1836"/>
      <c r="G180" s="1837"/>
      <c r="H180" s="1838"/>
      <c r="I180" s="1839"/>
      <c r="J180" s="1839"/>
      <c r="K180" s="907">
        <f>K176+K177-K179</f>
        <v>0</v>
      </c>
      <c r="L180" s="902">
        <f>L179</f>
        <v>0</v>
      </c>
      <c r="M180" s="902">
        <f>L180*K180</f>
        <v>0</v>
      </c>
      <c r="N180" s="1840"/>
      <c r="O180" s="1841"/>
      <c r="P180" s="1842"/>
      <c r="Q180" s="1843"/>
      <c r="R180" s="1843"/>
      <c r="S180" s="906">
        <f>S176+S177-S179</f>
        <v>0</v>
      </c>
      <c r="T180" s="29">
        <f>T179</f>
        <v>0</v>
      </c>
      <c r="U180" s="29">
        <f>T180*S180</f>
        <v>0</v>
      </c>
      <c r="V180" s="1836"/>
      <c r="W180" s="1837"/>
      <c r="X180" s="1838"/>
      <c r="Y180" s="1839"/>
      <c r="Z180" s="1839"/>
      <c r="AA180" s="907">
        <f>AA176+AA177-AA179</f>
        <v>0</v>
      </c>
      <c r="AB180" s="902">
        <f>AB179</f>
        <v>0</v>
      </c>
      <c r="AC180" s="902">
        <f>AB180*AA180</f>
        <v>0</v>
      </c>
      <c r="AD180" s="1840"/>
      <c r="AE180" s="1841"/>
      <c r="AF180" s="1842"/>
      <c r="AG180" s="1843"/>
      <c r="AH180" s="1843"/>
      <c r="AI180" s="906">
        <f>AI176+AI177-AI179</f>
        <v>0</v>
      </c>
      <c r="AJ180" s="29">
        <f>AJ179</f>
        <v>0</v>
      </c>
      <c r="AK180" s="29">
        <f>AJ180*AI180</f>
        <v>0</v>
      </c>
      <c r="AL180" s="1836"/>
      <c r="AM180" s="1837"/>
      <c r="AN180" s="1838"/>
      <c r="AO180" s="1839"/>
      <c r="AP180" s="1839"/>
      <c r="AQ180" s="907">
        <f>AQ176+AQ177-AQ179</f>
        <v>0</v>
      </c>
      <c r="AR180" s="902">
        <f>AR179</f>
        <v>0</v>
      </c>
      <c r="AS180" s="902">
        <f>AR180*AQ180</f>
        <v>0</v>
      </c>
      <c r="AT180" s="1840"/>
      <c r="AU180" s="1841"/>
      <c r="AV180" s="1842"/>
      <c r="AW180" s="1843"/>
      <c r="AX180" s="1843"/>
      <c r="AY180" s="906">
        <f>AY176+AY177-AY179</f>
        <v>0</v>
      </c>
      <c r="AZ180" s="29">
        <f>AZ179</f>
        <v>0</v>
      </c>
      <c r="BA180" s="29">
        <f>AZ180*AY180</f>
        <v>0</v>
      </c>
      <c r="BB180" s="1836"/>
      <c r="BC180" s="1837"/>
      <c r="BD180" s="1838"/>
      <c r="BE180" s="1839"/>
      <c r="BF180" s="1839"/>
      <c r="BG180" s="907">
        <f>BG176+BG177-BG179</f>
        <v>0</v>
      </c>
      <c r="BH180" s="902">
        <f>BH179</f>
        <v>0</v>
      </c>
      <c r="BI180" s="902">
        <f>BH180*BG180</f>
        <v>0</v>
      </c>
      <c r="BJ180" s="1840"/>
      <c r="BK180" s="1841"/>
      <c r="BL180" s="1842"/>
      <c r="BM180" s="1843"/>
      <c r="BN180" s="1843"/>
      <c r="BO180" s="906">
        <f>BO176+BO177-BO179</f>
        <v>0</v>
      </c>
      <c r="BP180" s="29">
        <f>BP179</f>
        <v>0</v>
      </c>
      <c r="BQ180" s="29">
        <f>BP180*BO180</f>
        <v>0</v>
      </c>
      <c r="BR180" s="1836"/>
      <c r="BS180" s="1837"/>
      <c r="BT180" s="1838"/>
      <c r="BU180" s="1839"/>
      <c r="BV180" s="1839"/>
      <c r="BW180" s="907">
        <f>BW176+BW177-BW179</f>
        <v>0</v>
      </c>
      <c r="BX180" s="902">
        <f>BX179</f>
        <v>0</v>
      </c>
      <c r="BY180" s="902">
        <f>BX180*BW180</f>
        <v>0</v>
      </c>
      <c r="BZ180" s="1840"/>
      <c r="CA180" s="1841"/>
      <c r="CB180" s="1842"/>
      <c r="CC180" s="1843"/>
      <c r="CD180" s="1843"/>
      <c r="CE180" s="906">
        <f>CE176+CE177-CE179</f>
        <v>0</v>
      </c>
      <c r="CF180" s="29">
        <f>CF179</f>
        <v>0</v>
      </c>
      <c r="CG180" s="29">
        <f>CF180*CE180</f>
        <v>0</v>
      </c>
      <c r="CH180" s="1836"/>
      <c r="CI180" s="1837"/>
      <c r="CJ180" s="1838"/>
      <c r="CK180" s="1839"/>
      <c r="CL180" s="1839"/>
      <c r="CM180" s="907">
        <f>CM176+CM177-CM179</f>
        <v>0</v>
      </c>
      <c r="CN180" s="902">
        <f>CN179</f>
        <v>0</v>
      </c>
      <c r="CO180" s="902">
        <f>CN180*CM180</f>
        <v>0</v>
      </c>
      <c r="CP180" s="1840"/>
      <c r="CQ180" s="1841"/>
      <c r="CR180" s="1842"/>
      <c r="CS180" s="1843"/>
      <c r="CT180" s="1843"/>
      <c r="CU180" s="1844"/>
      <c r="CV180" s="1844"/>
      <c r="CW180" s="1845"/>
      <c r="CX180" s="1844"/>
      <c r="CY180" s="1845"/>
      <c r="CZ180" s="1845"/>
      <c r="DA180" s="1845"/>
      <c r="DB180" s="912"/>
    </row>
    <row r="181" spans="1:106" x14ac:dyDescent="0.3">
      <c r="A181" s="1835" t="str">
        <f>A112</f>
        <v>JUNY</v>
      </c>
      <c r="B181" s="108" t="s">
        <v>255</v>
      </c>
      <c r="C181" s="906">
        <f>C180</f>
        <v>0</v>
      </c>
      <c r="D181" s="29">
        <f>D180</f>
        <v>0</v>
      </c>
      <c r="E181" s="29">
        <f>C181*D181</f>
        <v>0</v>
      </c>
      <c r="F181" s="1836">
        <f>E182*$I$3</f>
        <v>0</v>
      </c>
      <c r="G181" s="1837">
        <f>G176</f>
        <v>0</v>
      </c>
      <c r="H181" s="1838">
        <f>H176</f>
        <v>0</v>
      </c>
      <c r="I181" s="1839">
        <f>E184/(1-G181)</f>
        <v>0</v>
      </c>
      <c r="J181" s="1839">
        <f>I181*$F$3</f>
        <v>0</v>
      </c>
      <c r="K181" s="907">
        <f>K180</f>
        <v>0</v>
      </c>
      <c r="L181" s="902">
        <f>L180</f>
        <v>0</v>
      </c>
      <c r="M181" s="902">
        <f>K181*L181</f>
        <v>0</v>
      </c>
      <c r="N181" s="1840">
        <f>M182*$I$4</f>
        <v>0</v>
      </c>
      <c r="O181" s="1841">
        <f>O176</f>
        <v>0</v>
      </c>
      <c r="P181" s="1842">
        <f>P176</f>
        <v>0</v>
      </c>
      <c r="Q181" s="1843">
        <f>M184/(1-O181)</f>
        <v>0</v>
      </c>
      <c r="R181" s="1843">
        <f>Q181*$F$4</f>
        <v>0</v>
      </c>
      <c r="S181" s="906">
        <f>S180</f>
        <v>0</v>
      </c>
      <c r="T181" s="29">
        <f>T180</f>
        <v>0</v>
      </c>
      <c r="U181" s="29">
        <f>S181*T181</f>
        <v>0</v>
      </c>
      <c r="V181" s="1836">
        <f>U182*$I$5</f>
        <v>0</v>
      </c>
      <c r="W181" s="1837">
        <f>W176</f>
        <v>0</v>
      </c>
      <c r="X181" s="1838">
        <f>X176</f>
        <v>0</v>
      </c>
      <c r="Y181" s="1839">
        <f>U184/(1-W181)</f>
        <v>0</v>
      </c>
      <c r="Z181" s="1839">
        <f>Y181*$F$5</f>
        <v>0</v>
      </c>
      <c r="AA181" s="907">
        <f>AA180</f>
        <v>0</v>
      </c>
      <c r="AB181" s="902">
        <f>AB180</f>
        <v>0</v>
      </c>
      <c r="AC181" s="902">
        <f>AA181*AB181</f>
        <v>0</v>
      </c>
      <c r="AD181" s="1840">
        <f>AC182*$I$6</f>
        <v>0</v>
      </c>
      <c r="AE181" s="1841">
        <f>AE176</f>
        <v>0</v>
      </c>
      <c r="AF181" s="1842">
        <f>AF176</f>
        <v>0</v>
      </c>
      <c r="AG181" s="1843">
        <f>AC184/(1-AE181)</f>
        <v>0</v>
      </c>
      <c r="AH181" s="1843">
        <f>AG181*$F$6</f>
        <v>0</v>
      </c>
      <c r="AI181" s="906">
        <f>AI180</f>
        <v>0</v>
      </c>
      <c r="AJ181" s="29">
        <f>AJ180</f>
        <v>0</v>
      </c>
      <c r="AK181" s="29">
        <f>AI181*AJ181</f>
        <v>0</v>
      </c>
      <c r="AL181" s="1836">
        <f>AK182*$I$7</f>
        <v>0</v>
      </c>
      <c r="AM181" s="1837">
        <f>AM176</f>
        <v>0</v>
      </c>
      <c r="AN181" s="1838">
        <f>AN176</f>
        <v>0</v>
      </c>
      <c r="AO181" s="1839">
        <f>AK184/(1-AM181)</f>
        <v>0</v>
      </c>
      <c r="AP181" s="1839">
        <f>AO181*$F$7</f>
        <v>0</v>
      </c>
      <c r="AQ181" s="907">
        <f>AQ180</f>
        <v>0</v>
      </c>
      <c r="AR181" s="902">
        <f>AR180</f>
        <v>0</v>
      </c>
      <c r="AS181" s="902">
        <f>AQ181*AR181</f>
        <v>0</v>
      </c>
      <c r="AT181" s="1840">
        <f>AS182*$I$8</f>
        <v>0</v>
      </c>
      <c r="AU181" s="1841">
        <f>AU176</f>
        <v>0</v>
      </c>
      <c r="AV181" s="1842">
        <f>AV176</f>
        <v>0</v>
      </c>
      <c r="AW181" s="1843">
        <f>AS184/(1-AU181)</f>
        <v>0</v>
      </c>
      <c r="AX181" s="1843">
        <f>AW181*$F$8</f>
        <v>0</v>
      </c>
      <c r="AY181" s="906">
        <f>AY180</f>
        <v>0</v>
      </c>
      <c r="AZ181" s="29">
        <f>AZ180</f>
        <v>0</v>
      </c>
      <c r="BA181" s="29">
        <f>AY181*AZ181</f>
        <v>0</v>
      </c>
      <c r="BB181" s="1836">
        <f>BA182*$I$9</f>
        <v>0</v>
      </c>
      <c r="BC181" s="1837">
        <f>BC176</f>
        <v>0</v>
      </c>
      <c r="BD181" s="1838">
        <f>BD176</f>
        <v>0</v>
      </c>
      <c r="BE181" s="1839">
        <f>BA184/(1-BC181)</f>
        <v>0</v>
      </c>
      <c r="BF181" s="1839">
        <f>BE181*$F$9</f>
        <v>0</v>
      </c>
      <c r="BG181" s="907">
        <f>BG180</f>
        <v>0</v>
      </c>
      <c r="BH181" s="902">
        <f>BH180</f>
        <v>0</v>
      </c>
      <c r="BI181" s="902">
        <f>BG181*BH181</f>
        <v>0</v>
      </c>
      <c r="BJ181" s="1840">
        <f>BI182*$I$10</f>
        <v>0</v>
      </c>
      <c r="BK181" s="1841">
        <f>BK176</f>
        <v>0</v>
      </c>
      <c r="BL181" s="1842">
        <f>BL176</f>
        <v>0</v>
      </c>
      <c r="BM181" s="1843">
        <f>BI184/(1-BK181)</f>
        <v>0</v>
      </c>
      <c r="BN181" s="1843">
        <f>BM181*$F$10</f>
        <v>0</v>
      </c>
      <c r="BO181" s="906">
        <f>BO180</f>
        <v>0</v>
      </c>
      <c r="BP181" s="29">
        <f>BP180</f>
        <v>0</v>
      </c>
      <c r="BQ181" s="29">
        <f>BO181*BP181</f>
        <v>0</v>
      </c>
      <c r="BR181" s="1836">
        <f>BQ182*$I$11</f>
        <v>0</v>
      </c>
      <c r="BS181" s="1837">
        <f>BS176</f>
        <v>0</v>
      </c>
      <c r="BT181" s="1838">
        <f>BT176</f>
        <v>0</v>
      </c>
      <c r="BU181" s="1839">
        <f>BQ184/(1-BS181)</f>
        <v>0</v>
      </c>
      <c r="BV181" s="1839">
        <f>BU181*$F$11</f>
        <v>0</v>
      </c>
      <c r="BW181" s="907">
        <f>BW180</f>
        <v>0</v>
      </c>
      <c r="BX181" s="902">
        <f>BX180</f>
        <v>0</v>
      </c>
      <c r="BY181" s="902">
        <f>BW181*BX181</f>
        <v>0</v>
      </c>
      <c r="BZ181" s="1840">
        <f>BY182*$I$12</f>
        <v>0</v>
      </c>
      <c r="CA181" s="1841">
        <f>CA176</f>
        <v>0</v>
      </c>
      <c r="CB181" s="1842">
        <f>CB176</f>
        <v>0</v>
      </c>
      <c r="CC181" s="1843">
        <f>BY184/(1-CA181)</f>
        <v>0</v>
      </c>
      <c r="CD181" s="1843">
        <f>CC181*$F$12</f>
        <v>0</v>
      </c>
      <c r="CE181" s="906">
        <f>CE180</f>
        <v>0</v>
      </c>
      <c r="CF181" s="29">
        <f>CF180</f>
        <v>0</v>
      </c>
      <c r="CG181" s="29">
        <f>CE181*CF181</f>
        <v>0</v>
      </c>
      <c r="CH181" s="1836">
        <f>CG182*$I$13</f>
        <v>0</v>
      </c>
      <c r="CI181" s="1837">
        <f>CI176</f>
        <v>0</v>
      </c>
      <c r="CJ181" s="1838">
        <f>CJ176</f>
        <v>0</v>
      </c>
      <c r="CK181" s="1839">
        <f>CG184/(1-CI181)</f>
        <v>0</v>
      </c>
      <c r="CL181" s="1839">
        <f>CK181*$F$13</f>
        <v>0</v>
      </c>
      <c r="CM181" s="907">
        <f>CM180</f>
        <v>0</v>
      </c>
      <c r="CN181" s="902">
        <f>CN180</f>
        <v>0</v>
      </c>
      <c r="CO181" s="902">
        <f>CM181*CN181</f>
        <v>0</v>
      </c>
      <c r="CP181" s="1840">
        <f>CO182*$I$14</f>
        <v>0</v>
      </c>
      <c r="CQ181" s="1841">
        <f>CQ176</f>
        <v>0</v>
      </c>
      <c r="CR181" s="1842">
        <f>CR176</f>
        <v>0</v>
      </c>
      <c r="CS181" s="1843">
        <f>CO184/(1-CQ181)</f>
        <v>0</v>
      </c>
      <c r="CT181" s="1843">
        <f>CS181*$F$14</f>
        <v>0</v>
      </c>
      <c r="CU181" s="1844">
        <f>E182+M182+U182+AC182+AK182+AS182+BA182+BI182+BQ182+BY182+CG182+CO182</f>
        <v>0</v>
      </c>
      <c r="CV181" s="1844">
        <f>CP181+CH181+BZ181+BR181+BJ181+BB181+AT181+AL181+AD181+V181+N181+F181</f>
        <v>0</v>
      </c>
      <c r="CW181" s="1845">
        <f>I181+Q181+Y181+AG181+AO181+AW181+BE181+BM181+BU181+CC181+CK181+CS181</f>
        <v>0</v>
      </c>
      <c r="CX181" s="1844">
        <f>CT181+CL181+CD181+BV181+BN181+BF181+AX181+AP181+AH181+Z181+R181+J181</f>
        <v>0</v>
      </c>
      <c r="CY181" s="1845">
        <f>CZ176</f>
        <v>0</v>
      </c>
      <c r="CZ181" s="1845">
        <f>E185+M185+U185+AC185+AK185+AS185+BA185+BI185+BQ185+BY185+CG185+CO185</f>
        <v>0</v>
      </c>
      <c r="DA181" s="1845">
        <f>CZ181-CY181</f>
        <v>0</v>
      </c>
      <c r="DB181" s="914"/>
    </row>
    <row r="182" spans="1:106" x14ac:dyDescent="0.3">
      <c r="A182" s="1835"/>
      <c r="B182" s="108" t="s">
        <v>310</v>
      </c>
      <c r="C182" s="898">
        <f>C177</f>
        <v>0</v>
      </c>
      <c r="D182" s="899">
        <f>D177</f>
        <v>0</v>
      </c>
      <c r="E182" s="29">
        <f>C182*D182</f>
        <v>0</v>
      </c>
      <c r="F182" s="1836"/>
      <c r="G182" s="1837"/>
      <c r="H182" s="1838"/>
      <c r="I182" s="1839"/>
      <c r="J182" s="1839"/>
      <c r="K182" s="900">
        <f>K177</f>
        <v>0</v>
      </c>
      <c r="L182" s="901">
        <f>L177</f>
        <v>0</v>
      </c>
      <c r="M182" s="902">
        <f>K182*L182</f>
        <v>0</v>
      </c>
      <c r="N182" s="1840"/>
      <c r="O182" s="1841"/>
      <c r="P182" s="1842"/>
      <c r="Q182" s="1843"/>
      <c r="R182" s="1843"/>
      <c r="S182" s="898">
        <f>S177</f>
        <v>0</v>
      </c>
      <c r="T182" s="899">
        <f>T177</f>
        <v>0</v>
      </c>
      <c r="U182" s="29">
        <f>S182*T182</f>
        <v>0</v>
      </c>
      <c r="V182" s="1836"/>
      <c r="W182" s="1837"/>
      <c r="X182" s="1838"/>
      <c r="Y182" s="1839"/>
      <c r="Z182" s="1839"/>
      <c r="AA182" s="900">
        <f>AA177</f>
        <v>0</v>
      </c>
      <c r="AB182" s="901">
        <f>AB177</f>
        <v>0</v>
      </c>
      <c r="AC182" s="902">
        <f>AA182*AB182</f>
        <v>0</v>
      </c>
      <c r="AD182" s="1840"/>
      <c r="AE182" s="1841"/>
      <c r="AF182" s="1842"/>
      <c r="AG182" s="1843"/>
      <c r="AH182" s="1843"/>
      <c r="AI182" s="898">
        <f>AI177</f>
        <v>0</v>
      </c>
      <c r="AJ182" s="899">
        <f>AJ177</f>
        <v>0</v>
      </c>
      <c r="AK182" s="29">
        <f>AI182*AJ182</f>
        <v>0</v>
      </c>
      <c r="AL182" s="1836"/>
      <c r="AM182" s="1837"/>
      <c r="AN182" s="1838"/>
      <c r="AO182" s="1839"/>
      <c r="AP182" s="1839"/>
      <c r="AQ182" s="900">
        <f>AQ177</f>
        <v>0</v>
      </c>
      <c r="AR182" s="901">
        <f>AR177</f>
        <v>0</v>
      </c>
      <c r="AS182" s="902">
        <f>AQ182*AR182</f>
        <v>0</v>
      </c>
      <c r="AT182" s="1840"/>
      <c r="AU182" s="1841"/>
      <c r="AV182" s="1842"/>
      <c r="AW182" s="1843"/>
      <c r="AX182" s="1843"/>
      <c r="AY182" s="898">
        <f>AY177</f>
        <v>0</v>
      </c>
      <c r="AZ182" s="899">
        <f>AZ177</f>
        <v>0</v>
      </c>
      <c r="BA182" s="29">
        <f>AY182*AZ182</f>
        <v>0</v>
      </c>
      <c r="BB182" s="1836"/>
      <c r="BC182" s="1837"/>
      <c r="BD182" s="1838"/>
      <c r="BE182" s="1839"/>
      <c r="BF182" s="1839"/>
      <c r="BG182" s="900">
        <f>BG177</f>
        <v>0</v>
      </c>
      <c r="BH182" s="901">
        <f>BH177</f>
        <v>0</v>
      </c>
      <c r="BI182" s="902">
        <f>BG182*BH182</f>
        <v>0</v>
      </c>
      <c r="BJ182" s="1840"/>
      <c r="BK182" s="1841"/>
      <c r="BL182" s="1842"/>
      <c r="BM182" s="1843"/>
      <c r="BN182" s="1843"/>
      <c r="BO182" s="898">
        <f>BO177</f>
        <v>0</v>
      </c>
      <c r="BP182" s="899">
        <f>BP177</f>
        <v>0</v>
      </c>
      <c r="BQ182" s="29">
        <f>BO182*BP182</f>
        <v>0</v>
      </c>
      <c r="BR182" s="1836"/>
      <c r="BS182" s="1837"/>
      <c r="BT182" s="1838"/>
      <c r="BU182" s="1839"/>
      <c r="BV182" s="1839"/>
      <c r="BW182" s="900">
        <f>BW177</f>
        <v>0</v>
      </c>
      <c r="BX182" s="901">
        <f>BX177</f>
        <v>0</v>
      </c>
      <c r="BY182" s="902">
        <f>BW182*BX182</f>
        <v>0</v>
      </c>
      <c r="BZ182" s="1840"/>
      <c r="CA182" s="1841"/>
      <c r="CB182" s="1842"/>
      <c r="CC182" s="1843"/>
      <c r="CD182" s="1843"/>
      <c r="CE182" s="898">
        <f>CE177</f>
        <v>0</v>
      </c>
      <c r="CF182" s="899">
        <f>CF177</f>
        <v>0</v>
      </c>
      <c r="CG182" s="29">
        <f>CE182*CF182</f>
        <v>0</v>
      </c>
      <c r="CH182" s="1836"/>
      <c r="CI182" s="1837"/>
      <c r="CJ182" s="1838"/>
      <c r="CK182" s="1839"/>
      <c r="CL182" s="1839"/>
      <c r="CM182" s="900">
        <f>CM177</f>
        <v>0</v>
      </c>
      <c r="CN182" s="901">
        <f>CN177</f>
        <v>0</v>
      </c>
      <c r="CO182" s="902">
        <f>CM182*CN182</f>
        <v>0</v>
      </c>
      <c r="CP182" s="1840"/>
      <c r="CQ182" s="1841"/>
      <c r="CR182" s="1842"/>
      <c r="CS182" s="1843"/>
      <c r="CT182" s="1843"/>
      <c r="CU182" s="1844"/>
      <c r="CV182" s="1844"/>
      <c r="CW182" s="1845"/>
      <c r="CX182" s="1844"/>
      <c r="CY182" s="1845"/>
      <c r="CZ182" s="1845"/>
      <c r="DA182" s="1845"/>
      <c r="DB182" s="912"/>
    </row>
    <row r="183" spans="1:106" ht="12.75" hidden="1" customHeight="1" x14ac:dyDescent="0.3">
      <c r="A183" s="1835"/>
      <c r="B183" s="108" t="s">
        <v>315</v>
      </c>
      <c r="C183" s="906">
        <f>C182+C181</f>
        <v>0</v>
      </c>
      <c r="D183" s="29">
        <f>IF(C183=0,0,E183/C183)</f>
        <v>0</v>
      </c>
      <c r="E183" s="29">
        <f>E182+E181</f>
        <v>0</v>
      </c>
      <c r="F183" s="1836"/>
      <c r="G183" s="1837"/>
      <c r="H183" s="1838"/>
      <c r="I183" s="1839"/>
      <c r="J183" s="1839"/>
      <c r="K183" s="907">
        <f>K182+K181</f>
        <v>0</v>
      </c>
      <c r="L183" s="902">
        <f>IF(K183=0,0,M183/K183)</f>
        <v>0</v>
      </c>
      <c r="M183" s="902">
        <f>M182+M181</f>
        <v>0</v>
      </c>
      <c r="N183" s="1840"/>
      <c r="O183" s="1841"/>
      <c r="P183" s="1842"/>
      <c r="Q183" s="1843"/>
      <c r="R183" s="1843"/>
      <c r="S183" s="906">
        <f>S182+S181</f>
        <v>0</v>
      </c>
      <c r="T183" s="29">
        <f>IF(S183=0,0,U183/S183)</f>
        <v>0</v>
      </c>
      <c r="U183" s="29">
        <f>U182+U181</f>
        <v>0</v>
      </c>
      <c r="V183" s="1836"/>
      <c r="W183" s="1837"/>
      <c r="X183" s="1838"/>
      <c r="Y183" s="1839"/>
      <c r="Z183" s="1839"/>
      <c r="AA183" s="907">
        <f>AA182+AA181</f>
        <v>0</v>
      </c>
      <c r="AB183" s="902">
        <f>IF(AA183=0,0,AC183/AA183)</f>
        <v>0</v>
      </c>
      <c r="AC183" s="902">
        <f>AC182+AC181</f>
        <v>0</v>
      </c>
      <c r="AD183" s="1840"/>
      <c r="AE183" s="1841"/>
      <c r="AF183" s="1842"/>
      <c r="AG183" s="1843"/>
      <c r="AH183" s="1843"/>
      <c r="AI183" s="906">
        <f>AI182+AI181</f>
        <v>0</v>
      </c>
      <c r="AJ183" s="29">
        <f>IF(AI183=0,0,AK183/AI183)</f>
        <v>0</v>
      </c>
      <c r="AK183" s="29">
        <f>AK182+AK181</f>
        <v>0</v>
      </c>
      <c r="AL183" s="1836"/>
      <c r="AM183" s="1837"/>
      <c r="AN183" s="1838"/>
      <c r="AO183" s="1839"/>
      <c r="AP183" s="1839"/>
      <c r="AQ183" s="907">
        <f>AQ182+AQ181</f>
        <v>0</v>
      </c>
      <c r="AR183" s="902">
        <f>IF(AQ183=0,0,AS183/AQ183)</f>
        <v>0</v>
      </c>
      <c r="AS183" s="902">
        <f>AS182+AS181</f>
        <v>0</v>
      </c>
      <c r="AT183" s="1840"/>
      <c r="AU183" s="1841"/>
      <c r="AV183" s="1842"/>
      <c r="AW183" s="1843"/>
      <c r="AX183" s="1843"/>
      <c r="AY183" s="906">
        <f>AY182+AY181</f>
        <v>0</v>
      </c>
      <c r="AZ183" s="29">
        <f>IF(AY183=0,0,BA183/AY183)</f>
        <v>0</v>
      </c>
      <c r="BA183" s="29">
        <f>BA182+BA181</f>
        <v>0</v>
      </c>
      <c r="BB183" s="1836"/>
      <c r="BC183" s="1837"/>
      <c r="BD183" s="1838"/>
      <c r="BE183" s="1839"/>
      <c r="BF183" s="1839"/>
      <c r="BG183" s="907">
        <f>BG182+BG181</f>
        <v>0</v>
      </c>
      <c r="BH183" s="902">
        <f>IF(BG183=0,0,BI183/BG183)</f>
        <v>0</v>
      </c>
      <c r="BI183" s="902">
        <f>BI182+BI181</f>
        <v>0</v>
      </c>
      <c r="BJ183" s="1840"/>
      <c r="BK183" s="1841"/>
      <c r="BL183" s="1842"/>
      <c r="BM183" s="1843"/>
      <c r="BN183" s="1843"/>
      <c r="BO183" s="906">
        <f>BO182+BO181</f>
        <v>0</v>
      </c>
      <c r="BP183" s="29">
        <f>IF(BO183=0,0,BQ183/BO183)</f>
        <v>0</v>
      </c>
      <c r="BQ183" s="29">
        <f>BQ182+BQ181</f>
        <v>0</v>
      </c>
      <c r="BR183" s="1836"/>
      <c r="BS183" s="1837"/>
      <c r="BT183" s="1838"/>
      <c r="BU183" s="1839"/>
      <c r="BV183" s="1839"/>
      <c r="BW183" s="907">
        <f>BW182+BW181</f>
        <v>0</v>
      </c>
      <c r="BX183" s="902">
        <f>IF(BW183=0,0,BY183/BW183)</f>
        <v>0</v>
      </c>
      <c r="BY183" s="902">
        <f>BY182+BY181</f>
        <v>0</v>
      </c>
      <c r="BZ183" s="1840"/>
      <c r="CA183" s="1841"/>
      <c r="CB183" s="1842"/>
      <c r="CC183" s="1843"/>
      <c r="CD183" s="1843"/>
      <c r="CE183" s="906">
        <f>CE182+CE181</f>
        <v>0</v>
      </c>
      <c r="CF183" s="29">
        <f>IF(CE183=0,0,CG183/CE183)</f>
        <v>0</v>
      </c>
      <c r="CG183" s="29">
        <f>CG182+CG181</f>
        <v>0</v>
      </c>
      <c r="CH183" s="1836"/>
      <c r="CI183" s="1837"/>
      <c r="CJ183" s="1838"/>
      <c r="CK183" s="1839"/>
      <c r="CL183" s="1839"/>
      <c r="CM183" s="907">
        <f>CM182+CM181</f>
        <v>0</v>
      </c>
      <c r="CN183" s="902">
        <f>IF(CM183=0,0,CO183/CM183)</f>
        <v>0</v>
      </c>
      <c r="CO183" s="902">
        <f>CO182+CO181</f>
        <v>0</v>
      </c>
      <c r="CP183" s="1840"/>
      <c r="CQ183" s="1841"/>
      <c r="CR183" s="1842"/>
      <c r="CS183" s="1843"/>
      <c r="CT183" s="1843"/>
      <c r="CU183" s="1844"/>
      <c r="CV183" s="1844"/>
      <c r="CW183" s="1845"/>
      <c r="CX183" s="1844"/>
      <c r="CY183" s="1845"/>
      <c r="CZ183" s="1845"/>
      <c r="DA183" s="1845"/>
      <c r="DB183" s="912"/>
    </row>
    <row r="184" spans="1:106" x14ac:dyDescent="0.3">
      <c r="A184" s="1835"/>
      <c r="B184" s="108" t="s">
        <v>312</v>
      </c>
      <c r="C184" s="906">
        <f>H181*C183</f>
        <v>0</v>
      </c>
      <c r="D184" s="29">
        <f>D183</f>
        <v>0</v>
      </c>
      <c r="E184" s="29">
        <f>C184*D184</f>
        <v>0</v>
      </c>
      <c r="F184" s="1836"/>
      <c r="G184" s="1837"/>
      <c r="H184" s="1838"/>
      <c r="I184" s="1839"/>
      <c r="J184" s="1839"/>
      <c r="K184" s="907">
        <f>P181*K183</f>
        <v>0</v>
      </c>
      <c r="L184" s="902">
        <f>L183</f>
        <v>0</v>
      </c>
      <c r="M184" s="902">
        <f>K184*L184</f>
        <v>0</v>
      </c>
      <c r="N184" s="1840"/>
      <c r="O184" s="1841"/>
      <c r="P184" s="1842"/>
      <c r="Q184" s="1843"/>
      <c r="R184" s="1843"/>
      <c r="S184" s="906">
        <f>X181*S183</f>
        <v>0</v>
      </c>
      <c r="T184" s="29">
        <f>T183</f>
        <v>0</v>
      </c>
      <c r="U184" s="29">
        <f>S184*T184</f>
        <v>0</v>
      </c>
      <c r="V184" s="1836"/>
      <c r="W184" s="1837"/>
      <c r="X184" s="1838"/>
      <c r="Y184" s="1839"/>
      <c r="Z184" s="1839"/>
      <c r="AA184" s="907">
        <f>AF181*AA183</f>
        <v>0</v>
      </c>
      <c r="AB184" s="902">
        <f>AB183</f>
        <v>0</v>
      </c>
      <c r="AC184" s="902">
        <f>AA184*AB184</f>
        <v>0</v>
      </c>
      <c r="AD184" s="1840"/>
      <c r="AE184" s="1841"/>
      <c r="AF184" s="1842"/>
      <c r="AG184" s="1843"/>
      <c r="AH184" s="1843"/>
      <c r="AI184" s="906">
        <f>AN181*AI183</f>
        <v>0</v>
      </c>
      <c r="AJ184" s="29">
        <f>AJ183</f>
        <v>0</v>
      </c>
      <c r="AK184" s="29">
        <f>AI184*AJ184</f>
        <v>0</v>
      </c>
      <c r="AL184" s="1836"/>
      <c r="AM184" s="1837"/>
      <c r="AN184" s="1838"/>
      <c r="AO184" s="1839"/>
      <c r="AP184" s="1839"/>
      <c r="AQ184" s="907">
        <f>AV181*AQ183</f>
        <v>0</v>
      </c>
      <c r="AR184" s="902">
        <f>AR183</f>
        <v>0</v>
      </c>
      <c r="AS184" s="902">
        <f>AQ184*AR184</f>
        <v>0</v>
      </c>
      <c r="AT184" s="1840"/>
      <c r="AU184" s="1841"/>
      <c r="AV184" s="1842"/>
      <c r="AW184" s="1843"/>
      <c r="AX184" s="1843"/>
      <c r="AY184" s="906">
        <f>BD181*AY183</f>
        <v>0</v>
      </c>
      <c r="AZ184" s="29">
        <f>AZ183</f>
        <v>0</v>
      </c>
      <c r="BA184" s="29">
        <f>AY184*AZ184</f>
        <v>0</v>
      </c>
      <c r="BB184" s="1836"/>
      <c r="BC184" s="1837"/>
      <c r="BD184" s="1838"/>
      <c r="BE184" s="1839"/>
      <c r="BF184" s="1839"/>
      <c r="BG184" s="907">
        <f>BL181*BG183</f>
        <v>0</v>
      </c>
      <c r="BH184" s="902">
        <f>BH183</f>
        <v>0</v>
      </c>
      <c r="BI184" s="902">
        <f>BG184*BH184</f>
        <v>0</v>
      </c>
      <c r="BJ184" s="1840"/>
      <c r="BK184" s="1841"/>
      <c r="BL184" s="1842"/>
      <c r="BM184" s="1843"/>
      <c r="BN184" s="1843"/>
      <c r="BO184" s="906">
        <f>BT181*BO183</f>
        <v>0</v>
      </c>
      <c r="BP184" s="29">
        <f>BP183</f>
        <v>0</v>
      </c>
      <c r="BQ184" s="29">
        <f>BO184*BP184</f>
        <v>0</v>
      </c>
      <c r="BR184" s="1836"/>
      <c r="BS184" s="1837"/>
      <c r="BT184" s="1838"/>
      <c r="BU184" s="1839"/>
      <c r="BV184" s="1839"/>
      <c r="BW184" s="907">
        <f>CB181*BW183</f>
        <v>0</v>
      </c>
      <c r="BX184" s="902">
        <f>BX183</f>
        <v>0</v>
      </c>
      <c r="BY184" s="902">
        <f>BW184*BX184</f>
        <v>0</v>
      </c>
      <c r="BZ184" s="1840"/>
      <c r="CA184" s="1841"/>
      <c r="CB184" s="1842"/>
      <c r="CC184" s="1843"/>
      <c r="CD184" s="1843"/>
      <c r="CE184" s="906">
        <f>CJ181*CE183</f>
        <v>0</v>
      </c>
      <c r="CF184" s="29">
        <f>CF183</f>
        <v>0</v>
      </c>
      <c r="CG184" s="29">
        <f>CE184*CF184</f>
        <v>0</v>
      </c>
      <c r="CH184" s="1836"/>
      <c r="CI184" s="1837"/>
      <c r="CJ184" s="1838"/>
      <c r="CK184" s="1839"/>
      <c r="CL184" s="1839"/>
      <c r="CM184" s="907">
        <f>CR181*CM183</f>
        <v>0</v>
      </c>
      <c r="CN184" s="902">
        <f>CN183</f>
        <v>0</v>
      </c>
      <c r="CO184" s="902">
        <f>CM184*CN184</f>
        <v>0</v>
      </c>
      <c r="CP184" s="1840"/>
      <c r="CQ184" s="1841"/>
      <c r="CR184" s="1842"/>
      <c r="CS184" s="1843"/>
      <c r="CT184" s="1843"/>
      <c r="CU184" s="1844"/>
      <c r="CV184" s="1844"/>
      <c r="CW184" s="1845"/>
      <c r="CX184" s="1844"/>
      <c r="CY184" s="1845"/>
      <c r="CZ184" s="1845"/>
      <c r="DA184" s="1845"/>
      <c r="DB184" s="912"/>
    </row>
    <row r="185" spans="1:106" x14ac:dyDescent="0.3">
      <c r="A185" s="1835"/>
      <c r="B185" s="108" t="s">
        <v>254</v>
      </c>
      <c r="C185" s="906">
        <f>C181+C182-C184</f>
        <v>0</v>
      </c>
      <c r="D185" s="29">
        <f>D184</f>
        <v>0</v>
      </c>
      <c r="E185" s="29">
        <f>D185*C185</f>
        <v>0</v>
      </c>
      <c r="F185" s="1836"/>
      <c r="G185" s="1837"/>
      <c r="H185" s="1838"/>
      <c r="I185" s="1839"/>
      <c r="J185" s="1839"/>
      <c r="K185" s="907">
        <f>K181+K182-K184</f>
        <v>0</v>
      </c>
      <c r="L185" s="902">
        <f>L184</f>
        <v>0</v>
      </c>
      <c r="M185" s="902">
        <f>L185*K185</f>
        <v>0</v>
      </c>
      <c r="N185" s="1840"/>
      <c r="O185" s="1841"/>
      <c r="P185" s="1842"/>
      <c r="Q185" s="1843"/>
      <c r="R185" s="1843"/>
      <c r="S185" s="906">
        <f>S181+S182-S184</f>
        <v>0</v>
      </c>
      <c r="T185" s="29">
        <f>T184</f>
        <v>0</v>
      </c>
      <c r="U185" s="29">
        <f>T185*S185</f>
        <v>0</v>
      </c>
      <c r="V185" s="1836"/>
      <c r="W185" s="1837"/>
      <c r="X185" s="1838"/>
      <c r="Y185" s="1839"/>
      <c r="Z185" s="1839"/>
      <c r="AA185" s="907">
        <f>AA181+AA182-AA184</f>
        <v>0</v>
      </c>
      <c r="AB185" s="902">
        <f>AB184</f>
        <v>0</v>
      </c>
      <c r="AC185" s="902">
        <f>AB185*AA185</f>
        <v>0</v>
      </c>
      <c r="AD185" s="1840"/>
      <c r="AE185" s="1841"/>
      <c r="AF185" s="1842"/>
      <c r="AG185" s="1843"/>
      <c r="AH185" s="1843"/>
      <c r="AI185" s="906">
        <f>AI181+AI182-AI184</f>
        <v>0</v>
      </c>
      <c r="AJ185" s="29">
        <f>AJ184</f>
        <v>0</v>
      </c>
      <c r="AK185" s="29">
        <f>AJ185*AI185</f>
        <v>0</v>
      </c>
      <c r="AL185" s="1836"/>
      <c r="AM185" s="1837"/>
      <c r="AN185" s="1838"/>
      <c r="AO185" s="1839"/>
      <c r="AP185" s="1839"/>
      <c r="AQ185" s="907">
        <f>AQ181+AQ182-AQ184</f>
        <v>0</v>
      </c>
      <c r="AR185" s="902">
        <f>AR184</f>
        <v>0</v>
      </c>
      <c r="AS185" s="902">
        <f>AR185*AQ185</f>
        <v>0</v>
      </c>
      <c r="AT185" s="1840"/>
      <c r="AU185" s="1841"/>
      <c r="AV185" s="1842"/>
      <c r="AW185" s="1843"/>
      <c r="AX185" s="1843"/>
      <c r="AY185" s="906">
        <f>AY181+AY182-AY184</f>
        <v>0</v>
      </c>
      <c r="AZ185" s="29">
        <f>AZ184</f>
        <v>0</v>
      </c>
      <c r="BA185" s="29">
        <f>AZ185*AY185</f>
        <v>0</v>
      </c>
      <c r="BB185" s="1836"/>
      <c r="BC185" s="1837"/>
      <c r="BD185" s="1838"/>
      <c r="BE185" s="1839"/>
      <c r="BF185" s="1839"/>
      <c r="BG185" s="907">
        <f>BG181+BG182-BG184</f>
        <v>0</v>
      </c>
      <c r="BH185" s="902">
        <f>BH184</f>
        <v>0</v>
      </c>
      <c r="BI185" s="902">
        <f>BH185*BG185</f>
        <v>0</v>
      </c>
      <c r="BJ185" s="1840"/>
      <c r="BK185" s="1841"/>
      <c r="BL185" s="1842"/>
      <c r="BM185" s="1843"/>
      <c r="BN185" s="1843"/>
      <c r="BO185" s="906">
        <f>BO181+BO182-BO184</f>
        <v>0</v>
      </c>
      <c r="BP185" s="29">
        <f>BP184</f>
        <v>0</v>
      </c>
      <c r="BQ185" s="29">
        <f>BP185*BO185</f>
        <v>0</v>
      </c>
      <c r="BR185" s="1836"/>
      <c r="BS185" s="1837"/>
      <c r="BT185" s="1838"/>
      <c r="BU185" s="1839"/>
      <c r="BV185" s="1839"/>
      <c r="BW185" s="907">
        <f>BW181+BW182-BW184</f>
        <v>0</v>
      </c>
      <c r="BX185" s="902">
        <f>BX184</f>
        <v>0</v>
      </c>
      <c r="BY185" s="902">
        <f>BX185*BW185</f>
        <v>0</v>
      </c>
      <c r="BZ185" s="1840"/>
      <c r="CA185" s="1841"/>
      <c r="CB185" s="1842"/>
      <c r="CC185" s="1843"/>
      <c r="CD185" s="1843"/>
      <c r="CE185" s="906">
        <f>CE181+CE182-CE184</f>
        <v>0</v>
      </c>
      <c r="CF185" s="29">
        <f>CF184</f>
        <v>0</v>
      </c>
      <c r="CG185" s="29">
        <f>CF185*CE185</f>
        <v>0</v>
      </c>
      <c r="CH185" s="1836"/>
      <c r="CI185" s="1837"/>
      <c r="CJ185" s="1838"/>
      <c r="CK185" s="1839"/>
      <c r="CL185" s="1839"/>
      <c r="CM185" s="907">
        <f>CM181+CM182-CM184</f>
        <v>0</v>
      </c>
      <c r="CN185" s="902">
        <f>CN184</f>
        <v>0</v>
      </c>
      <c r="CO185" s="902">
        <f>CN185*CM185</f>
        <v>0</v>
      </c>
      <c r="CP185" s="1840"/>
      <c r="CQ185" s="1841"/>
      <c r="CR185" s="1842"/>
      <c r="CS185" s="1843"/>
      <c r="CT185" s="1843"/>
      <c r="CU185" s="1844"/>
      <c r="CV185" s="1844"/>
      <c r="CW185" s="1845"/>
      <c r="CX185" s="1844"/>
      <c r="CY185" s="1845"/>
      <c r="CZ185" s="1845"/>
      <c r="DA185" s="1845"/>
      <c r="DB185" s="912"/>
    </row>
    <row r="186" spans="1:106" x14ac:dyDescent="0.3">
      <c r="A186" s="1835" t="str">
        <f>A117</f>
        <v>JULIOL</v>
      </c>
      <c r="B186" s="108" t="s">
        <v>255</v>
      </c>
      <c r="C186" s="906">
        <f>C185</f>
        <v>0</v>
      </c>
      <c r="D186" s="29">
        <f>D185</f>
        <v>0</v>
      </c>
      <c r="E186" s="29">
        <f>C186*D186</f>
        <v>0</v>
      </c>
      <c r="F186" s="1836">
        <f>E187*$I$3</f>
        <v>0</v>
      </c>
      <c r="G186" s="1837">
        <f>G181</f>
        <v>0</v>
      </c>
      <c r="H186" s="1838">
        <f>H181</f>
        <v>0</v>
      </c>
      <c r="I186" s="1839">
        <f>E189/(1-G186)</f>
        <v>0</v>
      </c>
      <c r="J186" s="1839">
        <f>I186*$F$3</f>
        <v>0</v>
      </c>
      <c r="K186" s="907">
        <f>K185</f>
        <v>0</v>
      </c>
      <c r="L186" s="902">
        <f>L185</f>
        <v>0</v>
      </c>
      <c r="M186" s="902">
        <f>K186*L186</f>
        <v>0</v>
      </c>
      <c r="N186" s="1840">
        <f>M187*$I$4</f>
        <v>0</v>
      </c>
      <c r="O186" s="1841">
        <f>O181</f>
        <v>0</v>
      </c>
      <c r="P186" s="1842">
        <f>P181</f>
        <v>0</v>
      </c>
      <c r="Q186" s="1843">
        <f>M189/(1-O186)</f>
        <v>0</v>
      </c>
      <c r="R186" s="1843">
        <f>Q186*$F$4</f>
        <v>0</v>
      </c>
      <c r="S186" s="906">
        <f>S185</f>
        <v>0</v>
      </c>
      <c r="T186" s="29">
        <f>T185</f>
        <v>0</v>
      </c>
      <c r="U186" s="29">
        <f>S186*T186</f>
        <v>0</v>
      </c>
      <c r="V186" s="1836">
        <f>U187*$I$5</f>
        <v>0</v>
      </c>
      <c r="W186" s="1837">
        <f>W181</f>
        <v>0</v>
      </c>
      <c r="X186" s="1838">
        <f>X181</f>
        <v>0</v>
      </c>
      <c r="Y186" s="1839">
        <f>U189/(1-W186)</f>
        <v>0</v>
      </c>
      <c r="Z186" s="1839">
        <f>Y186*$F$5</f>
        <v>0</v>
      </c>
      <c r="AA186" s="907">
        <f>AA185</f>
        <v>0</v>
      </c>
      <c r="AB186" s="902">
        <f>AB185</f>
        <v>0</v>
      </c>
      <c r="AC186" s="902">
        <f>AA186*AB186</f>
        <v>0</v>
      </c>
      <c r="AD186" s="1840">
        <f>AC187*$I$6</f>
        <v>0</v>
      </c>
      <c r="AE186" s="1841">
        <f>AE181</f>
        <v>0</v>
      </c>
      <c r="AF186" s="1842">
        <f>AF181</f>
        <v>0</v>
      </c>
      <c r="AG186" s="1843">
        <f>AC189/(1-AE186)</f>
        <v>0</v>
      </c>
      <c r="AH186" s="1843">
        <f>AG186*$F$6</f>
        <v>0</v>
      </c>
      <c r="AI186" s="906">
        <f>AI185</f>
        <v>0</v>
      </c>
      <c r="AJ186" s="29">
        <f>AJ185</f>
        <v>0</v>
      </c>
      <c r="AK186" s="29">
        <f>AI186*AJ186</f>
        <v>0</v>
      </c>
      <c r="AL186" s="1836">
        <f>AK187*$I$7</f>
        <v>0</v>
      </c>
      <c r="AM186" s="1837">
        <f>AM181</f>
        <v>0</v>
      </c>
      <c r="AN186" s="1838">
        <f>AN181</f>
        <v>0</v>
      </c>
      <c r="AO186" s="1839">
        <f>AK189/(1-AM186)</f>
        <v>0</v>
      </c>
      <c r="AP186" s="1839">
        <f>AO186*$F$7</f>
        <v>0</v>
      </c>
      <c r="AQ186" s="907">
        <f>AQ185</f>
        <v>0</v>
      </c>
      <c r="AR186" s="902">
        <f>AR185</f>
        <v>0</v>
      </c>
      <c r="AS186" s="902">
        <f>AQ186*AR186</f>
        <v>0</v>
      </c>
      <c r="AT186" s="1840">
        <f>AS187*$I$8</f>
        <v>0</v>
      </c>
      <c r="AU186" s="1841">
        <f>AU181</f>
        <v>0</v>
      </c>
      <c r="AV186" s="1842">
        <f>AV181</f>
        <v>0</v>
      </c>
      <c r="AW186" s="1843">
        <f>AS189/(1-AU186)</f>
        <v>0</v>
      </c>
      <c r="AX186" s="1843">
        <f>AW186*$F$8</f>
        <v>0</v>
      </c>
      <c r="AY186" s="906">
        <f>AY185</f>
        <v>0</v>
      </c>
      <c r="AZ186" s="29">
        <f>AZ185</f>
        <v>0</v>
      </c>
      <c r="BA186" s="29">
        <f>AY186*AZ186</f>
        <v>0</v>
      </c>
      <c r="BB186" s="1836">
        <f>BA187*$I$9</f>
        <v>0</v>
      </c>
      <c r="BC186" s="1837">
        <f>BC181</f>
        <v>0</v>
      </c>
      <c r="BD186" s="1838">
        <f>BD181</f>
        <v>0</v>
      </c>
      <c r="BE186" s="1839">
        <f>BA189/(1-BC186)</f>
        <v>0</v>
      </c>
      <c r="BF186" s="1839">
        <f>BE186*$F$9</f>
        <v>0</v>
      </c>
      <c r="BG186" s="907">
        <f>BG185</f>
        <v>0</v>
      </c>
      <c r="BH186" s="902">
        <f>BH185</f>
        <v>0</v>
      </c>
      <c r="BI186" s="902">
        <f>BG186*BH186</f>
        <v>0</v>
      </c>
      <c r="BJ186" s="1840">
        <f>BI187*$I$10</f>
        <v>0</v>
      </c>
      <c r="BK186" s="1841">
        <f>BK181</f>
        <v>0</v>
      </c>
      <c r="BL186" s="1842">
        <f>BL181</f>
        <v>0</v>
      </c>
      <c r="BM186" s="1843">
        <f>BI189/(1-BK186)</f>
        <v>0</v>
      </c>
      <c r="BN186" s="1843">
        <f>BM186*$F$10</f>
        <v>0</v>
      </c>
      <c r="BO186" s="906">
        <f>BO185</f>
        <v>0</v>
      </c>
      <c r="BP186" s="29">
        <f>BP185</f>
        <v>0</v>
      </c>
      <c r="BQ186" s="29">
        <f>BO186*BP186</f>
        <v>0</v>
      </c>
      <c r="BR186" s="1836">
        <f>BQ187*$I$11</f>
        <v>0</v>
      </c>
      <c r="BS186" s="1837">
        <f>BS181</f>
        <v>0</v>
      </c>
      <c r="BT186" s="1838">
        <f>BT181</f>
        <v>0</v>
      </c>
      <c r="BU186" s="1839">
        <f>BQ189/(1-BS186)</f>
        <v>0</v>
      </c>
      <c r="BV186" s="1839">
        <f>BU186*$F$11</f>
        <v>0</v>
      </c>
      <c r="BW186" s="907">
        <f>BW185</f>
        <v>0</v>
      </c>
      <c r="BX186" s="902">
        <f>BX185</f>
        <v>0</v>
      </c>
      <c r="BY186" s="902">
        <f>BW186*BX186</f>
        <v>0</v>
      </c>
      <c r="BZ186" s="1840">
        <f>BY187*$I$12</f>
        <v>0</v>
      </c>
      <c r="CA186" s="1841">
        <f>CA181</f>
        <v>0</v>
      </c>
      <c r="CB186" s="1842">
        <f>CB181</f>
        <v>0</v>
      </c>
      <c r="CC186" s="1843">
        <f>BY189/(1-CA186)</f>
        <v>0</v>
      </c>
      <c r="CD186" s="1843">
        <f>CC186*$F$12</f>
        <v>0</v>
      </c>
      <c r="CE186" s="906">
        <f>CE185</f>
        <v>0</v>
      </c>
      <c r="CF186" s="29">
        <f>CF185</f>
        <v>0</v>
      </c>
      <c r="CG186" s="29">
        <f>CE186*CF186</f>
        <v>0</v>
      </c>
      <c r="CH186" s="1836">
        <f>CG187*$I$13</f>
        <v>0</v>
      </c>
      <c r="CI186" s="1837">
        <f>CI181</f>
        <v>0</v>
      </c>
      <c r="CJ186" s="1838">
        <f>CJ181</f>
        <v>0</v>
      </c>
      <c r="CK186" s="1839">
        <f>CG189/(1-CI186)</f>
        <v>0</v>
      </c>
      <c r="CL186" s="1839">
        <f>CK186*$F$13</f>
        <v>0</v>
      </c>
      <c r="CM186" s="907">
        <f>CM185</f>
        <v>0</v>
      </c>
      <c r="CN186" s="902">
        <f>CN185</f>
        <v>0</v>
      </c>
      <c r="CO186" s="902">
        <f>CM186*CN186</f>
        <v>0</v>
      </c>
      <c r="CP186" s="1840">
        <f>CO187*$I$14</f>
        <v>0</v>
      </c>
      <c r="CQ186" s="1841">
        <f>CQ181</f>
        <v>0</v>
      </c>
      <c r="CR186" s="1842">
        <f>CR181</f>
        <v>0</v>
      </c>
      <c r="CS186" s="1843">
        <f>CO189/(1-CQ186)</f>
        <v>0</v>
      </c>
      <c r="CT186" s="1843">
        <f>CS186*$F$14</f>
        <v>0</v>
      </c>
      <c r="CU186" s="1844">
        <f>E187+M187+U187+AC187+AK187+AS187+BA187+BI187+BQ187+BY187+CG187+CO187</f>
        <v>0</v>
      </c>
      <c r="CV186" s="1844">
        <f>CP186+CH186+BZ186+BR186+BJ186+BB186+AT186+AL186+AD186+V186+N186+F186</f>
        <v>0</v>
      </c>
      <c r="CW186" s="1845">
        <f>I186+Q186+Y186+AG186+AO186+AW186+BE186+BM186+BU186+CC186+CK186+CS186</f>
        <v>0</v>
      </c>
      <c r="CX186" s="1844">
        <f>CT186+CL186+CD186+BV186+BN186+BF186+AX186+AP186+AH186+Z186+R186+J186</f>
        <v>0</v>
      </c>
      <c r="CY186" s="1845">
        <f>CZ181</f>
        <v>0</v>
      </c>
      <c r="CZ186" s="1845">
        <f>E190+M190+U190+AC190+AK190+AS190+BA190+BI190+BQ190+BY190+CG190+CO190</f>
        <v>0</v>
      </c>
      <c r="DA186" s="1845">
        <f>CZ186-CY186</f>
        <v>0</v>
      </c>
      <c r="DB186" s="914"/>
    </row>
    <row r="187" spans="1:106" x14ac:dyDescent="0.3">
      <c r="A187" s="1835"/>
      <c r="B187" s="108" t="s">
        <v>310</v>
      </c>
      <c r="C187" s="898">
        <f>C182</f>
        <v>0</v>
      </c>
      <c r="D187" s="899">
        <f>D182</f>
        <v>0</v>
      </c>
      <c r="E187" s="29">
        <f>C187*D187</f>
        <v>0</v>
      </c>
      <c r="F187" s="1836"/>
      <c r="G187" s="1837"/>
      <c r="H187" s="1838"/>
      <c r="I187" s="1839"/>
      <c r="J187" s="1839"/>
      <c r="K187" s="900">
        <f>K182</f>
        <v>0</v>
      </c>
      <c r="L187" s="901">
        <f>L182</f>
        <v>0</v>
      </c>
      <c r="M187" s="902">
        <f>K187*L187</f>
        <v>0</v>
      </c>
      <c r="N187" s="1840"/>
      <c r="O187" s="1841"/>
      <c r="P187" s="1842"/>
      <c r="Q187" s="1843"/>
      <c r="R187" s="1843"/>
      <c r="S187" s="898">
        <f>S182</f>
        <v>0</v>
      </c>
      <c r="T187" s="899">
        <f>T182</f>
        <v>0</v>
      </c>
      <c r="U187" s="29">
        <f>S187*T187</f>
        <v>0</v>
      </c>
      <c r="V187" s="1836"/>
      <c r="W187" s="1837"/>
      <c r="X187" s="1838"/>
      <c r="Y187" s="1839"/>
      <c r="Z187" s="1839"/>
      <c r="AA187" s="900">
        <f>AA182</f>
        <v>0</v>
      </c>
      <c r="AB187" s="901">
        <f>AB182</f>
        <v>0</v>
      </c>
      <c r="AC187" s="902">
        <f>AA187*AB187</f>
        <v>0</v>
      </c>
      <c r="AD187" s="1840"/>
      <c r="AE187" s="1841"/>
      <c r="AF187" s="1842"/>
      <c r="AG187" s="1843"/>
      <c r="AH187" s="1843"/>
      <c r="AI187" s="898">
        <f>AI182</f>
        <v>0</v>
      </c>
      <c r="AJ187" s="899">
        <f>AJ182</f>
        <v>0</v>
      </c>
      <c r="AK187" s="29">
        <f>AI187*AJ187</f>
        <v>0</v>
      </c>
      <c r="AL187" s="1836"/>
      <c r="AM187" s="1837"/>
      <c r="AN187" s="1838"/>
      <c r="AO187" s="1839"/>
      <c r="AP187" s="1839"/>
      <c r="AQ187" s="900">
        <f>AQ182</f>
        <v>0</v>
      </c>
      <c r="AR187" s="901">
        <f>AR182</f>
        <v>0</v>
      </c>
      <c r="AS187" s="902">
        <f>AQ187*AR187</f>
        <v>0</v>
      </c>
      <c r="AT187" s="1840"/>
      <c r="AU187" s="1841"/>
      <c r="AV187" s="1842"/>
      <c r="AW187" s="1843"/>
      <c r="AX187" s="1843"/>
      <c r="AY187" s="898">
        <f>AY182</f>
        <v>0</v>
      </c>
      <c r="AZ187" s="899">
        <f>AZ182</f>
        <v>0</v>
      </c>
      <c r="BA187" s="29">
        <f>AY187*AZ187</f>
        <v>0</v>
      </c>
      <c r="BB187" s="1836"/>
      <c r="BC187" s="1837"/>
      <c r="BD187" s="1838"/>
      <c r="BE187" s="1839"/>
      <c r="BF187" s="1839"/>
      <c r="BG187" s="900">
        <f>BG182</f>
        <v>0</v>
      </c>
      <c r="BH187" s="901">
        <f>BH182</f>
        <v>0</v>
      </c>
      <c r="BI187" s="902">
        <f>BG187*BH187</f>
        <v>0</v>
      </c>
      <c r="BJ187" s="1840"/>
      <c r="BK187" s="1841"/>
      <c r="BL187" s="1842"/>
      <c r="BM187" s="1843"/>
      <c r="BN187" s="1843"/>
      <c r="BO187" s="898">
        <f>BO182</f>
        <v>0</v>
      </c>
      <c r="BP187" s="899">
        <f>BP182</f>
        <v>0</v>
      </c>
      <c r="BQ187" s="29">
        <f>BO187*BP187</f>
        <v>0</v>
      </c>
      <c r="BR187" s="1836"/>
      <c r="BS187" s="1837"/>
      <c r="BT187" s="1838"/>
      <c r="BU187" s="1839"/>
      <c r="BV187" s="1839"/>
      <c r="BW187" s="900">
        <f>BW182</f>
        <v>0</v>
      </c>
      <c r="BX187" s="901">
        <f>BX182</f>
        <v>0</v>
      </c>
      <c r="BY187" s="902">
        <f>BW187*BX187</f>
        <v>0</v>
      </c>
      <c r="BZ187" s="1840"/>
      <c r="CA187" s="1841"/>
      <c r="CB187" s="1842"/>
      <c r="CC187" s="1843"/>
      <c r="CD187" s="1843"/>
      <c r="CE187" s="898">
        <f>CE182</f>
        <v>0</v>
      </c>
      <c r="CF187" s="899">
        <f>CF182</f>
        <v>0</v>
      </c>
      <c r="CG187" s="29">
        <f>CE187*CF187</f>
        <v>0</v>
      </c>
      <c r="CH187" s="1836"/>
      <c r="CI187" s="1837"/>
      <c r="CJ187" s="1838"/>
      <c r="CK187" s="1839"/>
      <c r="CL187" s="1839"/>
      <c r="CM187" s="900">
        <f>CM182</f>
        <v>0</v>
      </c>
      <c r="CN187" s="901">
        <f>CN182</f>
        <v>0</v>
      </c>
      <c r="CO187" s="902">
        <f>CM187*CN187</f>
        <v>0</v>
      </c>
      <c r="CP187" s="1840"/>
      <c r="CQ187" s="1841"/>
      <c r="CR187" s="1842"/>
      <c r="CS187" s="1843"/>
      <c r="CT187" s="1843"/>
      <c r="CU187" s="1844"/>
      <c r="CV187" s="1844"/>
      <c r="CW187" s="1845"/>
      <c r="CX187" s="1844"/>
      <c r="CY187" s="1845"/>
      <c r="CZ187" s="1845"/>
      <c r="DA187" s="1845"/>
      <c r="DB187" s="912"/>
    </row>
    <row r="188" spans="1:106" ht="12.75" hidden="1" customHeight="1" x14ac:dyDescent="0.3">
      <c r="A188" s="1835"/>
      <c r="B188" s="108" t="s">
        <v>315</v>
      </c>
      <c r="C188" s="906">
        <f>C187+C186</f>
        <v>0</v>
      </c>
      <c r="D188" s="29">
        <f>IF(C188=0,0,E188/C188)</f>
        <v>0</v>
      </c>
      <c r="E188" s="29">
        <f>E187+E186</f>
        <v>0</v>
      </c>
      <c r="F188" s="1836"/>
      <c r="G188" s="1837"/>
      <c r="H188" s="1838"/>
      <c r="I188" s="1839"/>
      <c r="J188" s="1839"/>
      <c r="K188" s="907">
        <f>K187+K186</f>
        <v>0</v>
      </c>
      <c r="L188" s="902">
        <f>IF(K188=0,0,M188/K188)</f>
        <v>0</v>
      </c>
      <c r="M188" s="902">
        <f>M187+M186</f>
        <v>0</v>
      </c>
      <c r="N188" s="1840"/>
      <c r="O188" s="1841"/>
      <c r="P188" s="1842"/>
      <c r="Q188" s="1843"/>
      <c r="R188" s="1843"/>
      <c r="S188" s="906">
        <f>S187+S186</f>
        <v>0</v>
      </c>
      <c r="T188" s="29">
        <f>IF(S188=0,0,U188/S188)</f>
        <v>0</v>
      </c>
      <c r="U188" s="29">
        <f>U187+U186</f>
        <v>0</v>
      </c>
      <c r="V188" s="1836"/>
      <c r="W188" s="1837"/>
      <c r="X188" s="1838"/>
      <c r="Y188" s="1839"/>
      <c r="Z188" s="1839"/>
      <c r="AA188" s="907">
        <f>AA187+AA186</f>
        <v>0</v>
      </c>
      <c r="AB188" s="902">
        <f>IF(AA188=0,0,AC188/AA188)</f>
        <v>0</v>
      </c>
      <c r="AC188" s="902">
        <f>AC187+AC186</f>
        <v>0</v>
      </c>
      <c r="AD188" s="1840"/>
      <c r="AE188" s="1841"/>
      <c r="AF188" s="1842"/>
      <c r="AG188" s="1843"/>
      <c r="AH188" s="1843"/>
      <c r="AI188" s="906">
        <f>AI187+AI186</f>
        <v>0</v>
      </c>
      <c r="AJ188" s="29">
        <f>IF(AI188=0,0,AK188/AI188)</f>
        <v>0</v>
      </c>
      <c r="AK188" s="29">
        <f>AK187+AK186</f>
        <v>0</v>
      </c>
      <c r="AL188" s="1836"/>
      <c r="AM188" s="1837"/>
      <c r="AN188" s="1838"/>
      <c r="AO188" s="1839"/>
      <c r="AP188" s="1839"/>
      <c r="AQ188" s="907">
        <f>AQ187+AQ186</f>
        <v>0</v>
      </c>
      <c r="AR188" s="902">
        <f>IF(AQ188=0,0,AS188/AQ188)</f>
        <v>0</v>
      </c>
      <c r="AS188" s="902">
        <f>AS187+AS186</f>
        <v>0</v>
      </c>
      <c r="AT188" s="1840"/>
      <c r="AU188" s="1841"/>
      <c r="AV188" s="1842"/>
      <c r="AW188" s="1843"/>
      <c r="AX188" s="1843"/>
      <c r="AY188" s="906">
        <f>AY187+AY186</f>
        <v>0</v>
      </c>
      <c r="AZ188" s="29">
        <f>IF(AY188=0,0,BA188/AY188)</f>
        <v>0</v>
      </c>
      <c r="BA188" s="29">
        <f>BA187+BA186</f>
        <v>0</v>
      </c>
      <c r="BB188" s="1836"/>
      <c r="BC188" s="1837"/>
      <c r="BD188" s="1838"/>
      <c r="BE188" s="1839"/>
      <c r="BF188" s="1839"/>
      <c r="BG188" s="907">
        <f>BG187+BG186</f>
        <v>0</v>
      </c>
      <c r="BH188" s="902">
        <f>IF(BG188=0,0,BI188/BG188)</f>
        <v>0</v>
      </c>
      <c r="BI188" s="902">
        <f>BI187+BI186</f>
        <v>0</v>
      </c>
      <c r="BJ188" s="1840"/>
      <c r="BK188" s="1841"/>
      <c r="BL188" s="1842"/>
      <c r="BM188" s="1843"/>
      <c r="BN188" s="1843"/>
      <c r="BO188" s="906">
        <f>BO187+BO186</f>
        <v>0</v>
      </c>
      <c r="BP188" s="29">
        <f>IF(BO188=0,0,BQ188/BO188)</f>
        <v>0</v>
      </c>
      <c r="BQ188" s="29">
        <f>BQ187+BQ186</f>
        <v>0</v>
      </c>
      <c r="BR188" s="1836"/>
      <c r="BS188" s="1837"/>
      <c r="BT188" s="1838"/>
      <c r="BU188" s="1839"/>
      <c r="BV188" s="1839"/>
      <c r="BW188" s="907">
        <f>BW187+BW186</f>
        <v>0</v>
      </c>
      <c r="BX188" s="902">
        <f>IF(BW188=0,0,BY188/BW188)</f>
        <v>0</v>
      </c>
      <c r="BY188" s="902">
        <f>BY187+BY186</f>
        <v>0</v>
      </c>
      <c r="BZ188" s="1840"/>
      <c r="CA188" s="1841"/>
      <c r="CB188" s="1842"/>
      <c r="CC188" s="1843"/>
      <c r="CD188" s="1843"/>
      <c r="CE188" s="906">
        <f>CE187+CE186</f>
        <v>0</v>
      </c>
      <c r="CF188" s="29">
        <f>IF(CE188=0,0,CG188/CE188)</f>
        <v>0</v>
      </c>
      <c r="CG188" s="29">
        <f>CG187+CG186</f>
        <v>0</v>
      </c>
      <c r="CH188" s="1836"/>
      <c r="CI188" s="1837"/>
      <c r="CJ188" s="1838"/>
      <c r="CK188" s="1839"/>
      <c r="CL188" s="1839"/>
      <c r="CM188" s="907">
        <f>CM187+CM186</f>
        <v>0</v>
      </c>
      <c r="CN188" s="902">
        <f>IF(CM188=0,0,CO188/CM188)</f>
        <v>0</v>
      </c>
      <c r="CO188" s="902">
        <f>CO187+CO186</f>
        <v>0</v>
      </c>
      <c r="CP188" s="1840"/>
      <c r="CQ188" s="1841"/>
      <c r="CR188" s="1842"/>
      <c r="CS188" s="1843"/>
      <c r="CT188" s="1843"/>
      <c r="CU188" s="1844"/>
      <c r="CV188" s="1844"/>
      <c r="CW188" s="1845"/>
      <c r="CX188" s="1844"/>
      <c r="CY188" s="1845"/>
      <c r="CZ188" s="1845"/>
      <c r="DA188" s="1845"/>
      <c r="DB188" s="912"/>
    </row>
    <row r="189" spans="1:106" x14ac:dyDescent="0.3">
      <c r="A189" s="1835"/>
      <c r="B189" s="108" t="s">
        <v>312</v>
      </c>
      <c r="C189" s="906">
        <f>H186*C188</f>
        <v>0</v>
      </c>
      <c r="D189" s="29">
        <f>D188</f>
        <v>0</v>
      </c>
      <c r="E189" s="29">
        <f>C189*D189</f>
        <v>0</v>
      </c>
      <c r="F189" s="1836"/>
      <c r="G189" s="1837"/>
      <c r="H189" s="1838"/>
      <c r="I189" s="1839"/>
      <c r="J189" s="1839"/>
      <c r="K189" s="907">
        <f>P186*K188</f>
        <v>0</v>
      </c>
      <c r="L189" s="902">
        <f>L188</f>
        <v>0</v>
      </c>
      <c r="M189" s="902">
        <f>K189*L189</f>
        <v>0</v>
      </c>
      <c r="N189" s="1840"/>
      <c r="O189" s="1841"/>
      <c r="P189" s="1842"/>
      <c r="Q189" s="1843"/>
      <c r="R189" s="1843"/>
      <c r="S189" s="906">
        <f>X186*S188</f>
        <v>0</v>
      </c>
      <c r="T189" s="29">
        <f>T188</f>
        <v>0</v>
      </c>
      <c r="U189" s="29">
        <f>S189*T189</f>
        <v>0</v>
      </c>
      <c r="V189" s="1836"/>
      <c r="W189" s="1837"/>
      <c r="X189" s="1838"/>
      <c r="Y189" s="1839"/>
      <c r="Z189" s="1839"/>
      <c r="AA189" s="907">
        <f>AF186*AA188</f>
        <v>0</v>
      </c>
      <c r="AB189" s="902">
        <f>AB188</f>
        <v>0</v>
      </c>
      <c r="AC189" s="902">
        <f>AA189*AB189</f>
        <v>0</v>
      </c>
      <c r="AD189" s="1840"/>
      <c r="AE189" s="1841"/>
      <c r="AF189" s="1842"/>
      <c r="AG189" s="1843"/>
      <c r="AH189" s="1843"/>
      <c r="AI189" s="906">
        <f>AN186*AI188</f>
        <v>0</v>
      </c>
      <c r="AJ189" s="29">
        <f>AJ188</f>
        <v>0</v>
      </c>
      <c r="AK189" s="29">
        <f>AI189*AJ189</f>
        <v>0</v>
      </c>
      <c r="AL189" s="1836"/>
      <c r="AM189" s="1837"/>
      <c r="AN189" s="1838"/>
      <c r="AO189" s="1839"/>
      <c r="AP189" s="1839"/>
      <c r="AQ189" s="907">
        <f>AV186*AQ188</f>
        <v>0</v>
      </c>
      <c r="AR189" s="902">
        <f>AR188</f>
        <v>0</v>
      </c>
      <c r="AS189" s="902">
        <f>AQ189*AR189</f>
        <v>0</v>
      </c>
      <c r="AT189" s="1840"/>
      <c r="AU189" s="1841"/>
      <c r="AV189" s="1842"/>
      <c r="AW189" s="1843"/>
      <c r="AX189" s="1843"/>
      <c r="AY189" s="906">
        <f>BD186*AY188</f>
        <v>0</v>
      </c>
      <c r="AZ189" s="29">
        <f>AZ188</f>
        <v>0</v>
      </c>
      <c r="BA189" s="29">
        <f>AY189*AZ189</f>
        <v>0</v>
      </c>
      <c r="BB189" s="1836"/>
      <c r="BC189" s="1837"/>
      <c r="BD189" s="1838"/>
      <c r="BE189" s="1839"/>
      <c r="BF189" s="1839"/>
      <c r="BG189" s="907">
        <f>BL186*BG188</f>
        <v>0</v>
      </c>
      <c r="BH189" s="902">
        <f>BH188</f>
        <v>0</v>
      </c>
      <c r="BI189" s="902">
        <f>BG189*BH189</f>
        <v>0</v>
      </c>
      <c r="BJ189" s="1840"/>
      <c r="BK189" s="1841"/>
      <c r="BL189" s="1842"/>
      <c r="BM189" s="1843"/>
      <c r="BN189" s="1843"/>
      <c r="BO189" s="906">
        <f>BT186*BO188</f>
        <v>0</v>
      </c>
      <c r="BP189" s="29">
        <f>BP188</f>
        <v>0</v>
      </c>
      <c r="BQ189" s="29">
        <f>BO189*BP189</f>
        <v>0</v>
      </c>
      <c r="BR189" s="1836"/>
      <c r="BS189" s="1837"/>
      <c r="BT189" s="1838"/>
      <c r="BU189" s="1839"/>
      <c r="BV189" s="1839"/>
      <c r="BW189" s="907">
        <f>CB186*BW188</f>
        <v>0</v>
      </c>
      <c r="BX189" s="902">
        <f>BX188</f>
        <v>0</v>
      </c>
      <c r="BY189" s="902">
        <f>BW189*BX189</f>
        <v>0</v>
      </c>
      <c r="BZ189" s="1840"/>
      <c r="CA189" s="1841"/>
      <c r="CB189" s="1842"/>
      <c r="CC189" s="1843"/>
      <c r="CD189" s="1843"/>
      <c r="CE189" s="906">
        <f>CJ186*CE188</f>
        <v>0</v>
      </c>
      <c r="CF189" s="29">
        <f>CF188</f>
        <v>0</v>
      </c>
      <c r="CG189" s="29">
        <f>CE189*CF189</f>
        <v>0</v>
      </c>
      <c r="CH189" s="1836"/>
      <c r="CI189" s="1837"/>
      <c r="CJ189" s="1838"/>
      <c r="CK189" s="1839"/>
      <c r="CL189" s="1839"/>
      <c r="CM189" s="907">
        <f>CR186*CM188</f>
        <v>0</v>
      </c>
      <c r="CN189" s="902">
        <f>CN188</f>
        <v>0</v>
      </c>
      <c r="CO189" s="902">
        <f>CM189*CN189</f>
        <v>0</v>
      </c>
      <c r="CP189" s="1840"/>
      <c r="CQ189" s="1841"/>
      <c r="CR189" s="1842"/>
      <c r="CS189" s="1843"/>
      <c r="CT189" s="1843"/>
      <c r="CU189" s="1844"/>
      <c r="CV189" s="1844"/>
      <c r="CW189" s="1845"/>
      <c r="CX189" s="1844"/>
      <c r="CY189" s="1845"/>
      <c r="CZ189" s="1845"/>
      <c r="DA189" s="1845"/>
      <c r="DB189" s="912"/>
    </row>
    <row r="190" spans="1:106" x14ac:dyDescent="0.3">
      <c r="A190" s="1835"/>
      <c r="B190" s="108" t="s">
        <v>254</v>
      </c>
      <c r="C190" s="906">
        <f>C186+C187-C189</f>
        <v>0</v>
      </c>
      <c r="D190" s="29">
        <f>D189</f>
        <v>0</v>
      </c>
      <c r="E190" s="29">
        <f>D190*C190</f>
        <v>0</v>
      </c>
      <c r="F190" s="1836"/>
      <c r="G190" s="1837"/>
      <c r="H190" s="1838"/>
      <c r="I190" s="1839"/>
      <c r="J190" s="1839"/>
      <c r="K190" s="907">
        <f>K186+K187-K189</f>
        <v>0</v>
      </c>
      <c r="L190" s="902">
        <f>L189</f>
        <v>0</v>
      </c>
      <c r="M190" s="902">
        <f>L190*K190</f>
        <v>0</v>
      </c>
      <c r="N190" s="1840"/>
      <c r="O190" s="1841"/>
      <c r="P190" s="1842"/>
      <c r="Q190" s="1843"/>
      <c r="R190" s="1843"/>
      <c r="S190" s="906">
        <f>S186+S187-S189</f>
        <v>0</v>
      </c>
      <c r="T190" s="29">
        <f>T189</f>
        <v>0</v>
      </c>
      <c r="U190" s="29">
        <f>T190*S190</f>
        <v>0</v>
      </c>
      <c r="V190" s="1836"/>
      <c r="W190" s="1837"/>
      <c r="X190" s="1838"/>
      <c r="Y190" s="1839"/>
      <c r="Z190" s="1839"/>
      <c r="AA190" s="907">
        <f>AA186+AA187-AA189</f>
        <v>0</v>
      </c>
      <c r="AB190" s="902">
        <f>AB189</f>
        <v>0</v>
      </c>
      <c r="AC190" s="902">
        <f>AB190*AA190</f>
        <v>0</v>
      </c>
      <c r="AD190" s="1840"/>
      <c r="AE190" s="1841"/>
      <c r="AF190" s="1842"/>
      <c r="AG190" s="1843"/>
      <c r="AH190" s="1843"/>
      <c r="AI190" s="906">
        <f>AI186+AI187-AI189</f>
        <v>0</v>
      </c>
      <c r="AJ190" s="29">
        <f>AJ189</f>
        <v>0</v>
      </c>
      <c r="AK190" s="29">
        <f>AJ190*AI190</f>
        <v>0</v>
      </c>
      <c r="AL190" s="1836"/>
      <c r="AM190" s="1837"/>
      <c r="AN190" s="1838"/>
      <c r="AO190" s="1839"/>
      <c r="AP190" s="1839"/>
      <c r="AQ190" s="907">
        <f>AQ186+AQ187-AQ189</f>
        <v>0</v>
      </c>
      <c r="AR190" s="902">
        <f>AR189</f>
        <v>0</v>
      </c>
      <c r="AS190" s="902">
        <f>AR190*AQ190</f>
        <v>0</v>
      </c>
      <c r="AT190" s="1840"/>
      <c r="AU190" s="1841"/>
      <c r="AV190" s="1842"/>
      <c r="AW190" s="1843"/>
      <c r="AX190" s="1843"/>
      <c r="AY190" s="906">
        <f>AY186+AY187-AY189</f>
        <v>0</v>
      </c>
      <c r="AZ190" s="29">
        <f>AZ189</f>
        <v>0</v>
      </c>
      <c r="BA190" s="29">
        <f>AZ190*AY190</f>
        <v>0</v>
      </c>
      <c r="BB190" s="1836"/>
      <c r="BC190" s="1837"/>
      <c r="BD190" s="1838"/>
      <c r="BE190" s="1839"/>
      <c r="BF190" s="1839"/>
      <c r="BG190" s="907">
        <f>BG186+BG187-BG189</f>
        <v>0</v>
      </c>
      <c r="BH190" s="902">
        <f>BH189</f>
        <v>0</v>
      </c>
      <c r="BI190" s="902">
        <f>BH190*BG190</f>
        <v>0</v>
      </c>
      <c r="BJ190" s="1840"/>
      <c r="BK190" s="1841"/>
      <c r="BL190" s="1842"/>
      <c r="BM190" s="1843"/>
      <c r="BN190" s="1843"/>
      <c r="BO190" s="906">
        <f>BO186+BO187-BO189</f>
        <v>0</v>
      </c>
      <c r="BP190" s="29">
        <f>BP189</f>
        <v>0</v>
      </c>
      <c r="BQ190" s="29">
        <f>BP190*BO190</f>
        <v>0</v>
      </c>
      <c r="BR190" s="1836"/>
      <c r="BS190" s="1837"/>
      <c r="BT190" s="1838"/>
      <c r="BU190" s="1839"/>
      <c r="BV190" s="1839"/>
      <c r="BW190" s="907">
        <f>BW186+BW187-BW189</f>
        <v>0</v>
      </c>
      <c r="BX190" s="902">
        <f>BX189</f>
        <v>0</v>
      </c>
      <c r="BY190" s="902">
        <f>BX190*BW190</f>
        <v>0</v>
      </c>
      <c r="BZ190" s="1840"/>
      <c r="CA190" s="1841"/>
      <c r="CB190" s="1842"/>
      <c r="CC190" s="1843"/>
      <c r="CD190" s="1843"/>
      <c r="CE190" s="906">
        <f>CE186+CE187-CE189</f>
        <v>0</v>
      </c>
      <c r="CF190" s="29">
        <f>CF189</f>
        <v>0</v>
      </c>
      <c r="CG190" s="29">
        <f>CF190*CE190</f>
        <v>0</v>
      </c>
      <c r="CH190" s="1836"/>
      <c r="CI190" s="1837"/>
      <c r="CJ190" s="1838"/>
      <c r="CK190" s="1839"/>
      <c r="CL190" s="1839"/>
      <c r="CM190" s="907">
        <f>CM186+CM187-CM189</f>
        <v>0</v>
      </c>
      <c r="CN190" s="902">
        <f>CN189</f>
        <v>0</v>
      </c>
      <c r="CO190" s="902">
        <f>CN190*CM190</f>
        <v>0</v>
      </c>
      <c r="CP190" s="1840"/>
      <c r="CQ190" s="1841"/>
      <c r="CR190" s="1842"/>
      <c r="CS190" s="1843"/>
      <c r="CT190" s="1843"/>
      <c r="CU190" s="1844"/>
      <c r="CV190" s="1844"/>
      <c r="CW190" s="1845"/>
      <c r="CX190" s="1844"/>
      <c r="CY190" s="1845"/>
      <c r="CZ190" s="1845"/>
      <c r="DA190" s="1845"/>
      <c r="DB190" s="912"/>
    </row>
    <row r="191" spans="1:106" x14ac:dyDescent="0.3">
      <c r="A191" s="1835" t="str">
        <f>A122</f>
        <v>AGOST</v>
      </c>
      <c r="B191" s="108" t="s">
        <v>255</v>
      </c>
      <c r="C191" s="906">
        <f>C190</f>
        <v>0</v>
      </c>
      <c r="D191" s="29">
        <f>D190</f>
        <v>0</v>
      </c>
      <c r="E191" s="29">
        <f>C191*D191</f>
        <v>0</v>
      </c>
      <c r="F191" s="1836">
        <f>E192*$I$3</f>
        <v>0</v>
      </c>
      <c r="G191" s="1837">
        <f>G186</f>
        <v>0</v>
      </c>
      <c r="H191" s="1838">
        <f>H186</f>
        <v>0</v>
      </c>
      <c r="I191" s="1839">
        <f>E194/(1-G191)</f>
        <v>0</v>
      </c>
      <c r="J191" s="1839">
        <f>I191*$F$3</f>
        <v>0</v>
      </c>
      <c r="K191" s="907">
        <f>K190</f>
        <v>0</v>
      </c>
      <c r="L191" s="902">
        <f>L190</f>
        <v>0</v>
      </c>
      <c r="M191" s="902">
        <f>K191*L191</f>
        <v>0</v>
      </c>
      <c r="N191" s="1840">
        <f>M192*$I$4</f>
        <v>0</v>
      </c>
      <c r="O191" s="1841">
        <f>O186</f>
        <v>0</v>
      </c>
      <c r="P191" s="1842">
        <f>P186</f>
        <v>0</v>
      </c>
      <c r="Q191" s="1843">
        <f>M194/(1-O191)</f>
        <v>0</v>
      </c>
      <c r="R191" s="1843">
        <f>Q191*$F$4</f>
        <v>0</v>
      </c>
      <c r="S191" s="906">
        <f>S190</f>
        <v>0</v>
      </c>
      <c r="T191" s="29">
        <f>T190</f>
        <v>0</v>
      </c>
      <c r="U191" s="29">
        <f>S191*T191</f>
        <v>0</v>
      </c>
      <c r="V191" s="1836">
        <f>U192*$I$5</f>
        <v>0</v>
      </c>
      <c r="W191" s="1837">
        <f>W186</f>
        <v>0</v>
      </c>
      <c r="X191" s="1838">
        <f>X186</f>
        <v>0</v>
      </c>
      <c r="Y191" s="1839">
        <f>U194/(1-W191)</f>
        <v>0</v>
      </c>
      <c r="Z191" s="1839">
        <f>Y191*$F$5</f>
        <v>0</v>
      </c>
      <c r="AA191" s="907">
        <f>AA190</f>
        <v>0</v>
      </c>
      <c r="AB191" s="902">
        <f>AB190</f>
        <v>0</v>
      </c>
      <c r="AC191" s="902">
        <f>AA191*AB191</f>
        <v>0</v>
      </c>
      <c r="AD191" s="1840">
        <f>AC192*$I$6</f>
        <v>0</v>
      </c>
      <c r="AE191" s="1841">
        <f>AE186</f>
        <v>0</v>
      </c>
      <c r="AF191" s="1842">
        <f>AF186</f>
        <v>0</v>
      </c>
      <c r="AG191" s="1843">
        <f>AC194/(1-AE191)</f>
        <v>0</v>
      </c>
      <c r="AH191" s="1843">
        <f>AG191*$F$6</f>
        <v>0</v>
      </c>
      <c r="AI191" s="906">
        <f>AI190</f>
        <v>0</v>
      </c>
      <c r="AJ191" s="29">
        <f>AJ190</f>
        <v>0</v>
      </c>
      <c r="AK191" s="29">
        <f>AI191*AJ191</f>
        <v>0</v>
      </c>
      <c r="AL191" s="1836">
        <f>AK192*$I$7</f>
        <v>0</v>
      </c>
      <c r="AM191" s="1837">
        <f>AM186</f>
        <v>0</v>
      </c>
      <c r="AN191" s="1838">
        <f>AN186</f>
        <v>0</v>
      </c>
      <c r="AO191" s="1839">
        <f>AK194/(1-AM191)</f>
        <v>0</v>
      </c>
      <c r="AP191" s="1839">
        <f>AO191*$F$7</f>
        <v>0</v>
      </c>
      <c r="AQ191" s="907">
        <f>AQ190</f>
        <v>0</v>
      </c>
      <c r="AR191" s="902">
        <f>AR190</f>
        <v>0</v>
      </c>
      <c r="AS191" s="902">
        <f>AQ191*AR191</f>
        <v>0</v>
      </c>
      <c r="AT191" s="1840">
        <f>AS192*$I$8</f>
        <v>0</v>
      </c>
      <c r="AU191" s="1841">
        <f>AU186</f>
        <v>0</v>
      </c>
      <c r="AV191" s="1842">
        <f>AV186</f>
        <v>0</v>
      </c>
      <c r="AW191" s="1843">
        <f>AS194/(1-AU191)</f>
        <v>0</v>
      </c>
      <c r="AX191" s="1843">
        <f>AW191*$F$8</f>
        <v>0</v>
      </c>
      <c r="AY191" s="906">
        <f>AY190</f>
        <v>0</v>
      </c>
      <c r="AZ191" s="29">
        <f>AZ190</f>
        <v>0</v>
      </c>
      <c r="BA191" s="29">
        <f>AY191*AZ191</f>
        <v>0</v>
      </c>
      <c r="BB191" s="1836">
        <f>BA192*$I$9</f>
        <v>0</v>
      </c>
      <c r="BC191" s="1837">
        <f>BC186</f>
        <v>0</v>
      </c>
      <c r="BD191" s="1838">
        <f>BD186</f>
        <v>0</v>
      </c>
      <c r="BE191" s="1839">
        <f>BA194/(1-BC191)</f>
        <v>0</v>
      </c>
      <c r="BF191" s="1839">
        <f>BE191*$F$9</f>
        <v>0</v>
      </c>
      <c r="BG191" s="907">
        <f>BG190</f>
        <v>0</v>
      </c>
      <c r="BH191" s="902">
        <f>BH190</f>
        <v>0</v>
      </c>
      <c r="BI191" s="902">
        <f>BG191*BH191</f>
        <v>0</v>
      </c>
      <c r="BJ191" s="1840">
        <f>BI192*$I$10</f>
        <v>0</v>
      </c>
      <c r="BK191" s="1841">
        <f>BK186</f>
        <v>0</v>
      </c>
      <c r="BL191" s="1842">
        <f>BL186</f>
        <v>0</v>
      </c>
      <c r="BM191" s="1843">
        <f>BI194/(1-BK191)</f>
        <v>0</v>
      </c>
      <c r="BN191" s="1843">
        <f>BM191*$F$10</f>
        <v>0</v>
      </c>
      <c r="BO191" s="906">
        <f>BO190</f>
        <v>0</v>
      </c>
      <c r="BP191" s="29">
        <f>BP190</f>
        <v>0</v>
      </c>
      <c r="BQ191" s="29">
        <f>BO191*BP191</f>
        <v>0</v>
      </c>
      <c r="BR191" s="1836">
        <f>BQ192*$I$11</f>
        <v>0</v>
      </c>
      <c r="BS191" s="1837">
        <f>BS186</f>
        <v>0</v>
      </c>
      <c r="BT191" s="1838">
        <f>BT186</f>
        <v>0</v>
      </c>
      <c r="BU191" s="1839">
        <f>BQ194/(1-BS191)</f>
        <v>0</v>
      </c>
      <c r="BV191" s="1839">
        <f>BU191*$F$11</f>
        <v>0</v>
      </c>
      <c r="BW191" s="907">
        <f>BW190</f>
        <v>0</v>
      </c>
      <c r="BX191" s="902">
        <f>BX190</f>
        <v>0</v>
      </c>
      <c r="BY191" s="902">
        <f>BW191*BX191</f>
        <v>0</v>
      </c>
      <c r="BZ191" s="1840">
        <f>BY192*$I$12</f>
        <v>0</v>
      </c>
      <c r="CA191" s="1841">
        <f>CA186</f>
        <v>0</v>
      </c>
      <c r="CB191" s="1842">
        <f>CB186</f>
        <v>0</v>
      </c>
      <c r="CC191" s="1843">
        <f>BY194/(1-CA191)</f>
        <v>0</v>
      </c>
      <c r="CD191" s="1843">
        <f>CC191*$F$12</f>
        <v>0</v>
      </c>
      <c r="CE191" s="906">
        <f>CE190</f>
        <v>0</v>
      </c>
      <c r="CF191" s="29">
        <f>CF190</f>
        <v>0</v>
      </c>
      <c r="CG191" s="29">
        <f>CE191*CF191</f>
        <v>0</v>
      </c>
      <c r="CH191" s="1836">
        <f>CG192*$I$13</f>
        <v>0</v>
      </c>
      <c r="CI191" s="1837">
        <f>CI186</f>
        <v>0</v>
      </c>
      <c r="CJ191" s="1838">
        <f>CJ186</f>
        <v>0</v>
      </c>
      <c r="CK191" s="1839">
        <f>CG194/(1-CI191)</f>
        <v>0</v>
      </c>
      <c r="CL191" s="1839">
        <f>CK191*$F$13</f>
        <v>0</v>
      </c>
      <c r="CM191" s="907">
        <f>CM190</f>
        <v>0</v>
      </c>
      <c r="CN191" s="902">
        <f>CN190</f>
        <v>0</v>
      </c>
      <c r="CO191" s="902">
        <f>CM191*CN191</f>
        <v>0</v>
      </c>
      <c r="CP191" s="1840">
        <f>CO192*$I$14</f>
        <v>0</v>
      </c>
      <c r="CQ191" s="1841">
        <f>CQ186</f>
        <v>0</v>
      </c>
      <c r="CR191" s="1842">
        <f>CR186</f>
        <v>0</v>
      </c>
      <c r="CS191" s="1843">
        <f>CO194/(1-CQ191)</f>
        <v>0</v>
      </c>
      <c r="CT191" s="1843">
        <f>CS191*$F$14</f>
        <v>0</v>
      </c>
      <c r="CU191" s="1844">
        <f>E192+M192+U192+AC192+AK192+AS192+BA192+BI192+BQ192+BY192+CG192+CO192</f>
        <v>0</v>
      </c>
      <c r="CV191" s="1844">
        <f>CP191+CH191+BZ191+BR191+BJ191+BB191+AT191+AL191+AD191+V191+N191+F191</f>
        <v>0</v>
      </c>
      <c r="CW191" s="1845">
        <f>I191+Q191+Y191+AG191+AO191+AW191+BE191+BM191+BU191+CC191+CK191+CS191</f>
        <v>0</v>
      </c>
      <c r="CX191" s="1844">
        <f>CT191+CL191+CD191+BV191+BN191+BF191+AX191+AP191+AH191+Z191+R191+J191</f>
        <v>0</v>
      </c>
      <c r="CY191" s="1845">
        <f>CZ186</f>
        <v>0</v>
      </c>
      <c r="CZ191" s="1845">
        <f>E195+M195+U195+AC195+AK195+AS195+BA195+BI195+BQ195+BY195+CG195+CO195</f>
        <v>0</v>
      </c>
      <c r="DA191" s="1845">
        <f>CZ191-CY191</f>
        <v>0</v>
      </c>
      <c r="DB191" s="914"/>
    </row>
    <row r="192" spans="1:106" x14ac:dyDescent="0.3">
      <c r="A192" s="1835"/>
      <c r="B192" s="108" t="s">
        <v>310</v>
      </c>
      <c r="C192" s="898">
        <f>C187</f>
        <v>0</v>
      </c>
      <c r="D192" s="899">
        <f>D187</f>
        <v>0</v>
      </c>
      <c r="E192" s="29">
        <f>C192*D192</f>
        <v>0</v>
      </c>
      <c r="F192" s="1836"/>
      <c r="G192" s="1837"/>
      <c r="H192" s="1838"/>
      <c r="I192" s="1839"/>
      <c r="J192" s="1839"/>
      <c r="K192" s="900">
        <f>K187</f>
        <v>0</v>
      </c>
      <c r="L192" s="901">
        <f>L187</f>
        <v>0</v>
      </c>
      <c r="M192" s="902">
        <f>K192*L192</f>
        <v>0</v>
      </c>
      <c r="N192" s="1840"/>
      <c r="O192" s="1841"/>
      <c r="P192" s="1842"/>
      <c r="Q192" s="1843"/>
      <c r="R192" s="1843"/>
      <c r="S192" s="898">
        <f>S187</f>
        <v>0</v>
      </c>
      <c r="T192" s="899">
        <f>T187</f>
        <v>0</v>
      </c>
      <c r="U192" s="29">
        <f>S192*T192</f>
        <v>0</v>
      </c>
      <c r="V192" s="1836"/>
      <c r="W192" s="1837"/>
      <c r="X192" s="1838"/>
      <c r="Y192" s="1839"/>
      <c r="Z192" s="1839"/>
      <c r="AA192" s="900">
        <f>AA187</f>
        <v>0</v>
      </c>
      <c r="AB192" s="901">
        <f>AB187</f>
        <v>0</v>
      </c>
      <c r="AC192" s="902">
        <f>AA192*AB192</f>
        <v>0</v>
      </c>
      <c r="AD192" s="1840"/>
      <c r="AE192" s="1841"/>
      <c r="AF192" s="1842"/>
      <c r="AG192" s="1843"/>
      <c r="AH192" s="1843"/>
      <c r="AI192" s="898">
        <f>AI187</f>
        <v>0</v>
      </c>
      <c r="AJ192" s="899">
        <f>AJ187</f>
        <v>0</v>
      </c>
      <c r="AK192" s="29">
        <f>AI192*AJ192</f>
        <v>0</v>
      </c>
      <c r="AL192" s="1836"/>
      <c r="AM192" s="1837"/>
      <c r="AN192" s="1838"/>
      <c r="AO192" s="1839"/>
      <c r="AP192" s="1839"/>
      <c r="AQ192" s="900">
        <f>AQ187</f>
        <v>0</v>
      </c>
      <c r="AR192" s="901">
        <f>AR187</f>
        <v>0</v>
      </c>
      <c r="AS192" s="902">
        <f>AQ192*AR192</f>
        <v>0</v>
      </c>
      <c r="AT192" s="1840"/>
      <c r="AU192" s="1841"/>
      <c r="AV192" s="1842"/>
      <c r="AW192" s="1843"/>
      <c r="AX192" s="1843"/>
      <c r="AY192" s="898">
        <f>AY187</f>
        <v>0</v>
      </c>
      <c r="AZ192" s="899">
        <f>AZ187</f>
        <v>0</v>
      </c>
      <c r="BA192" s="29">
        <f>AY192*AZ192</f>
        <v>0</v>
      </c>
      <c r="BB192" s="1836"/>
      <c r="BC192" s="1837"/>
      <c r="BD192" s="1838"/>
      <c r="BE192" s="1839"/>
      <c r="BF192" s="1839"/>
      <c r="BG192" s="900">
        <f>BG187</f>
        <v>0</v>
      </c>
      <c r="BH192" s="901">
        <f>BH187</f>
        <v>0</v>
      </c>
      <c r="BI192" s="902">
        <f>BG192*BH192</f>
        <v>0</v>
      </c>
      <c r="BJ192" s="1840"/>
      <c r="BK192" s="1841"/>
      <c r="BL192" s="1842"/>
      <c r="BM192" s="1843"/>
      <c r="BN192" s="1843"/>
      <c r="BO192" s="898">
        <f>BO187</f>
        <v>0</v>
      </c>
      <c r="BP192" s="899">
        <f>BP187</f>
        <v>0</v>
      </c>
      <c r="BQ192" s="29">
        <f>BO192*BP192</f>
        <v>0</v>
      </c>
      <c r="BR192" s="1836"/>
      <c r="BS192" s="1837"/>
      <c r="BT192" s="1838"/>
      <c r="BU192" s="1839"/>
      <c r="BV192" s="1839"/>
      <c r="BW192" s="900">
        <f>BW187</f>
        <v>0</v>
      </c>
      <c r="BX192" s="901">
        <f>BX187</f>
        <v>0</v>
      </c>
      <c r="BY192" s="902">
        <f>BW192*BX192</f>
        <v>0</v>
      </c>
      <c r="BZ192" s="1840"/>
      <c r="CA192" s="1841"/>
      <c r="CB192" s="1842"/>
      <c r="CC192" s="1843"/>
      <c r="CD192" s="1843"/>
      <c r="CE192" s="898">
        <f>CE187</f>
        <v>0</v>
      </c>
      <c r="CF192" s="899">
        <f>CF187</f>
        <v>0</v>
      </c>
      <c r="CG192" s="29">
        <f>CE192*CF192</f>
        <v>0</v>
      </c>
      <c r="CH192" s="1836"/>
      <c r="CI192" s="1837"/>
      <c r="CJ192" s="1838"/>
      <c r="CK192" s="1839"/>
      <c r="CL192" s="1839"/>
      <c r="CM192" s="900">
        <f>CM187</f>
        <v>0</v>
      </c>
      <c r="CN192" s="901">
        <f>CN187</f>
        <v>0</v>
      </c>
      <c r="CO192" s="902">
        <f>CM192*CN192</f>
        <v>0</v>
      </c>
      <c r="CP192" s="1840"/>
      <c r="CQ192" s="1841"/>
      <c r="CR192" s="1842"/>
      <c r="CS192" s="1843"/>
      <c r="CT192" s="1843"/>
      <c r="CU192" s="1844"/>
      <c r="CV192" s="1844"/>
      <c r="CW192" s="1845"/>
      <c r="CX192" s="1844"/>
      <c r="CY192" s="1845"/>
      <c r="CZ192" s="1845"/>
      <c r="DA192" s="1845"/>
      <c r="DB192" s="912"/>
    </row>
    <row r="193" spans="1:106" ht="12.75" hidden="1" customHeight="1" x14ac:dyDescent="0.3">
      <c r="A193" s="1835"/>
      <c r="B193" s="108" t="s">
        <v>315</v>
      </c>
      <c r="C193" s="906">
        <f>C192+C191</f>
        <v>0</v>
      </c>
      <c r="D193" s="29">
        <f>IF(C193=0,0,E193/C193)</f>
        <v>0</v>
      </c>
      <c r="E193" s="29">
        <f>E192+E191</f>
        <v>0</v>
      </c>
      <c r="F193" s="1836"/>
      <c r="G193" s="1837"/>
      <c r="H193" s="1838"/>
      <c r="I193" s="1839"/>
      <c r="J193" s="1839"/>
      <c r="K193" s="907">
        <f>K192+K191</f>
        <v>0</v>
      </c>
      <c r="L193" s="902">
        <f>IF(K193=0,0,M193/K193)</f>
        <v>0</v>
      </c>
      <c r="M193" s="902">
        <f>M192+M191</f>
        <v>0</v>
      </c>
      <c r="N193" s="1840"/>
      <c r="O193" s="1841"/>
      <c r="P193" s="1842"/>
      <c r="Q193" s="1843"/>
      <c r="R193" s="1843"/>
      <c r="S193" s="906">
        <f>S192+S191</f>
        <v>0</v>
      </c>
      <c r="T193" s="29">
        <f>IF(S193=0,0,U193/S193)</f>
        <v>0</v>
      </c>
      <c r="U193" s="29">
        <f>U192+U191</f>
        <v>0</v>
      </c>
      <c r="V193" s="1836"/>
      <c r="W193" s="1837"/>
      <c r="X193" s="1838"/>
      <c r="Y193" s="1839"/>
      <c r="Z193" s="1839"/>
      <c r="AA193" s="907">
        <f>AA192+AA191</f>
        <v>0</v>
      </c>
      <c r="AB193" s="902">
        <f>IF(AA193=0,0,AC193/AA193)</f>
        <v>0</v>
      </c>
      <c r="AC193" s="902">
        <f>AC192+AC191</f>
        <v>0</v>
      </c>
      <c r="AD193" s="1840"/>
      <c r="AE193" s="1841"/>
      <c r="AF193" s="1842"/>
      <c r="AG193" s="1843"/>
      <c r="AH193" s="1843"/>
      <c r="AI193" s="906">
        <f>AI192+AI191</f>
        <v>0</v>
      </c>
      <c r="AJ193" s="29">
        <f>IF(AI193=0,0,AK193/AI193)</f>
        <v>0</v>
      </c>
      <c r="AK193" s="29">
        <f>AK192+AK191</f>
        <v>0</v>
      </c>
      <c r="AL193" s="1836"/>
      <c r="AM193" s="1837"/>
      <c r="AN193" s="1838"/>
      <c r="AO193" s="1839"/>
      <c r="AP193" s="1839"/>
      <c r="AQ193" s="907">
        <f>AQ192+AQ191</f>
        <v>0</v>
      </c>
      <c r="AR193" s="902">
        <f>IF(AQ193=0,0,AS193/AQ193)</f>
        <v>0</v>
      </c>
      <c r="AS193" s="902">
        <f>AS192+AS191</f>
        <v>0</v>
      </c>
      <c r="AT193" s="1840"/>
      <c r="AU193" s="1841"/>
      <c r="AV193" s="1842"/>
      <c r="AW193" s="1843"/>
      <c r="AX193" s="1843"/>
      <c r="AY193" s="906">
        <f>AY192+AY191</f>
        <v>0</v>
      </c>
      <c r="AZ193" s="29">
        <f>IF(AY193=0,0,BA193/AY193)</f>
        <v>0</v>
      </c>
      <c r="BA193" s="29">
        <f>BA192+BA191</f>
        <v>0</v>
      </c>
      <c r="BB193" s="1836"/>
      <c r="BC193" s="1837"/>
      <c r="BD193" s="1838"/>
      <c r="BE193" s="1839"/>
      <c r="BF193" s="1839"/>
      <c r="BG193" s="907">
        <f>BG192+BG191</f>
        <v>0</v>
      </c>
      <c r="BH193" s="902">
        <f>IF(BG193=0,0,BI193/BG193)</f>
        <v>0</v>
      </c>
      <c r="BI193" s="902">
        <f>BI192+BI191</f>
        <v>0</v>
      </c>
      <c r="BJ193" s="1840"/>
      <c r="BK193" s="1841"/>
      <c r="BL193" s="1842"/>
      <c r="BM193" s="1843"/>
      <c r="BN193" s="1843"/>
      <c r="BO193" s="906">
        <f>BO192+BO191</f>
        <v>0</v>
      </c>
      <c r="BP193" s="29">
        <f>IF(BO193=0,0,BQ193/BO193)</f>
        <v>0</v>
      </c>
      <c r="BQ193" s="29">
        <f>BQ192+BQ191</f>
        <v>0</v>
      </c>
      <c r="BR193" s="1836"/>
      <c r="BS193" s="1837"/>
      <c r="BT193" s="1838"/>
      <c r="BU193" s="1839"/>
      <c r="BV193" s="1839"/>
      <c r="BW193" s="907">
        <f>BW192+BW191</f>
        <v>0</v>
      </c>
      <c r="BX193" s="902">
        <f>IF(BW193=0,0,BY193/BW193)</f>
        <v>0</v>
      </c>
      <c r="BY193" s="902">
        <f>BY192+BY191</f>
        <v>0</v>
      </c>
      <c r="BZ193" s="1840"/>
      <c r="CA193" s="1841"/>
      <c r="CB193" s="1842"/>
      <c r="CC193" s="1843"/>
      <c r="CD193" s="1843"/>
      <c r="CE193" s="906">
        <f>CE192+CE191</f>
        <v>0</v>
      </c>
      <c r="CF193" s="29">
        <f>IF(CE193=0,0,CG193/CE193)</f>
        <v>0</v>
      </c>
      <c r="CG193" s="29">
        <f>CG192+CG191</f>
        <v>0</v>
      </c>
      <c r="CH193" s="1836"/>
      <c r="CI193" s="1837"/>
      <c r="CJ193" s="1838"/>
      <c r="CK193" s="1839"/>
      <c r="CL193" s="1839"/>
      <c r="CM193" s="907">
        <f>CM192+CM191</f>
        <v>0</v>
      </c>
      <c r="CN193" s="902">
        <f>IF(CM193=0,0,CO193/CM193)</f>
        <v>0</v>
      </c>
      <c r="CO193" s="902">
        <f>CO192+CO191</f>
        <v>0</v>
      </c>
      <c r="CP193" s="1840"/>
      <c r="CQ193" s="1841"/>
      <c r="CR193" s="1842"/>
      <c r="CS193" s="1843"/>
      <c r="CT193" s="1843"/>
      <c r="CU193" s="1844"/>
      <c r="CV193" s="1844"/>
      <c r="CW193" s="1845"/>
      <c r="CX193" s="1844"/>
      <c r="CY193" s="1845"/>
      <c r="CZ193" s="1845"/>
      <c r="DA193" s="1845"/>
      <c r="DB193" s="912"/>
    </row>
    <row r="194" spans="1:106" x14ac:dyDescent="0.3">
      <c r="A194" s="1835"/>
      <c r="B194" s="108" t="s">
        <v>312</v>
      </c>
      <c r="C194" s="906">
        <f>H191*C193</f>
        <v>0</v>
      </c>
      <c r="D194" s="29">
        <f>D193</f>
        <v>0</v>
      </c>
      <c r="E194" s="29">
        <f>C194*D194</f>
        <v>0</v>
      </c>
      <c r="F194" s="1836"/>
      <c r="G194" s="1837"/>
      <c r="H194" s="1838"/>
      <c r="I194" s="1839"/>
      <c r="J194" s="1839"/>
      <c r="K194" s="907">
        <f>P191*K193</f>
        <v>0</v>
      </c>
      <c r="L194" s="902">
        <f>L193</f>
        <v>0</v>
      </c>
      <c r="M194" s="902">
        <f>K194*L194</f>
        <v>0</v>
      </c>
      <c r="N194" s="1840"/>
      <c r="O194" s="1841"/>
      <c r="P194" s="1842"/>
      <c r="Q194" s="1843"/>
      <c r="R194" s="1843"/>
      <c r="S194" s="906">
        <f>X191*S193</f>
        <v>0</v>
      </c>
      <c r="T194" s="29">
        <f>T193</f>
        <v>0</v>
      </c>
      <c r="U194" s="29">
        <f>S194*T194</f>
        <v>0</v>
      </c>
      <c r="V194" s="1836"/>
      <c r="W194" s="1837"/>
      <c r="X194" s="1838"/>
      <c r="Y194" s="1839"/>
      <c r="Z194" s="1839"/>
      <c r="AA194" s="907">
        <f>AF191*AA193</f>
        <v>0</v>
      </c>
      <c r="AB194" s="902">
        <f>AB193</f>
        <v>0</v>
      </c>
      <c r="AC194" s="902">
        <f>AA194*AB194</f>
        <v>0</v>
      </c>
      <c r="AD194" s="1840"/>
      <c r="AE194" s="1841"/>
      <c r="AF194" s="1842"/>
      <c r="AG194" s="1843"/>
      <c r="AH194" s="1843"/>
      <c r="AI194" s="906">
        <f>AN191*AI193</f>
        <v>0</v>
      </c>
      <c r="AJ194" s="29">
        <f>AJ193</f>
        <v>0</v>
      </c>
      <c r="AK194" s="29">
        <f>AI194*AJ194</f>
        <v>0</v>
      </c>
      <c r="AL194" s="1836"/>
      <c r="AM194" s="1837"/>
      <c r="AN194" s="1838"/>
      <c r="AO194" s="1839"/>
      <c r="AP194" s="1839"/>
      <c r="AQ194" s="907">
        <f>AV191*AQ193</f>
        <v>0</v>
      </c>
      <c r="AR194" s="902">
        <f>AR193</f>
        <v>0</v>
      </c>
      <c r="AS194" s="902">
        <f>AQ194*AR194</f>
        <v>0</v>
      </c>
      <c r="AT194" s="1840"/>
      <c r="AU194" s="1841"/>
      <c r="AV194" s="1842"/>
      <c r="AW194" s="1843"/>
      <c r="AX194" s="1843"/>
      <c r="AY194" s="906">
        <f>BD191*AY193</f>
        <v>0</v>
      </c>
      <c r="AZ194" s="29">
        <f>AZ193</f>
        <v>0</v>
      </c>
      <c r="BA194" s="29">
        <f>AY194*AZ194</f>
        <v>0</v>
      </c>
      <c r="BB194" s="1836"/>
      <c r="BC194" s="1837"/>
      <c r="BD194" s="1838"/>
      <c r="BE194" s="1839"/>
      <c r="BF194" s="1839"/>
      <c r="BG194" s="907">
        <f>BL191*BG193</f>
        <v>0</v>
      </c>
      <c r="BH194" s="902">
        <f>BH193</f>
        <v>0</v>
      </c>
      <c r="BI194" s="902">
        <f>BG194*BH194</f>
        <v>0</v>
      </c>
      <c r="BJ194" s="1840"/>
      <c r="BK194" s="1841"/>
      <c r="BL194" s="1842"/>
      <c r="BM194" s="1843"/>
      <c r="BN194" s="1843"/>
      <c r="BO194" s="906">
        <f>BT191*BO193</f>
        <v>0</v>
      </c>
      <c r="BP194" s="29">
        <f>BP193</f>
        <v>0</v>
      </c>
      <c r="BQ194" s="29">
        <f>BO194*BP194</f>
        <v>0</v>
      </c>
      <c r="BR194" s="1836"/>
      <c r="BS194" s="1837"/>
      <c r="BT194" s="1838"/>
      <c r="BU194" s="1839"/>
      <c r="BV194" s="1839"/>
      <c r="BW194" s="907">
        <f>CB191*BW193</f>
        <v>0</v>
      </c>
      <c r="BX194" s="902">
        <f>BX193</f>
        <v>0</v>
      </c>
      <c r="BY194" s="902">
        <f>BW194*BX194</f>
        <v>0</v>
      </c>
      <c r="BZ194" s="1840"/>
      <c r="CA194" s="1841"/>
      <c r="CB194" s="1842"/>
      <c r="CC194" s="1843"/>
      <c r="CD194" s="1843"/>
      <c r="CE194" s="906">
        <f>CJ191*CE193</f>
        <v>0</v>
      </c>
      <c r="CF194" s="29">
        <f>CF193</f>
        <v>0</v>
      </c>
      <c r="CG194" s="29">
        <f>CE194*CF194</f>
        <v>0</v>
      </c>
      <c r="CH194" s="1836"/>
      <c r="CI194" s="1837"/>
      <c r="CJ194" s="1838"/>
      <c r="CK194" s="1839"/>
      <c r="CL194" s="1839"/>
      <c r="CM194" s="907">
        <f>CR191*CM193</f>
        <v>0</v>
      </c>
      <c r="CN194" s="902">
        <f>CN193</f>
        <v>0</v>
      </c>
      <c r="CO194" s="902">
        <f>CM194*CN194</f>
        <v>0</v>
      </c>
      <c r="CP194" s="1840"/>
      <c r="CQ194" s="1841"/>
      <c r="CR194" s="1842"/>
      <c r="CS194" s="1843"/>
      <c r="CT194" s="1843"/>
      <c r="CU194" s="1844"/>
      <c r="CV194" s="1844"/>
      <c r="CW194" s="1845"/>
      <c r="CX194" s="1844"/>
      <c r="CY194" s="1845"/>
      <c r="CZ194" s="1845"/>
      <c r="DA194" s="1845"/>
      <c r="DB194" s="912"/>
    </row>
    <row r="195" spans="1:106" x14ac:dyDescent="0.3">
      <c r="A195" s="1835"/>
      <c r="B195" s="108" t="s">
        <v>254</v>
      </c>
      <c r="C195" s="906">
        <f>C191+C192-C194</f>
        <v>0</v>
      </c>
      <c r="D195" s="29">
        <f>D194</f>
        <v>0</v>
      </c>
      <c r="E195" s="29">
        <f>D195*C195</f>
        <v>0</v>
      </c>
      <c r="F195" s="1836"/>
      <c r="G195" s="1837"/>
      <c r="H195" s="1838"/>
      <c r="I195" s="1839"/>
      <c r="J195" s="1839"/>
      <c r="K195" s="907">
        <f>K191+K192-K194</f>
        <v>0</v>
      </c>
      <c r="L195" s="902">
        <f>L194</f>
        <v>0</v>
      </c>
      <c r="M195" s="902">
        <f>L195*K195</f>
        <v>0</v>
      </c>
      <c r="N195" s="1840"/>
      <c r="O195" s="1841"/>
      <c r="P195" s="1842"/>
      <c r="Q195" s="1843"/>
      <c r="R195" s="1843"/>
      <c r="S195" s="906">
        <f>S191+S192-S194</f>
        <v>0</v>
      </c>
      <c r="T195" s="29">
        <f>T194</f>
        <v>0</v>
      </c>
      <c r="U195" s="29">
        <f>T195*S195</f>
        <v>0</v>
      </c>
      <c r="V195" s="1836"/>
      <c r="W195" s="1837"/>
      <c r="X195" s="1838"/>
      <c r="Y195" s="1839"/>
      <c r="Z195" s="1839"/>
      <c r="AA195" s="907">
        <f>AA191+AA192-AA194</f>
        <v>0</v>
      </c>
      <c r="AB195" s="902">
        <f>AB194</f>
        <v>0</v>
      </c>
      <c r="AC195" s="902">
        <f>AB195*AA195</f>
        <v>0</v>
      </c>
      <c r="AD195" s="1840"/>
      <c r="AE195" s="1841"/>
      <c r="AF195" s="1842"/>
      <c r="AG195" s="1843"/>
      <c r="AH195" s="1843"/>
      <c r="AI195" s="906">
        <f>AI191+AI192-AI194</f>
        <v>0</v>
      </c>
      <c r="AJ195" s="29">
        <f>AJ194</f>
        <v>0</v>
      </c>
      <c r="AK195" s="29">
        <f>AJ195*AI195</f>
        <v>0</v>
      </c>
      <c r="AL195" s="1836"/>
      <c r="AM195" s="1837"/>
      <c r="AN195" s="1838"/>
      <c r="AO195" s="1839"/>
      <c r="AP195" s="1839"/>
      <c r="AQ195" s="907">
        <f>AQ191+AQ192-AQ194</f>
        <v>0</v>
      </c>
      <c r="AR195" s="902">
        <f>AR194</f>
        <v>0</v>
      </c>
      <c r="AS195" s="902">
        <f>AR195*AQ195</f>
        <v>0</v>
      </c>
      <c r="AT195" s="1840"/>
      <c r="AU195" s="1841"/>
      <c r="AV195" s="1842"/>
      <c r="AW195" s="1843"/>
      <c r="AX195" s="1843"/>
      <c r="AY195" s="906">
        <f>AY191+AY192-AY194</f>
        <v>0</v>
      </c>
      <c r="AZ195" s="29">
        <f>AZ194</f>
        <v>0</v>
      </c>
      <c r="BA195" s="29">
        <f>AZ195*AY195</f>
        <v>0</v>
      </c>
      <c r="BB195" s="1836"/>
      <c r="BC195" s="1837"/>
      <c r="BD195" s="1838"/>
      <c r="BE195" s="1839"/>
      <c r="BF195" s="1839"/>
      <c r="BG195" s="907">
        <f>BG191+BG192-BG194</f>
        <v>0</v>
      </c>
      <c r="BH195" s="902">
        <f>BH194</f>
        <v>0</v>
      </c>
      <c r="BI195" s="902">
        <f>BH195*BG195</f>
        <v>0</v>
      </c>
      <c r="BJ195" s="1840"/>
      <c r="BK195" s="1841"/>
      <c r="BL195" s="1842"/>
      <c r="BM195" s="1843"/>
      <c r="BN195" s="1843"/>
      <c r="BO195" s="906">
        <f>BO191+BO192-BO194</f>
        <v>0</v>
      </c>
      <c r="BP195" s="29">
        <f>BP194</f>
        <v>0</v>
      </c>
      <c r="BQ195" s="29">
        <f>BP195*BO195</f>
        <v>0</v>
      </c>
      <c r="BR195" s="1836"/>
      <c r="BS195" s="1837"/>
      <c r="BT195" s="1838"/>
      <c r="BU195" s="1839"/>
      <c r="BV195" s="1839"/>
      <c r="BW195" s="907">
        <f>BW191+BW192-BW194</f>
        <v>0</v>
      </c>
      <c r="BX195" s="902">
        <f>BX194</f>
        <v>0</v>
      </c>
      <c r="BY195" s="902">
        <f>BX195*BW195</f>
        <v>0</v>
      </c>
      <c r="BZ195" s="1840"/>
      <c r="CA195" s="1841"/>
      <c r="CB195" s="1842"/>
      <c r="CC195" s="1843"/>
      <c r="CD195" s="1843"/>
      <c r="CE195" s="906">
        <f>CE191+CE192-CE194</f>
        <v>0</v>
      </c>
      <c r="CF195" s="29">
        <f>CF194</f>
        <v>0</v>
      </c>
      <c r="CG195" s="29">
        <f>CF195*CE195</f>
        <v>0</v>
      </c>
      <c r="CH195" s="1836"/>
      <c r="CI195" s="1837"/>
      <c r="CJ195" s="1838"/>
      <c r="CK195" s="1839"/>
      <c r="CL195" s="1839"/>
      <c r="CM195" s="907">
        <f>CM191+CM192-CM194</f>
        <v>0</v>
      </c>
      <c r="CN195" s="902">
        <f>CN194</f>
        <v>0</v>
      </c>
      <c r="CO195" s="902">
        <f>CN195*CM195</f>
        <v>0</v>
      </c>
      <c r="CP195" s="1840"/>
      <c r="CQ195" s="1841"/>
      <c r="CR195" s="1842"/>
      <c r="CS195" s="1843"/>
      <c r="CT195" s="1843"/>
      <c r="CU195" s="1844"/>
      <c r="CV195" s="1844"/>
      <c r="CW195" s="1845"/>
      <c r="CX195" s="1844"/>
      <c r="CY195" s="1845"/>
      <c r="CZ195" s="1845"/>
      <c r="DA195" s="1845"/>
      <c r="DB195" s="912"/>
    </row>
    <row r="196" spans="1:106" x14ac:dyDescent="0.3">
      <c r="A196" s="1835" t="str">
        <f>A127</f>
        <v>SETEMBRE</v>
      </c>
      <c r="B196" s="108" t="s">
        <v>255</v>
      </c>
      <c r="C196" s="906">
        <f>C195</f>
        <v>0</v>
      </c>
      <c r="D196" s="29">
        <f>D195</f>
        <v>0</v>
      </c>
      <c r="E196" s="29">
        <f>C196*D196</f>
        <v>0</v>
      </c>
      <c r="F196" s="1836">
        <f>E197*$I$3</f>
        <v>0</v>
      </c>
      <c r="G196" s="1837">
        <f>G191</f>
        <v>0</v>
      </c>
      <c r="H196" s="1838">
        <f>H191</f>
        <v>0</v>
      </c>
      <c r="I196" s="1839">
        <f>E199/(1-G196)</f>
        <v>0</v>
      </c>
      <c r="J196" s="1839">
        <f>I196*$F$3</f>
        <v>0</v>
      </c>
      <c r="K196" s="907">
        <f>K195</f>
        <v>0</v>
      </c>
      <c r="L196" s="902">
        <f>L195</f>
        <v>0</v>
      </c>
      <c r="M196" s="902">
        <f>K196*L196</f>
        <v>0</v>
      </c>
      <c r="N196" s="1840">
        <f>M197*$I$4</f>
        <v>0</v>
      </c>
      <c r="O196" s="1841">
        <f>O191</f>
        <v>0</v>
      </c>
      <c r="P196" s="1842">
        <f>P191</f>
        <v>0</v>
      </c>
      <c r="Q196" s="1843">
        <f>M199/(1-O196)</f>
        <v>0</v>
      </c>
      <c r="R196" s="1843">
        <f>Q196*$F$4</f>
        <v>0</v>
      </c>
      <c r="S196" s="906">
        <f>S195</f>
        <v>0</v>
      </c>
      <c r="T196" s="29">
        <f>T195</f>
        <v>0</v>
      </c>
      <c r="U196" s="29">
        <f>S196*T196</f>
        <v>0</v>
      </c>
      <c r="V196" s="1836">
        <f>U197*$I$5</f>
        <v>0</v>
      </c>
      <c r="W196" s="1837">
        <f>W191</f>
        <v>0</v>
      </c>
      <c r="X196" s="1838">
        <f>X191</f>
        <v>0</v>
      </c>
      <c r="Y196" s="1839">
        <f>U199/(1-W196)</f>
        <v>0</v>
      </c>
      <c r="Z196" s="1839">
        <f>Y196*$F$5</f>
        <v>0</v>
      </c>
      <c r="AA196" s="907">
        <f>AA195</f>
        <v>0</v>
      </c>
      <c r="AB196" s="902">
        <f>AB195</f>
        <v>0</v>
      </c>
      <c r="AC196" s="902">
        <f>AA196*AB196</f>
        <v>0</v>
      </c>
      <c r="AD196" s="1840">
        <f>AC197*$I$6</f>
        <v>0</v>
      </c>
      <c r="AE196" s="1841">
        <f>AE191</f>
        <v>0</v>
      </c>
      <c r="AF196" s="1842">
        <f>AF191</f>
        <v>0</v>
      </c>
      <c r="AG196" s="1843">
        <f>AC199/(1-AE196)</f>
        <v>0</v>
      </c>
      <c r="AH196" s="1843">
        <f>AG196*$F$6</f>
        <v>0</v>
      </c>
      <c r="AI196" s="906">
        <f>AI195</f>
        <v>0</v>
      </c>
      <c r="AJ196" s="29">
        <f>AJ195</f>
        <v>0</v>
      </c>
      <c r="AK196" s="29">
        <f>AI196*AJ196</f>
        <v>0</v>
      </c>
      <c r="AL196" s="1836">
        <f>AK197*$I$7</f>
        <v>0</v>
      </c>
      <c r="AM196" s="1837">
        <f>AM191</f>
        <v>0</v>
      </c>
      <c r="AN196" s="1838">
        <f>AN191</f>
        <v>0</v>
      </c>
      <c r="AO196" s="1839">
        <f>AK199/(1-AM196)</f>
        <v>0</v>
      </c>
      <c r="AP196" s="1839">
        <f>AO196*$F$7</f>
        <v>0</v>
      </c>
      <c r="AQ196" s="907">
        <f>AQ195</f>
        <v>0</v>
      </c>
      <c r="AR196" s="902">
        <f>AR195</f>
        <v>0</v>
      </c>
      <c r="AS196" s="902">
        <f>AQ196*AR196</f>
        <v>0</v>
      </c>
      <c r="AT196" s="1840">
        <f>AS197*$I$8</f>
        <v>0</v>
      </c>
      <c r="AU196" s="1841">
        <f>AU191</f>
        <v>0</v>
      </c>
      <c r="AV196" s="1842">
        <f>AV191</f>
        <v>0</v>
      </c>
      <c r="AW196" s="1843">
        <f>AS199/(1-AU196)</f>
        <v>0</v>
      </c>
      <c r="AX196" s="1843">
        <f>AW196*$F$8</f>
        <v>0</v>
      </c>
      <c r="AY196" s="906">
        <f>AY195</f>
        <v>0</v>
      </c>
      <c r="AZ196" s="29">
        <f>AZ195</f>
        <v>0</v>
      </c>
      <c r="BA196" s="29">
        <f>AY196*AZ196</f>
        <v>0</v>
      </c>
      <c r="BB196" s="1836">
        <f>BA197*$I$9</f>
        <v>0</v>
      </c>
      <c r="BC196" s="1837">
        <f>BC191</f>
        <v>0</v>
      </c>
      <c r="BD196" s="1838">
        <f>BD191</f>
        <v>0</v>
      </c>
      <c r="BE196" s="1839">
        <f>BA199/(1-BC196)</f>
        <v>0</v>
      </c>
      <c r="BF196" s="1839">
        <f>BE196*$F$9</f>
        <v>0</v>
      </c>
      <c r="BG196" s="907">
        <f>BG195</f>
        <v>0</v>
      </c>
      <c r="BH196" s="902">
        <f>BH195</f>
        <v>0</v>
      </c>
      <c r="BI196" s="902">
        <f>BG196*BH196</f>
        <v>0</v>
      </c>
      <c r="BJ196" s="1840">
        <f>BI197*$I$10</f>
        <v>0</v>
      </c>
      <c r="BK196" s="1841">
        <f>BK191</f>
        <v>0</v>
      </c>
      <c r="BL196" s="1842">
        <f>BL191</f>
        <v>0</v>
      </c>
      <c r="BM196" s="1843">
        <f>BI199/(1-BK196)</f>
        <v>0</v>
      </c>
      <c r="BN196" s="1843">
        <f>BM196*$F$10</f>
        <v>0</v>
      </c>
      <c r="BO196" s="906">
        <f>BO195</f>
        <v>0</v>
      </c>
      <c r="BP196" s="29">
        <f>BP195</f>
        <v>0</v>
      </c>
      <c r="BQ196" s="29">
        <f>BO196*BP196</f>
        <v>0</v>
      </c>
      <c r="BR196" s="1836">
        <f>BQ197*$I$11</f>
        <v>0</v>
      </c>
      <c r="BS196" s="1837">
        <f>BS191</f>
        <v>0</v>
      </c>
      <c r="BT196" s="1838">
        <f>BT191</f>
        <v>0</v>
      </c>
      <c r="BU196" s="1839">
        <f>BQ199/(1-BS196)</f>
        <v>0</v>
      </c>
      <c r="BV196" s="1839">
        <f>BU196*$F$11</f>
        <v>0</v>
      </c>
      <c r="BW196" s="907">
        <f>BW195</f>
        <v>0</v>
      </c>
      <c r="BX196" s="902">
        <f>BX195</f>
        <v>0</v>
      </c>
      <c r="BY196" s="902">
        <f>BW196*BX196</f>
        <v>0</v>
      </c>
      <c r="BZ196" s="1840">
        <f>BY197*$I$12</f>
        <v>0</v>
      </c>
      <c r="CA196" s="1841">
        <f>CA191</f>
        <v>0</v>
      </c>
      <c r="CB196" s="1842">
        <f>CB191</f>
        <v>0</v>
      </c>
      <c r="CC196" s="1843">
        <f>BY199/(1-CA196)</f>
        <v>0</v>
      </c>
      <c r="CD196" s="1843">
        <f>CC196*$F$12</f>
        <v>0</v>
      </c>
      <c r="CE196" s="906">
        <f>CE195</f>
        <v>0</v>
      </c>
      <c r="CF196" s="29">
        <f>CF195</f>
        <v>0</v>
      </c>
      <c r="CG196" s="29">
        <f>CE196*CF196</f>
        <v>0</v>
      </c>
      <c r="CH196" s="1836">
        <f>CG197*$I$13</f>
        <v>0</v>
      </c>
      <c r="CI196" s="1837">
        <f>CI191</f>
        <v>0</v>
      </c>
      <c r="CJ196" s="1838">
        <f>CJ191</f>
        <v>0</v>
      </c>
      <c r="CK196" s="1839">
        <f>CG199/(1-CI196)</f>
        <v>0</v>
      </c>
      <c r="CL196" s="1839">
        <f>CK196*$F$13</f>
        <v>0</v>
      </c>
      <c r="CM196" s="907">
        <f>CM195</f>
        <v>0</v>
      </c>
      <c r="CN196" s="902">
        <f>CN195</f>
        <v>0</v>
      </c>
      <c r="CO196" s="902">
        <f>CM196*CN196</f>
        <v>0</v>
      </c>
      <c r="CP196" s="1840">
        <f>CO197*$I$14</f>
        <v>0</v>
      </c>
      <c r="CQ196" s="1841">
        <f>CQ191</f>
        <v>0</v>
      </c>
      <c r="CR196" s="1842">
        <f>CR191</f>
        <v>0</v>
      </c>
      <c r="CS196" s="1843">
        <f>CO199/(1-CQ196)</f>
        <v>0</v>
      </c>
      <c r="CT196" s="1843">
        <f>CS196*$F$14</f>
        <v>0</v>
      </c>
      <c r="CU196" s="1844">
        <f>E197+M197+U197+AC197+AK197+AS197+BA197+BI197+BQ197+BY197+CG197+CO197</f>
        <v>0</v>
      </c>
      <c r="CV196" s="1844">
        <f>CP196+CH196+BZ196+BR196+BJ196+BB196+AT196+AL196+AD196+V196+N196+F196</f>
        <v>0</v>
      </c>
      <c r="CW196" s="1845">
        <f>I196+Q196+Y196+AG196+AO196+AW196+BE196+BM196+BU196+CC196+CK196+CS196</f>
        <v>0</v>
      </c>
      <c r="CX196" s="1844">
        <f>CT196+CL196+CD196+BV196+BN196+BF196+AX196+AP196+AH196+Z196+R196+J196</f>
        <v>0</v>
      </c>
      <c r="CY196" s="1845">
        <f>CZ191</f>
        <v>0</v>
      </c>
      <c r="CZ196" s="1845">
        <f>E200+M200+U200+AC200+AK200+AS200+BA200+BI200+BQ200+BY200+CG200+CO200</f>
        <v>0</v>
      </c>
      <c r="DA196" s="1845">
        <f>CZ196-CY196</f>
        <v>0</v>
      </c>
      <c r="DB196" s="914"/>
    </row>
    <row r="197" spans="1:106" x14ac:dyDescent="0.3">
      <c r="A197" s="1835"/>
      <c r="B197" s="108" t="s">
        <v>310</v>
      </c>
      <c r="C197" s="898">
        <f>C192</f>
        <v>0</v>
      </c>
      <c r="D197" s="899">
        <f>D192</f>
        <v>0</v>
      </c>
      <c r="E197" s="29">
        <f>C197*D197</f>
        <v>0</v>
      </c>
      <c r="F197" s="1836"/>
      <c r="G197" s="1837"/>
      <c r="H197" s="1838"/>
      <c r="I197" s="1839"/>
      <c r="J197" s="1839"/>
      <c r="K197" s="900">
        <f>K192</f>
        <v>0</v>
      </c>
      <c r="L197" s="901">
        <f>L192</f>
        <v>0</v>
      </c>
      <c r="M197" s="902">
        <f>K197*L197</f>
        <v>0</v>
      </c>
      <c r="N197" s="1840"/>
      <c r="O197" s="1841"/>
      <c r="P197" s="1842"/>
      <c r="Q197" s="1843"/>
      <c r="R197" s="1843"/>
      <c r="S197" s="898">
        <f>S192</f>
        <v>0</v>
      </c>
      <c r="T197" s="899">
        <f>T192</f>
        <v>0</v>
      </c>
      <c r="U197" s="29">
        <f>S197*T197</f>
        <v>0</v>
      </c>
      <c r="V197" s="1836"/>
      <c r="W197" s="1837"/>
      <c r="X197" s="1838"/>
      <c r="Y197" s="1839"/>
      <c r="Z197" s="1839"/>
      <c r="AA197" s="900">
        <f>AA192</f>
        <v>0</v>
      </c>
      <c r="AB197" s="901">
        <f>AB192</f>
        <v>0</v>
      </c>
      <c r="AC197" s="902">
        <f>AA197*AB197</f>
        <v>0</v>
      </c>
      <c r="AD197" s="1840"/>
      <c r="AE197" s="1841"/>
      <c r="AF197" s="1842"/>
      <c r="AG197" s="1843"/>
      <c r="AH197" s="1843"/>
      <c r="AI197" s="898">
        <f>AI192</f>
        <v>0</v>
      </c>
      <c r="AJ197" s="899">
        <f>AJ192</f>
        <v>0</v>
      </c>
      <c r="AK197" s="29">
        <f>AI197*AJ197</f>
        <v>0</v>
      </c>
      <c r="AL197" s="1836"/>
      <c r="AM197" s="1837"/>
      <c r="AN197" s="1838"/>
      <c r="AO197" s="1839"/>
      <c r="AP197" s="1839"/>
      <c r="AQ197" s="900">
        <f>AQ192</f>
        <v>0</v>
      </c>
      <c r="AR197" s="901">
        <f>AR192</f>
        <v>0</v>
      </c>
      <c r="AS197" s="902">
        <f>AQ197*AR197</f>
        <v>0</v>
      </c>
      <c r="AT197" s="1840"/>
      <c r="AU197" s="1841"/>
      <c r="AV197" s="1842"/>
      <c r="AW197" s="1843"/>
      <c r="AX197" s="1843"/>
      <c r="AY197" s="898">
        <f>AY192</f>
        <v>0</v>
      </c>
      <c r="AZ197" s="899">
        <f>AZ192</f>
        <v>0</v>
      </c>
      <c r="BA197" s="29">
        <f>AY197*AZ197</f>
        <v>0</v>
      </c>
      <c r="BB197" s="1836"/>
      <c r="BC197" s="1837"/>
      <c r="BD197" s="1838"/>
      <c r="BE197" s="1839"/>
      <c r="BF197" s="1839"/>
      <c r="BG197" s="900">
        <f>BG192</f>
        <v>0</v>
      </c>
      <c r="BH197" s="901">
        <f>BH192</f>
        <v>0</v>
      </c>
      <c r="BI197" s="902">
        <f>BG197*BH197</f>
        <v>0</v>
      </c>
      <c r="BJ197" s="1840"/>
      <c r="BK197" s="1841"/>
      <c r="BL197" s="1842"/>
      <c r="BM197" s="1843"/>
      <c r="BN197" s="1843"/>
      <c r="BO197" s="898">
        <f>BO192</f>
        <v>0</v>
      </c>
      <c r="BP197" s="899">
        <f>BP192</f>
        <v>0</v>
      </c>
      <c r="BQ197" s="29">
        <f>BO197*BP197</f>
        <v>0</v>
      </c>
      <c r="BR197" s="1836"/>
      <c r="BS197" s="1837"/>
      <c r="BT197" s="1838"/>
      <c r="BU197" s="1839"/>
      <c r="BV197" s="1839"/>
      <c r="BW197" s="900">
        <f>BW192</f>
        <v>0</v>
      </c>
      <c r="BX197" s="901">
        <f>BX192</f>
        <v>0</v>
      </c>
      <c r="BY197" s="902">
        <f>BW197*BX197</f>
        <v>0</v>
      </c>
      <c r="BZ197" s="1840"/>
      <c r="CA197" s="1841"/>
      <c r="CB197" s="1842"/>
      <c r="CC197" s="1843"/>
      <c r="CD197" s="1843"/>
      <c r="CE197" s="898">
        <f>CE192</f>
        <v>0</v>
      </c>
      <c r="CF197" s="899">
        <f>CF192</f>
        <v>0</v>
      </c>
      <c r="CG197" s="29">
        <f>CE197*CF197</f>
        <v>0</v>
      </c>
      <c r="CH197" s="1836"/>
      <c r="CI197" s="1837"/>
      <c r="CJ197" s="1838"/>
      <c r="CK197" s="1839"/>
      <c r="CL197" s="1839"/>
      <c r="CM197" s="900">
        <f>CM192</f>
        <v>0</v>
      </c>
      <c r="CN197" s="901">
        <f>CN192</f>
        <v>0</v>
      </c>
      <c r="CO197" s="902">
        <f>CM197*CN197</f>
        <v>0</v>
      </c>
      <c r="CP197" s="1840"/>
      <c r="CQ197" s="1841"/>
      <c r="CR197" s="1842"/>
      <c r="CS197" s="1843"/>
      <c r="CT197" s="1843"/>
      <c r="CU197" s="1844"/>
      <c r="CV197" s="1844"/>
      <c r="CW197" s="1845"/>
      <c r="CX197" s="1844"/>
      <c r="CY197" s="1845"/>
      <c r="CZ197" s="1845"/>
      <c r="DA197" s="1845"/>
      <c r="DB197" s="912"/>
    </row>
    <row r="198" spans="1:106" ht="12.75" hidden="1" customHeight="1" x14ac:dyDescent="0.3">
      <c r="A198" s="1835"/>
      <c r="B198" s="108" t="s">
        <v>315</v>
      </c>
      <c r="C198" s="906">
        <f>C197+C196</f>
        <v>0</v>
      </c>
      <c r="D198" s="29">
        <f>IF(C198=0,0,E198/C198)</f>
        <v>0</v>
      </c>
      <c r="E198" s="29">
        <f>E197+E196</f>
        <v>0</v>
      </c>
      <c r="F198" s="1836"/>
      <c r="G198" s="1837"/>
      <c r="H198" s="1838"/>
      <c r="I198" s="1839"/>
      <c r="J198" s="1839"/>
      <c r="K198" s="907">
        <f>K197+K196</f>
        <v>0</v>
      </c>
      <c r="L198" s="902">
        <f>IF(K198=0,0,M198/K198)</f>
        <v>0</v>
      </c>
      <c r="M198" s="902">
        <f>M197+M196</f>
        <v>0</v>
      </c>
      <c r="N198" s="1840"/>
      <c r="O198" s="1841"/>
      <c r="P198" s="1842"/>
      <c r="Q198" s="1843"/>
      <c r="R198" s="1843"/>
      <c r="S198" s="906">
        <f>S197+S196</f>
        <v>0</v>
      </c>
      <c r="T198" s="29">
        <f>IF(S198=0,0,U198/S198)</f>
        <v>0</v>
      </c>
      <c r="U198" s="29">
        <f>U197+U196</f>
        <v>0</v>
      </c>
      <c r="V198" s="1836"/>
      <c r="W198" s="1837"/>
      <c r="X198" s="1838"/>
      <c r="Y198" s="1839"/>
      <c r="Z198" s="1839"/>
      <c r="AA198" s="907">
        <f>AA197+AA196</f>
        <v>0</v>
      </c>
      <c r="AB198" s="902">
        <f>IF(AA198=0,0,AC198/AA198)</f>
        <v>0</v>
      </c>
      <c r="AC198" s="902">
        <f>AC197+AC196</f>
        <v>0</v>
      </c>
      <c r="AD198" s="1840"/>
      <c r="AE198" s="1841"/>
      <c r="AF198" s="1842"/>
      <c r="AG198" s="1843"/>
      <c r="AH198" s="1843"/>
      <c r="AI198" s="906">
        <f>AI197+AI196</f>
        <v>0</v>
      </c>
      <c r="AJ198" s="29">
        <f>IF(AI198=0,0,AK198/AI198)</f>
        <v>0</v>
      </c>
      <c r="AK198" s="29">
        <f>AK197+AK196</f>
        <v>0</v>
      </c>
      <c r="AL198" s="1836"/>
      <c r="AM198" s="1837"/>
      <c r="AN198" s="1838"/>
      <c r="AO198" s="1839"/>
      <c r="AP198" s="1839"/>
      <c r="AQ198" s="907">
        <f>AQ197+AQ196</f>
        <v>0</v>
      </c>
      <c r="AR198" s="902">
        <f>IF(AQ198=0,0,AS198/AQ198)</f>
        <v>0</v>
      </c>
      <c r="AS198" s="902">
        <f>AS197+AS196</f>
        <v>0</v>
      </c>
      <c r="AT198" s="1840"/>
      <c r="AU198" s="1841"/>
      <c r="AV198" s="1842"/>
      <c r="AW198" s="1843"/>
      <c r="AX198" s="1843"/>
      <c r="AY198" s="906">
        <f>AY197+AY196</f>
        <v>0</v>
      </c>
      <c r="AZ198" s="29">
        <f>IF(AY198=0,0,BA198/AY198)</f>
        <v>0</v>
      </c>
      <c r="BA198" s="29">
        <f>BA197+BA196</f>
        <v>0</v>
      </c>
      <c r="BB198" s="1836"/>
      <c r="BC198" s="1837"/>
      <c r="BD198" s="1838"/>
      <c r="BE198" s="1839"/>
      <c r="BF198" s="1839"/>
      <c r="BG198" s="907">
        <f>BG197+BG196</f>
        <v>0</v>
      </c>
      <c r="BH198" s="902">
        <f>IF(BG198=0,0,BI198/BG198)</f>
        <v>0</v>
      </c>
      <c r="BI198" s="902">
        <f>BI197+BI196</f>
        <v>0</v>
      </c>
      <c r="BJ198" s="1840"/>
      <c r="BK198" s="1841"/>
      <c r="BL198" s="1842"/>
      <c r="BM198" s="1843"/>
      <c r="BN198" s="1843"/>
      <c r="BO198" s="906">
        <f>BO197+BO196</f>
        <v>0</v>
      </c>
      <c r="BP198" s="29">
        <f>IF(BO198=0,0,BQ198/BO198)</f>
        <v>0</v>
      </c>
      <c r="BQ198" s="29">
        <f>BQ197+BQ196</f>
        <v>0</v>
      </c>
      <c r="BR198" s="1836"/>
      <c r="BS198" s="1837"/>
      <c r="BT198" s="1838"/>
      <c r="BU198" s="1839"/>
      <c r="BV198" s="1839"/>
      <c r="BW198" s="907">
        <f>BW197+BW196</f>
        <v>0</v>
      </c>
      <c r="BX198" s="902">
        <f>IF(BW198=0,0,BY198/BW198)</f>
        <v>0</v>
      </c>
      <c r="BY198" s="902">
        <f>BY197+BY196</f>
        <v>0</v>
      </c>
      <c r="BZ198" s="1840"/>
      <c r="CA198" s="1841"/>
      <c r="CB198" s="1842"/>
      <c r="CC198" s="1843"/>
      <c r="CD198" s="1843"/>
      <c r="CE198" s="906">
        <f>CE197+CE196</f>
        <v>0</v>
      </c>
      <c r="CF198" s="29">
        <f>IF(CE198=0,0,CG198/CE198)</f>
        <v>0</v>
      </c>
      <c r="CG198" s="29">
        <f>CG197+CG196</f>
        <v>0</v>
      </c>
      <c r="CH198" s="1836"/>
      <c r="CI198" s="1837"/>
      <c r="CJ198" s="1838"/>
      <c r="CK198" s="1839"/>
      <c r="CL198" s="1839"/>
      <c r="CM198" s="907">
        <f>CM197+CM196</f>
        <v>0</v>
      </c>
      <c r="CN198" s="902">
        <f>IF(CM198=0,0,CO198/CM198)</f>
        <v>0</v>
      </c>
      <c r="CO198" s="902">
        <f>CO197+CO196</f>
        <v>0</v>
      </c>
      <c r="CP198" s="1840"/>
      <c r="CQ198" s="1841"/>
      <c r="CR198" s="1842"/>
      <c r="CS198" s="1843"/>
      <c r="CT198" s="1843"/>
      <c r="CU198" s="1844"/>
      <c r="CV198" s="1844"/>
      <c r="CW198" s="1845"/>
      <c r="CX198" s="1844"/>
      <c r="CY198" s="1845"/>
      <c r="CZ198" s="1845"/>
      <c r="DA198" s="1845"/>
      <c r="DB198" s="912"/>
    </row>
    <row r="199" spans="1:106" x14ac:dyDescent="0.3">
      <c r="A199" s="1835"/>
      <c r="B199" s="108" t="s">
        <v>312</v>
      </c>
      <c r="C199" s="906">
        <f>H196*C198</f>
        <v>0</v>
      </c>
      <c r="D199" s="29">
        <f>D198</f>
        <v>0</v>
      </c>
      <c r="E199" s="29">
        <f>C199*D199</f>
        <v>0</v>
      </c>
      <c r="F199" s="1836"/>
      <c r="G199" s="1837"/>
      <c r="H199" s="1838"/>
      <c r="I199" s="1839"/>
      <c r="J199" s="1839"/>
      <c r="K199" s="907">
        <f>P196*K198</f>
        <v>0</v>
      </c>
      <c r="L199" s="902">
        <f>L198</f>
        <v>0</v>
      </c>
      <c r="M199" s="902">
        <f>K199*L199</f>
        <v>0</v>
      </c>
      <c r="N199" s="1840"/>
      <c r="O199" s="1841"/>
      <c r="P199" s="1842"/>
      <c r="Q199" s="1843"/>
      <c r="R199" s="1843"/>
      <c r="S199" s="906">
        <f>X196*S198</f>
        <v>0</v>
      </c>
      <c r="T199" s="29">
        <f>T198</f>
        <v>0</v>
      </c>
      <c r="U199" s="29">
        <f>S199*T199</f>
        <v>0</v>
      </c>
      <c r="V199" s="1836"/>
      <c r="W199" s="1837"/>
      <c r="X199" s="1838"/>
      <c r="Y199" s="1839"/>
      <c r="Z199" s="1839"/>
      <c r="AA199" s="907">
        <f>AF196*AA198</f>
        <v>0</v>
      </c>
      <c r="AB199" s="902">
        <f>AB198</f>
        <v>0</v>
      </c>
      <c r="AC199" s="902">
        <f>AA199*AB199</f>
        <v>0</v>
      </c>
      <c r="AD199" s="1840"/>
      <c r="AE199" s="1841"/>
      <c r="AF199" s="1842"/>
      <c r="AG199" s="1843"/>
      <c r="AH199" s="1843"/>
      <c r="AI199" s="906">
        <f>AN196*AI198</f>
        <v>0</v>
      </c>
      <c r="AJ199" s="29">
        <f>AJ198</f>
        <v>0</v>
      </c>
      <c r="AK199" s="29">
        <f>AI199*AJ199</f>
        <v>0</v>
      </c>
      <c r="AL199" s="1836"/>
      <c r="AM199" s="1837"/>
      <c r="AN199" s="1838"/>
      <c r="AO199" s="1839"/>
      <c r="AP199" s="1839"/>
      <c r="AQ199" s="907">
        <f>AV196*AQ198</f>
        <v>0</v>
      </c>
      <c r="AR199" s="902">
        <f>AR198</f>
        <v>0</v>
      </c>
      <c r="AS199" s="902">
        <f>AQ199*AR199</f>
        <v>0</v>
      </c>
      <c r="AT199" s="1840"/>
      <c r="AU199" s="1841"/>
      <c r="AV199" s="1842"/>
      <c r="AW199" s="1843"/>
      <c r="AX199" s="1843"/>
      <c r="AY199" s="906">
        <f>BD196*AY198</f>
        <v>0</v>
      </c>
      <c r="AZ199" s="29">
        <f>AZ198</f>
        <v>0</v>
      </c>
      <c r="BA199" s="29">
        <f>AY199*AZ199</f>
        <v>0</v>
      </c>
      <c r="BB199" s="1836"/>
      <c r="BC199" s="1837"/>
      <c r="BD199" s="1838"/>
      <c r="BE199" s="1839"/>
      <c r="BF199" s="1839"/>
      <c r="BG199" s="907">
        <f>BL196*BG198</f>
        <v>0</v>
      </c>
      <c r="BH199" s="902">
        <f>BH198</f>
        <v>0</v>
      </c>
      <c r="BI199" s="902">
        <f>BG199*BH199</f>
        <v>0</v>
      </c>
      <c r="BJ199" s="1840"/>
      <c r="BK199" s="1841"/>
      <c r="BL199" s="1842"/>
      <c r="BM199" s="1843"/>
      <c r="BN199" s="1843"/>
      <c r="BO199" s="906">
        <f>BT196*BO198</f>
        <v>0</v>
      </c>
      <c r="BP199" s="29">
        <f>BP198</f>
        <v>0</v>
      </c>
      <c r="BQ199" s="29">
        <f>BO199*BP199</f>
        <v>0</v>
      </c>
      <c r="BR199" s="1836"/>
      <c r="BS199" s="1837"/>
      <c r="BT199" s="1838"/>
      <c r="BU199" s="1839"/>
      <c r="BV199" s="1839"/>
      <c r="BW199" s="907">
        <f>CB196*BW198</f>
        <v>0</v>
      </c>
      <c r="BX199" s="902">
        <f>BX198</f>
        <v>0</v>
      </c>
      <c r="BY199" s="902">
        <f>BW199*BX199</f>
        <v>0</v>
      </c>
      <c r="BZ199" s="1840"/>
      <c r="CA199" s="1841"/>
      <c r="CB199" s="1842"/>
      <c r="CC199" s="1843"/>
      <c r="CD199" s="1843"/>
      <c r="CE199" s="906">
        <f>CJ196*CE198</f>
        <v>0</v>
      </c>
      <c r="CF199" s="29">
        <f>CF198</f>
        <v>0</v>
      </c>
      <c r="CG199" s="29">
        <f>CE199*CF199</f>
        <v>0</v>
      </c>
      <c r="CH199" s="1836"/>
      <c r="CI199" s="1837"/>
      <c r="CJ199" s="1838"/>
      <c r="CK199" s="1839"/>
      <c r="CL199" s="1839"/>
      <c r="CM199" s="907">
        <f>CR196*CM198</f>
        <v>0</v>
      </c>
      <c r="CN199" s="902">
        <f>CN198</f>
        <v>0</v>
      </c>
      <c r="CO199" s="902">
        <f>CM199*CN199</f>
        <v>0</v>
      </c>
      <c r="CP199" s="1840"/>
      <c r="CQ199" s="1841"/>
      <c r="CR199" s="1842"/>
      <c r="CS199" s="1843"/>
      <c r="CT199" s="1843"/>
      <c r="CU199" s="1844"/>
      <c r="CV199" s="1844"/>
      <c r="CW199" s="1845"/>
      <c r="CX199" s="1844"/>
      <c r="CY199" s="1845"/>
      <c r="CZ199" s="1845"/>
      <c r="DA199" s="1845"/>
      <c r="DB199" s="912"/>
    </row>
    <row r="200" spans="1:106" x14ac:dyDescent="0.3">
      <c r="A200" s="1835"/>
      <c r="B200" s="108" t="s">
        <v>254</v>
      </c>
      <c r="C200" s="906">
        <f>C196+C197-C199</f>
        <v>0</v>
      </c>
      <c r="D200" s="29">
        <f>D199</f>
        <v>0</v>
      </c>
      <c r="E200" s="29">
        <f>D200*C200</f>
        <v>0</v>
      </c>
      <c r="F200" s="1836"/>
      <c r="G200" s="1837"/>
      <c r="H200" s="1838"/>
      <c r="I200" s="1839"/>
      <c r="J200" s="1839"/>
      <c r="K200" s="907">
        <f>K196+K197-K199</f>
        <v>0</v>
      </c>
      <c r="L200" s="902">
        <f>L199</f>
        <v>0</v>
      </c>
      <c r="M200" s="902">
        <f>L200*K200</f>
        <v>0</v>
      </c>
      <c r="N200" s="1840"/>
      <c r="O200" s="1841"/>
      <c r="P200" s="1842"/>
      <c r="Q200" s="1843"/>
      <c r="R200" s="1843"/>
      <c r="S200" s="906">
        <f>S196+S197-S199</f>
        <v>0</v>
      </c>
      <c r="T200" s="29">
        <f>T199</f>
        <v>0</v>
      </c>
      <c r="U200" s="29">
        <f>T200*S200</f>
        <v>0</v>
      </c>
      <c r="V200" s="1836"/>
      <c r="W200" s="1837"/>
      <c r="X200" s="1838"/>
      <c r="Y200" s="1839"/>
      <c r="Z200" s="1839"/>
      <c r="AA200" s="907">
        <f>AA196+AA197-AA199</f>
        <v>0</v>
      </c>
      <c r="AB200" s="902">
        <f>AB199</f>
        <v>0</v>
      </c>
      <c r="AC200" s="902">
        <f>AB200*AA200</f>
        <v>0</v>
      </c>
      <c r="AD200" s="1840"/>
      <c r="AE200" s="1841"/>
      <c r="AF200" s="1842"/>
      <c r="AG200" s="1843"/>
      <c r="AH200" s="1843"/>
      <c r="AI200" s="906">
        <f>AI196+AI197-AI199</f>
        <v>0</v>
      </c>
      <c r="AJ200" s="29">
        <f>AJ199</f>
        <v>0</v>
      </c>
      <c r="AK200" s="29">
        <f>AJ200*AI200</f>
        <v>0</v>
      </c>
      <c r="AL200" s="1836"/>
      <c r="AM200" s="1837"/>
      <c r="AN200" s="1838"/>
      <c r="AO200" s="1839"/>
      <c r="AP200" s="1839"/>
      <c r="AQ200" s="907">
        <f>AQ196+AQ197-AQ199</f>
        <v>0</v>
      </c>
      <c r="AR200" s="902">
        <f>AR199</f>
        <v>0</v>
      </c>
      <c r="AS200" s="902">
        <f>AR200*AQ200</f>
        <v>0</v>
      </c>
      <c r="AT200" s="1840"/>
      <c r="AU200" s="1841"/>
      <c r="AV200" s="1842"/>
      <c r="AW200" s="1843"/>
      <c r="AX200" s="1843"/>
      <c r="AY200" s="906">
        <f>AY196+AY197-AY199</f>
        <v>0</v>
      </c>
      <c r="AZ200" s="29">
        <f>AZ199</f>
        <v>0</v>
      </c>
      <c r="BA200" s="29">
        <f>AZ200*AY200</f>
        <v>0</v>
      </c>
      <c r="BB200" s="1836"/>
      <c r="BC200" s="1837"/>
      <c r="BD200" s="1838"/>
      <c r="BE200" s="1839"/>
      <c r="BF200" s="1839"/>
      <c r="BG200" s="907">
        <f>BG196+BG197-BG199</f>
        <v>0</v>
      </c>
      <c r="BH200" s="902">
        <f>BH199</f>
        <v>0</v>
      </c>
      <c r="BI200" s="902">
        <f>BH200*BG200</f>
        <v>0</v>
      </c>
      <c r="BJ200" s="1840"/>
      <c r="BK200" s="1841"/>
      <c r="BL200" s="1842"/>
      <c r="BM200" s="1843"/>
      <c r="BN200" s="1843"/>
      <c r="BO200" s="906">
        <f>BO196+BO197-BO199</f>
        <v>0</v>
      </c>
      <c r="BP200" s="29">
        <f>BP199</f>
        <v>0</v>
      </c>
      <c r="BQ200" s="29">
        <f>BP200*BO200</f>
        <v>0</v>
      </c>
      <c r="BR200" s="1836"/>
      <c r="BS200" s="1837"/>
      <c r="BT200" s="1838"/>
      <c r="BU200" s="1839"/>
      <c r="BV200" s="1839"/>
      <c r="BW200" s="907">
        <f>BW196+BW197-BW199</f>
        <v>0</v>
      </c>
      <c r="BX200" s="902">
        <f>BX199</f>
        <v>0</v>
      </c>
      <c r="BY200" s="902">
        <f>BX200*BW200</f>
        <v>0</v>
      </c>
      <c r="BZ200" s="1840"/>
      <c r="CA200" s="1841"/>
      <c r="CB200" s="1842"/>
      <c r="CC200" s="1843"/>
      <c r="CD200" s="1843"/>
      <c r="CE200" s="906">
        <f>CE196+CE197-CE199</f>
        <v>0</v>
      </c>
      <c r="CF200" s="29">
        <f>CF199</f>
        <v>0</v>
      </c>
      <c r="CG200" s="29">
        <f>CF200*CE200</f>
        <v>0</v>
      </c>
      <c r="CH200" s="1836"/>
      <c r="CI200" s="1837"/>
      <c r="CJ200" s="1838"/>
      <c r="CK200" s="1839"/>
      <c r="CL200" s="1839"/>
      <c r="CM200" s="907">
        <f>CM196+CM197-CM199</f>
        <v>0</v>
      </c>
      <c r="CN200" s="902">
        <f>CN199</f>
        <v>0</v>
      </c>
      <c r="CO200" s="902">
        <f>CN200*CM200</f>
        <v>0</v>
      </c>
      <c r="CP200" s="1840"/>
      <c r="CQ200" s="1841"/>
      <c r="CR200" s="1842"/>
      <c r="CS200" s="1843"/>
      <c r="CT200" s="1843"/>
      <c r="CU200" s="1844"/>
      <c r="CV200" s="1844"/>
      <c r="CW200" s="1845"/>
      <c r="CX200" s="1844"/>
      <c r="CY200" s="1845"/>
      <c r="CZ200" s="1845"/>
      <c r="DA200" s="1845"/>
      <c r="DB200" s="912"/>
    </row>
    <row r="201" spans="1:106" x14ac:dyDescent="0.3">
      <c r="A201" s="1835" t="str">
        <f>A132</f>
        <v>OCTUBRE</v>
      </c>
      <c r="B201" s="108" t="s">
        <v>255</v>
      </c>
      <c r="C201" s="906">
        <f>C200</f>
        <v>0</v>
      </c>
      <c r="D201" s="29">
        <f>D200</f>
        <v>0</v>
      </c>
      <c r="E201" s="29">
        <f>C201*D201</f>
        <v>0</v>
      </c>
      <c r="F201" s="1836">
        <f>E202*$I$3</f>
        <v>0</v>
      </c>
      <c r="G201" s="1837">
        <f>G196</f>
        <v>0</v>
      </c>
      <c r="H201" s="1838">
        <f>H196</f>
        <v>0</v>
      </c>
      <c r="I201" s="1839">
        <f>E204/(1-G201)</f>
        <v>0</v>
      </c>
      <c r="J201" s="1839">
        <f>I201*$F$3</f>
        <v>0</v>
      </c>
      <c r="K201" s="907">
        <f>K200</f>
        <v>0</v>
      </c>
      <c r="L201" s="902">
        <f>L200</f>
        <v>0</v>
      </c>
      <c r="M201" s="902">
        <f>K201*L201</f>
        <v>0</v>
      </c>
      <c r="N201" s="1840">
        <f>M202*$I$4</f>
        <v>0</v>
      </c>
      <c r="O201" s="1841">
        <f>O196</f>
        <v>0</v>
      </c>
      <c r="P201" s="1842">
        <f>P196</f>
        <v>0</v>
      </c>
      <c r="Q201" s="1843">
        <f>M204/(1-O201)</f>
        <v>0</v>
      </c>
      <c r="R201" s="1843">
        <f>Q201*$F$4</f>
        <v>0</v>
      </c>
      <c r="S201" s="906">
        <f>S200</f>
        <v>0</v>
      </c>
      <c r="T201" s="29">
        <f>T200</f>
        <v>0</v>
      </c>
      <c r="U201" s="29">
        <f>S201*T201</f>
        <v>0</v>
      </c>
      <c r="V201" s="1836">
        <f>U202*$I$5</f>
        <v>0</v>
      </c>
      <c r="W201" s="1837">
        <f>W196</f>
        <v>0</v>
      </c>
      <c r="X201" s="1838">
        <f>X196</f>
        <v>0</v>
      </c>
      <c r="Y201" s="1839">
        <f>U204/(1-W201)</f>
        <v>0</v>
      </c>
      <c r="Z201" s="1839">
        <f>Y201*$F$5</f>
        <v>0</v>
      </c>
      <c r="AA201" s="907">
        <f>AA200</f>
        <v>0</v>
      </c>
      <c r="AB201" s="902">
        <f>AB200</f>
        <v>0</v>
      </c>
      <c r="AC201" s="902">
        <f>AA201*AB201</f>
        <v>0</v>
      </c>
      <c r="AD201" s="1840">
        <f>AC202*$I$6</f>
        <v>0</v>
      </c>
      <c r="AE201" s="1841">
        <f>AE196</f>
        <v>0</v>
      </c>
      <c r="AF201" s="1842">
        <f>AF196</f>
        <v>0</v>
      </c>
      <c r="AG201" s="1843">
        <f>AC204/(1-AE201)</f>
        <v>0</v>
      </c>
      <c r="AH201" s="1843">
        <f>AG201*$F$6</f>
        <v>0</v>
      </c>
      <c r="AI201" s="906">
        <f>AI200</f>
        <v>0</v>
      </c>
      <c r="AJ201" s="29">
        <f>AJ200</f>
        <v>0</v>
      </c>
      <c r="AK201" s="29">
        <f>AI201*AJ201</f>
        <v>0</v>
      </c>
      <c r="AL201" s="1836">
        <f>AK202*$I$7</f>
        <v>0</v>
      </c>
      <c r="AM201" s="1837">
        <f>AM196</f>
        <v>0</v>
      </c>
      <c r="AN201" s="1838">
        <f>AN196</f>
        <v>0</v>
      </c>
      <c r="AO201" s="1839">
        <f>AK204/(1-AM201)</f>
        <v>0</v>
      </c>
      <c r="AP201" s="1839">
        <f>AO201*$F$7</f>
        <v>0</v>
      </c>
      <c r="AQ201" s="907">
        <f>AQ200</f>
        <v>0</v>
      </c>
      <c r="AR201" s="902">
        <f>AR200</f>
        <v>0</v>
      </c>
      <c r="AS201" s="902">
        <f>AQ201*AR201</f>
        <v>0</v>
      </c>
      <c r="AT201" s="1840">
        <f>AS202*$I$8</f>
        <v>0</v>
      </c>
      <c r="AU201" s="1841">
        <f>AU196</f>
        <v>0</v>
      </c>
      <c r="AV201" s="1842">
        <f>AV196</f>
        <v>0</v>
      </c>
      <c r="AW201" s="1843">
        <f>AS204/(1-AU201)</f>
        <v>0</v>
      </c>
      <c r="AX201" s="1843">
        <f>AW201*$F$8</f>
        <v>0</v>
      </c>
      <c r="AY201" s="906">
        <f>AY200</f>
        <v>0</v>
      </c>
      <c r="AZ201" s="29">
        <f>AZ200</f>
        <v>0</v>
      </c>
      <c r="BA201" s="29">
        <f>AY201*AZ201</f>
        <v>0</v>
      </c>
      <c r="BB201" s="1836">
        <f>BA202*$I$9</f>
        <v>0</v>
      </c>
      <c r="BC201" s="1837">
        <f>BC196</f>
        <v>0</v>
      </c>
      <c r="BD201" s="1838">
        <f>BD196</f>
        <v>0</v>
      </c>
      <c r="BE201" s="1839">
        <f>BA204/(1-BC201)</f>
        <v>0</v>
      </c>
      <c r="BF201" s="1839">
        <f>BE201*$F$9</f>
        <v>0</v>
      </c>
      <c r="BG201" s="907">
        <f>BG200</f>
        <v>0</v>
      </c>
      <c r="BH201" s="902">
        <f>BH200</f>
        <v>0</v>
      </c>
      <c r="BI201" s="902">
        <f>BG201*BH201</f>
        <v>0</v>
      </c>
      <c r="BJ201" s="1840">
        <f>BI202*$I$10</f>
        <v>0</v>
      </c>
      <c r="BK201" s="1841">
        <f>BK196</f>
        <v>0</v>
      </c>
      <c r="BL201" s="1842">
        <f>BL196</f>
        <v>0</v>
      </c>
      <c r="BM201" s="1843">
        <f>BI204/(1-BK201)</f>
        <v>0</v>
      </c>
      <c r="BN201" s="1843">
        <f>BM201*$F$10</f>
        <v>0</v>
      </c>
      <c r="BO201" s="906">
        <f>BO200</f>
        <v>0</v>
      </c>
      <c r="BP201" s="29">
        <f>BP200</f>
        <v>0</v>
      </c>
      <c r="BQ201" s="29">
        <f>BO201*BP201</f>
        <v>0</v>
      </c>
      <c r="BR201" s="1836">
        <f>BQ202*$I$11</f>
        <v>0</v>
      </c>
      <c r="BS201" s="1837">
        <f>BS196</f>
        <v>0</v>
      </c>
      <c r="BT201" s="1838">
        <f>BT196</f>
        <v>0</v>
      </c>
      <c r="BU201" s="1839">
        <f>BQ204/(1-BS201)</f>
        <v>0</v>
      </c>
      <c r="BV201" s="1839">
        <f>BU201*$F$11</f>
        <v>0</v>
      </c>
      <c r="BW201" s="907">
        <f>BW200</f>
        <v>0</v>
      </c>
      <c r="BX201" s="902">
        <f>BX200</f>
        <v>0</v>
      </c>
      <c r="BY201" s="902">
        <f>BW201*BX201</f>
        <v>0</v>
      </c>
      <c r="BZ201" s="1840">
        <f>BY202*$I$12</f>
        <v>0</v>
      </c>
      <c r="CA201" s="1841">
        <f>CA196</f>
        <v>0</v>
      </c>
      <c r="CB201" s="1842">
        <f>CB196</f>
        <v>0</v>
      </c>
      <c r="CC201" s="1843">
        <f>BY204/(1-CA201)</f>
        <v>0</v>
      </c>
      <c r="CD201" s="1843">
        <f>CC201*$F$12</f>
        <v>0</v>
      </c>
      <c r="CE201" s="906">
        <f>CE200</f>
        <v>0</v>
      </c>
      <c r="CF201" s="29">
        <f>CF200</f>
        <v>0</v>
      </c>
      <c r="CG201" s="29">
        <f>CE201*CF201</f>
        <v>0</v>
      </c>
      <c r="CH201" s="1836">
        <f>CG202*$I$13</f>
        <v>0</v>
      </c>
      <c r="CI201" s="1837">
        <f>CI196</f>
        <v>0</v>
      </c>
      <c r="CJ201" s="1838">
        <f>CJ196</f>
        <v>0</v>
      </c>
      <c r="CK201" s="1839">
        <f>CG204/(1-CI201)</f>
        <v>0</v>
      </c>
      <c r="CL201" s="1839">
        <f>CK201*$F$13</f>
        <v>0</v>
      </c>
      <c r="CM201" s="907">
        <f>CM200</f>
        <v>0</v>
      </c>
      <c r="CN201" s="902">
        <f>CN200</f>
        <v>0</v>
      </c>
      <c r="CO201" s="902">
        <f>CM201*CN201</f>
        <v>0</v>
      </c>
      <c r="CP201" s="1840">
        <f>CO202*$I$14</f>
        <v>0</v>
      </c>
      <c r="CQ201" s="1841">
        <f>CQ196</f>
        <v>0</v>
      </c>
      <c r="CR201" s="1842">
        <f>CR196</f>
        <v>0</v>
      </c>
      <c r="CS201" s="1843">
        <f>CO204/(1-CQ201)</f>
        <v>0</v>
      </c>
      <c r="CT201" s="1843">
        <f>CS201*$F$14</f>
        <v>0</v>
      </c>
      <c r="CU201" s="1844">
        <f>E202+M202+U202+AC202+AK202+AS202+BA202+BI202+BQ202+BY202+CG202+CO202</f>
        <v>0</v>
      </c>
      <c r="CV201" s="1844">
        <f>CP201+CH201+BZ201+BR201+BJ201+BB201+AT201+AL201+AD201+V201+N201+F201</f>
        <v>0</v>
      </c>
      <c r="CW201" s="1845">
        <f>I201+Q201+Y201+AG201+AO201+AW201+BE201+BM201+BU201+CC201+CK201+CS201</f>
        <v>0</v>
      </c>
      <c r="CX201" s="1844">
        <f>CT201+CL201+CD201+BV201+BN201+BF201+AX201+AP201+AH201+Z201+R201+J201</f>
        <v>0</v>
      </c>
      <c r="CY201" s="1845">
        <f>CZ196</f>
        <v>0</v>
      </c>
      <c r="CZ201" s="1845">
        <f>E205+M205+U205+AC205+AK205+AS205+BA205+BI205+BQ205+BY205+CG205+CO205</f>
        <v>0</v>
      </c>
      <c r="DA201" s="1845">
        <f>CZ201-CY201</f>
        <v>0</v>
      </c>
      <c r="DB201" s="914"/>
    </row>
    <row r="202" spans="1:106" x14ac:dyDescent="0.3">
      <c r="A202" s="1835"/>
      <c r="B202" s="108" t="s">
        <v>310</v>
      </c>
      <c r="C202" s="898">
        <f>C197</f>
        <v>0</v>
      </c>
      <c r="D202" s="899">
        <f>D197</f>
        <v>0</v>
      </c>
      <c r="E202" s="29">
        <f>C202*D202</f>
        <v>0</v>
      </c>
      <c r="F202" s="1836"/>
      <c r="G202" s="1837"/>
      <c r="H202" s="1838"/>
      <c r="I202" s="1839"/>
      <c r="J202" s="1839"/>
      <c r="K202" s="900">
        <f>K197</f>
        <v>0</v>
      </c>
      <c r="L202" s="901">
        <f>L197</f>
        <v>0</v>
      </c>
      <c r="M202" s="902">
        <f>K202*L202</f>
        <v>0</v>
      </c>
      <c r="N202" s="1840"/>
      <c r="O202" s="1841"/>
      <c r="P202" s="1842"/>
      <c r="Q202" s="1843"/>
      <c r="R202" s="1843"/>
      <c r="S202" s="898">
        <f>S197</f>
        <v>0</v>
      </c>
      <c r="T202" s="899">
        <f>T197</f>
        <v>0</v>
      </c>
      <c r="U202" s="29">
        <f>S202*T202</f>
        <v>0</v>
      </c>
      <c r="V202" s="1836"/>
      <c r="W202" s="1837"/>
      <c r="X202" s="1838"/>
      <c r="Y202" s="1839"/>
      <c r="Z202" s="1839"/>
      <c r="AA202" s="900">
        <f>AA197</f>
        <v>0</v>
      </c>
      <c r="AB202" s="901">
        <f>AB197</f>
        <v>0</v>
      </c>
      <c r="AC202" s="902">
        <f>AA202*AB202</f>
        <v>0</v>
      </c>
      <c r="AD202" s="1840"/>
      <c r="AE202" s="1841"/>
      <c r="AF202" s="1842"/>
      <c r="AG202" s="1843"/>
      <c r="AH202" s="1843"/>
      <c r="AI202" s="898">
        <f>AI197</f>
        <v>0</v>
      </c>
      <c r="AJ202" s="899">
        <f>AJ197</f>
        <v>0</v>
      </c>
      <c r="AK202" s="29">
        <f>AI202*AJ202</f>
        <v>0</v>
      </c>
      <c r="AL202" s="1836"/>
      <c r="AM202" s="1837"/>
      <c r="AN202" s="1838"/>
      <c r="AO202" s="1839"/>
      <c r="AP202" s="1839"/>
      <c r="AQ202" s="900">
        <f>AQ197</f>
        <v>0</v>
      </c>
      <c r="AR202" s="901">
        <f>AR197</f>
        <v>0</v>
      </c>
      <c r="AS202" s="902">
        <f>AQ202*AR202</f>
        <v>0</v>
      </c>
      <c r="AT202" s="1840"/>
      <c r="AU202" s="1841"/>
      <c r="AV202" s="1842"/>
      <c r="AW202" s="1843"/>
      <c r="AX202" s="1843"/>
      <c r="AY202" s="898">
        <f>AY197</f>
        <v>0</v>
      </c>
      <c r="AZ202" s="899">
        <f>AZ197</f>
        <v>0</v>
      </c>
      <c r="BA202" s="29">
        <f>AY202*AZ202</f>
        <v>0</v>
      </c>
      <c r="BB202" s="1836"/>
      <c r="BC202" s="1837"/>
      <c r="BD202" s="1838"/>
      <c r="BE202" s="1839"/>
      <c r="BF202" s="1839"/>
      <c r="BG202" s="900">
        <f>BG197</f>
        <v>0</v>
      </c>
      <c r="BH202" s="901">
        <f>BH197</f>
        <v>0</v>
      </c>
      <c r="BI202" s="902">
        <f>BG202*BH202</f>
        <v>0</v>
      </c>
      <c r="BJ202" s="1840"/>
      <c r="BK202" s="1841"/>
      <c r="BL202" s="1842"/>
      <c r="BM202" s="1843"/>
      <c r="BN202" s="1843"/>
      <c r="BO202" s="898">
        <f>BO197</f>
        <v>0</v>
      </c>
      <c r="BP202" s="899">
        <f>BP197</f>
        <v>0</v>
      </c>
      <c r="BQ202" s="29">
        <f>BO202*BP202</f>
        <v>0</v>
      </c>
      <c r="BR202" s="1836"/>
      <c r="BS202" s="1837"/>
      <c r="BT202" s="1838"/>
      <c r="BU202" s="1839"/>
      <c r="BV202" s="1839"/>
      <c r="BW202" s="900">
        <f>BW197</f>
        <v>0</v>
      </c>
      <c r="BX202" s="901">
        <f>BX197</f>
        <v>0</v>
      </c>
      <c r="BY202" s="902">
        <f>BW202*BX202</f>
        <v>0</v>
      </c>
      <c r="BZ202" s="1840"/>
      <c r="CA202" s="1841"/>
      <c r="CB202" s="1842"/>
      <c r="CC202" s="1843"/>
      <c r="CD202" s="1843"/>
      <c r="CE202" s="898">
        <f>CE197</f>
        <v>0</v>
      </c>
      <c r="CF202" s="899">
        <f>CF197</f>
        <v>0</v>
      </c>
      <c r="CG202" s="29">
        <f>CE202*CF202</f>
        <v>0</v>
      </c>
      <c r="CH202" s="1836"/>
      <c r="CI202" s="1837"/>
      <c r="CJ202" s="1838"/>
      <c r="CK202" s="1839"/>
      <c r="CL202" s="1839"/>
      <c r="CM202" s="900">
        <f>CM197</f>
        <v>0</v>
      </c>
      <c r="CN202" s="901">
        <f>CN197</f>
        <v>0</v>
      </c>
      <c r="CO202" s="902">
        <f>CM202*CN202</f>
        <v>0</v>
      </c>
      <c r="CP202" s="1840"/>
      <c r="CQ202" s="1841"/>
      <c r="CR202" s="1842"/>
      <c r="CS202" s="1843"/>
      <c r="CT202" s="1843"/>
      <c r="CU202" s="1844"/>
      <c r="CV202" s="1844"/>
      <c r="CW202" s="1845"/>
      <c r="CX202" s="1844"/>
      <c r="CY202" s="1845"/>
      <c r="CZ202" s="1845"/>
      <c r="DA202" s="1845"/>
      <c r="DB202" s="912"/>
    </row>
    <row r="203" spans="1:106" ht="12.75" hidden="1" customHeight="1" x14ac:dyDescent="0.3">
      <c r="A203" s="1835"/>
      <c r="B203" s="108" t="s">
        <v>315</v>
      </c>
      <c r="C203" s="906">
        <f>C202+C201</f>
        <v>0</v>
      </c>
      <c r="D203" s="29">
        <f>IF(C203=0,0,E203/C203)</f>
        <v>0</v>
      </c>
      <c r="E203" s="29">
        <f>E202+E201</f>
        <v>0</v>
      </c>
      <c r="F203" s="1836"/>
      <c r="G203" s="1837"/>
      <c r="H203" s="1838"/>
      <c r="I203" s="1839"/>
      <c r="J203" s="1839"/>
      <c r="K203" s="907">
        <f>K202+K201</f>
        <v>0</v>
      </c>
      <c r="L203" s="902">
        <f>IF(K203=0,0,M203/K203)</f>
        <v>0</v>
      </c>
      <c r="M203" s="902">
        <f>M202+M201</f>
        <v>0</v>
      </c>
      <c r="N203" s="1840"/>
      <c r="O203" s="1841"/>
      <c r="P203" s="1842"/>
      <c r="Q203" s="1843"/>
      <c r="R203" s="1843"/>
      <c r="S203" s="906">
        <f>S202+S201</f>
        <v>0</v>
      </c>
      <c r="T203" s="29">
        <f>IF(S203=0,0,U203/S203)</f>
        <v>0</v>
      </c>
      <c r="U203" s="29">
        <f>U202+U201</f>
        <v>0</v>
      </c>
      <c r="V203" s="1836"/>
      <c r="W203" s="1837"/>
      <c r="X203" s="1838"/>
      <c r="Y203" s="1839"/>
      <c r="Z203" s="1839"/>
      <c r="AA203" s="907">
        <f>AA202+AA201</f>
        <v>0</v>
      </c>
      <c r="AB203" s="902">
        <f>IF(AA203=0,0,AC203/AA203)</f>
        <v>0</v>
      </c>
      <c r="AC203" s="902">
        <f>AC202+AC201</f>
        <v>0</v>
      </c>
      <c r="AD203" s="1840"/>
      <c r="AE203" s="1841"/>
      <c r="AF203" s="1842"/>
      <c r="AG203" s="1843"/>
      <c r="AH203" s="1843"/>
      <c r="AI203" s="906">
        <f>AI202+AI201</f>
        <v>0</v>
      </c>
      <c r="AJ203" s="29">
        <f>IF(AI203=0,0,AK203/AI203)</f>
        <v>0</v>
      </c>
      <c r="AK203" s="29">
        <f>AK202+AK201</f>
        <v>0</v>
      </c>
      <c r="AL203" s="1836"/>
      <c r="AM203" s="1837"/>
      <c r="AN203" s="1838"/>
      <c r="AO203" s="1839"/>
      <c r="AP203" s="1839"/>
      <c r="AQ203" s="907">
        <f>AQ202+AQ201</f>
        <v>0</v>
      </c>
      <c r="AR203" s="902">
        <f>IF(AQ203=0,0,AS203/AQ203)</f>
        <v>0</v>
      </c>
      <c r="AS203" s="902">
        <f>AS202+AS201</f>
        <v>0</v>
      </c>
      <c r="AT203" s="1840"/>
      <c r="AU203" s="1841"/>
      <c r="AV203" s="1842"/>
      <c r="AW203" s="1843"/>
      <c r="AX203" s="1843"/>
      <c r="AY203" s="906">
        <f>AY202+AY201</f>
        <v>0</v>
      </c>
      <c r="AZ203" s="29">
        <f>IF(AY203=0,0,BA203/AY203)</f>
        <v>0</v>
      </c>
      <c r="BA203" s="29">
        <f>BA202+BA201</f>
        <v>0</v>
      </c>
      <c r="BB203" s="1836"/>
      <c r="BC203" s="1837"/>
      <c r="BD203" s="1838"/>
      <c r="BE203" s="1839"/>
      <c r="BF203" s="1839"/>
      <c r="BG203" s="907">
        <f>BG202+BG201</f>
        <v>0</v>
      </c>
      <c r="BH203" s="902">
        <f>IF(BG203=0,0,BI203/BG203)</f>
        <v>0</v>
      </c>
      <c r="BI203" s="902">
        <f>BI202+BI201</f>
        <v>0</v>
      </c>
      <c r="BJ203" s="1840"/>
      <c r="BK203" s="1841"/>
      <c r="BL203" s="1842"/>
      <c r="BM203" s="1843"/>
      <c r="BN203" s="1843"/>
      <c r="BO203" s="906">
        <f>BO202+BO201</f>
        <v>0</v>
      </c>
      <c r="BP203" s="29">
        <f>IF(BO203=0,0,BQ203/BO203)</f>
        <v>0</v>
      </c>
      <c r="BQ203" s="29">
        <f>BQ202+BQ201</f>
        <v>0</v>
      </c>
      <c r="BR203" s="1836"/>
      <c r="BS203" s="1837"/>
      <c r="BT203" s="1838"/>
      <c r="BU203" s="1839"/>
      <c r="BV203" s="1839"/>
      <c r="BW203" s="907">
        <f>BW202+BW201</f>
        <v>0</v>
      </c>
      <c r="BX203" s="902">
        <f>IF(BW203=0,0,BY203/BW203)</f>
        <v>0</v>
      </c>
      <c r="BY203" s="902">
        <f>BY202+BY201</f>
        <v>0</v>
      </c>
      <c r="BZ203" s="1840"/>
      <c r="CA203" s="1841"/>
      <c r="CB203" s="1842"/>
      <c r="CC203" s="1843"/>
      <c r="CD203" s="1843"/>
      <c r="CE203" s="906">
        <f>CE202+CE201</f>
        <v>0</v>
      </c>
      <c r="CF203" s="29">
        <f>IF(CE203=0,0,CG203/CE203)</f>
        <v>0</v>
      </c>
      <c r="CG203" s="29">
        <f>CG202+CG201</f>
        <v>0</v>
      </c>
      <c r="CH203" s="1836"/>
      <c r="CI203" s="1837"/>
      <c r="CJ203" s="1838"/>
      <c r="CK203" s="1839"/>
      <c r="CL203" s="1839"/>
      <c r="CM203" s="907">
        <f>CM202+CM201</f>
        <v>0</v>
      </c>
      <c r="CN203" s="902">
        <f>IF(CM203=0,0,CO203/CM203)</f>
        <v>0</v>
      </c>
      <c r="CO203" s="902">
        <f>CO202+CO201</f>
        <v>0</v>
      </c>
      <c r="CP203" s="1840"/>
      <c r="CQ203" s="1841"/>
      <c r="CR203" s="1842"/>
      <c r="CS203" s="1843"/>
      <c r="CT203" s="1843"/>
      <c r="CU203" s="1844"/>
      <c r="CV203" s="1844"/>
      <c r="CW203" s="1845"/>
      <c r="CX203" s="1844"/>
      <c r="CY203" s="1845"/>
      <c r="CZ203" s="1845"/>
      <c r="DA203" s="1845"/>
      <c r="DB203" s="912"/>
    </row>
    <row r="204" spans="1:106" x14ac:dyDescent="0.3">
      <c r="A204" s="1835"/>
      <c r="B204" s="108" t="s">
        <v>312</v>
      </c>
      <c r="C204" s="906">
        <f>H201*C203</f>
        <v>0</v>
      </c>
      <c r="D204" s="29">
        <f>D203</f>
        <v>0</v>
      </c>
      <c r="E204" s="29">
        <f>C204*D204</f>
        <v>0</v>
      </c>
      <c r="F204" s="1836"/>
      <c r="G204" s="1837"/>
      <c r="H204" s="1838"/>
      <c r="I204" s="1839"/>
      <c r="J204" s="1839"/>
      <c r="K204" s="907">
        <f>P201*K203</f>
        <v>0</v>
      </c>
      <c r="L204" s="902">
        <f>L203</f>
        <v>0</v>
      </c>
      <c r="M204" s="902">
        <f>K204*L204</f>
        <v>0</v>
      </c>
      <c r="N204" s="1840"/>
      <c r="O204" s="1841"/>
      <c r="P204" s="1842"/>
      <c r="Q204" s="1843"/>
      <c r="R204" s="1843"/>
      <c r="S204" s="906">
        <f>X201*S203</f>
        <v>0</v>
      </c>
      <c r="T204" s="29">
        <f>T203</f>
        <v>0</v>
      </c>
      <c r="U204" s="29">
        <f>S204*T204</f>
        <v>0</v>
      </c>
      <c r="V204" s="1836"/>
      <c r="W204" s="1837"/>
      <c r="X204" s="1838"/>
      <c r="Y204" s="1839"/>
      <c r="Z204" s="1839"/>
      <c r="AA204" s="907">
        <f>AF201*AA203</f>
        <v>0</v>
      </c>
      <c r="AB204" s="902">
        <f>AB203</f>
        <v>0</v>
      </c>
      <c r="AC204" s="902">
        <f>AA204*AB204</f>
        <v>0</v>
      </c>
      <c r="AD204" s="1840"/>
      <c r="AE204" s="1841"/>
      <c r="AF204" s="1842"/>
      <c r="AG204" s="1843"/>
      <c r="AH204" s="1843"/>
      <c r="AI204" s="906">
        <f>AN201*AI203</f>
        <v>0</v>
      </c>
      <c r="AJ204" s="29">
        <f>AJ203</f>
        <v>0</v>
      </c>
      <c r="AK204" s="29">
        <f>AI204*AJ204</f>
        <v>0</v>
      </c>
      <c r="AL204" s="1836"/>
      <c r="AM204" s="1837"/>
      <c r="AN204" s="1838"/>
      <c r="AO204" s="1839"/>
      <c r="AP204" s="1839"/>
      <c r="AQ204" s="907">
        <f>AV201*AQ203</f>
        <v>0</v>
      </c>
      <c r="AR204" s="902">
        <f>AR203</f>
        <v>0</v>
      </c>
      <c r="AS204" s="902">
        <f>AQ204*AR204</f>
        <v>0</v>
      </c>
      <c r="AT204" s="1840"/>
      <c r="AU204" s="1841"/>
      <c r="AV204" s="1842"/>
      <c r="AW204" s="1843"/>
      <c r="AX204" s="1843"/>
      <c r="AY204" s="906">
        <f>BD201*AY203</f>
        <v>0</v>
      </c>
      <c r="AZ204" s="29">
        <f>AZ203</f>
        <v>0</v>
      </c>
      <c r="BA204" s="29">
        <f>AY204*AZ204</f>
        <v>0</v>
      </c>
      <c r="BB204" s="1836"/>
      <c r="BC204" s="1837"/>
      <c r="BD204" s="1838"/>
      <c r="BE204" s="1839"/>
      <c r="BF204" s="1839"/>
      <c r="BG204" s="907">
        <f>BL201*BG203</f>
        <v>0</v>
      </c>
      <c r="BH204" s="902">
        <f>BH203</f>
        <v>0</v>
      </c>
      <c r="BI204" s="902">
        <f>BG204*BH204</f>
        <v>0</v>
      </c>
      <c r="BJ204" s="1840"/>
      <c r="BK204" s="1841"/>
      <c r="BL204" s="1842"/>
      <c r="BM204" s="1843"/>
      <c r="BN204" s="1843"/>
      <c r="BO204" s="906">
        <f>BT201*BO203</f>
        <v>0</v>
      </c>
      <c r="BP204" s="29">
        <f>BP203</f>
        <v>0</v>
      </c>
      <c r="BQ204" s="29">
        <f>BO204*BP204</f>
        <v>0</v>
      </c>
      <c r="BR204" s="1836"/>
      <c r="BS204" s="1837"/>
      <c r="BT204" s="1838"/>
      <c r="BU204" s="1839"/>
      <c r="BV204" s="1839"/>
      <c r="BW204" s="907">
        <f>CB201*BW203</f>
        <v>0</v>
      </c>
      <c r="BX204" s="902">
        <f>BX203</f>
        <v>0</v>
      </c>
      <c r="BY204" s="902">
        <f>BW204*BX204</f>
        <v>0</v>
      </c>
      <c r="BZ204" s="1840"/>
      <c r="CA204" s="1841"/>
      <c r="CB204" s="1842"/>
      <c r="CC204" s="1843"/>
      <c r="CD204" s="1843"/>
      <c r="CE204" s="906">
        <f>CJ201*CE203</f>
        <v>0</v>
      </c>
      <c r="CF204" s="29">
        <f>CF203</f>
        <v>0</v>
      </c>
      <c r="CG204" s="29">
        <f>CE204*CF204</f>
        <v>0</v>
      </c>
      <c r="CH204" s="1836"/>
      <c r="CI204" s="1837"/>
      <c r="CJ204" s="1838"/>
      <c r="CK204" s="1839"/>
      <c r="CL204" s="1839"/>
      <c r="CM204" s="907">
        <f>CR201*CM203</f>
        <v>0</v>
      </c>
      <c r="CN204" s="902">
        <f>CN203</f>
        <v>0</v>
      </c>
      <c r="CO204" s="902">
        <f>CM204*CN204</f>
        <v>0</v>
      </c>
      <c r="CP204" s="1840"/>
      <c r="CQ204" s="1841"/>
      <c r="CR204" s="1842"/>
      <c r="CS204" s="1843"/>
      <c r="CT204" s="1843"/>
      <c r="CU204" s="1844"/>
      <c r="CV204" s="1844"/>
      <c r="CW204" s="1845"/>
      <c r="CX204" s="1844"/>
      <c r="CY204" s="1845"/>
      <c r="CZ204" s="1845"/>
      <c r="DA204" s="1845"/>
      <c r="DB204" s="912"/>
    </row>
    <row r="205" spans="1:106" x14ac:dyDescent="0.3">
      <c r="A205" s="1835"/>
      <c r="B205" s="108" t="s">
        <v>254</v>
      </c>
      <c r="C205" s="906">
        <f>C201+C202-C204</f>
        <v>0</v>
      </c>
      <c r="D205" s="29">
        <f>D204</f>
        <v>0</v>
      </c>
      <c r="E205" s="29">
        <f>D205*C205</f>
        <v>0</v>
      </c>
      <c r="F205" s="1836"/>
      <c r="G205" s="1837"/>
      <c r="H205" s="1838"/>
      <c r="I205" s="1839"/>
      <c r="J205" s="1839"/>
      <c r="K205" s="907">
        <f>K201+K202-K204</f>
        <v>0</v>
      </c>
      <c r="L205" s="902">
        <f>L204</f>
        <v>0</v>
      </c>
      <c r="M205" s="902">
        <f>L205*K205</f>
        <v>0</v>
      </c>
      <c r="N205" s="1840"/>
      <c r="O205" s="1841"/>
      <c r="P205" s="1842"/>
      <c r="Q205" s="1843"/>
      <c r="R205" s="1843"/>
      <c r="S205" s="906">
        <f>S201+S202-S204</f>
        <v>0</v>
      </c>
      <c r="T205" s="29">
        <f>T204</f>
        <v>0</v>
      </c>
      <c r="U205" s="29">
        <f>T205*S205</f>
        <v>0</v>
      </c>
      <c r="V205" s="1836"/>
      <c r="W205" s="1837"/>
      <c r="X205" s="1838"/>
      <c r="Y205" s="1839"/>
      <c r="Z205" s="1839"/>
      <c r="AA205" s="907">
        <f>AA201+AA202-AA204</f>
        <v>0</v>
      </c>
      <c r="AB205" s="902">
        <f>AB204</f>
        <v>0</v>
      </c>
      <c r="AC205" s="902">
        <f>AB205*AA205</f>
        <v>0</v>
      </c>
      <c r="AD205" s="1840"/>
      <c r="AE205" s="1841"/>
      <c r="AF205" s="1842"/>
      <c r="AG205" s="1843"/>
      <c r="AH205" s="1843"/>
      <c r="AI205" s="906">
        <f>AI201+AI202-AI204</f>
        <v>0</v>
      </c>
      <c r="AJ205" s="29">
        <f>AJ204</f>
        <v>0</v>
      </c>
      <c r="AK205" s="29">
        <f>AJ205*AI205</f>
        <v>0</v>
      </c>
      <c r="AL205" s="1836"/>
      <c r="AM205" s="1837"/>
      <c r="AN205" s="1838"/>
      <c r="AO205" s="1839"/>
      <c r="AP205" s="1839"/>
      <c r="AQ205" s="907">
        <f>AQ201+AQ202-AQ204</f>
        <v>0</v>
      </c>
      <c r="AR205" s="902">
        <f>AR204</f>
        <v>0</v>
      </c>
      <c r="AS205" s="902">
        <f>AR205*AQ205</f>
        <v>0</v>
      </c>
      <c r="AT205" s="1840"/>
      <c r="AU205" s="1841"/>
      <c r="AV205" s="1842"/>
      <c r="AW205" s="1843"/>
      <c r="AX205" s="1843"/>
      <c r="AY205" s="906">
        <f>AY201+AY202-AY204</f>
        <v>0</v>
      </c>
      <c r="AZ205" s="29">
        <f>AZ204</f>
        <v>0</v>
      </c>
      <c r="BA205" s="29">
        <f>AZ205*AY205</f>
        <v>0</v>
      </c>
      <c r="BB205" s="1836"/>
      <c r="BC205" s="1837"/>
      <c r="BD205" s="1838"/>
      <c r="BE205" s="1839"/>
      <c r="BF205" s="1839"/>
      <c r="BG205" s="907">
        <f>BG201+BG202-BG204</f>
        <v>0</v>
      </c>
      <c r="BH205" s="902">
        <f>BH204</f>
        <v>0</v>
      </c>
      <c r="BI205" s="902">
        <f>BH205*BG205</f>
        <v>0</v>
      </c>
      <c r="BJ205" s="1840"/>
      <c r="BK205" s="1841"/>
      <c r="BL205" s="1842"/>
      <c r="BM205" s="1843"/>
      <c r="BN205" s="1843"/>
      <c r="BO205" s="906">
        <f>BO201+BO202-BO204</f>
        <v>0</v>
      </c>
      <c r="BP205" s="29">
        <f>BP204</f>
        <v>0</v>
      </c>
      <c r="BQ205" s="29">
        <f>BP205*BO205</f>
        <v>0</v>
      </c>
      <c r="BR205" s="1836"/>
      <c r="BS205" s="1837"/>
      <c r="BT205" s="1838"/>
      <c r="BU205" s="1839"/>
      <c r="BV205" s="1839"/>
      <c r="BW205" s="907">
        <f>BW201+BW202-BW204</f>
        <v>0</v>
      </c>
      <c r="BX205" s="902">
        <f>BX204</f>
        <v>0</v>
      </c>
      <c r="BY205" s="902">
        <f>BX205*BW205</f>
        <v>0</v>
      </c>
      <c r="BZ205" s="1840"/>
      <c r="CA205" s="1841"/>
      <c r="CB205" s="1842"/>
      <c r="CC205" s="1843"/>
      <c r="CD205" s="1843"/>
      <c r="CE205" s="906">
        <f>CE201+CE202-CE204</f>
        <v>0</v>
      </c>
      <c r="CF205" s="29">
        <f>CF204</f>
        <v>0</v>
      </c>
      <c r="CG205" s="29">
        <f>CF205*CE205</f>
        <v>0</v>
      </c>
      <c r="CH205" s="1836"/>
      <c r="CI205" s="1837"/>
      <c r="CJ205" s="1838"/>
      <c r="CK205" s="1839"/>
      <c r="CL205" s="1839"/>
      <c r="CM205" s="907">
        <f>CM201+CM202-CM204</f>
        <v>0</v>
      </c>
      <c r="CN205" s="902">
        <f>CN204</f>
        <v>0</v>
      </c>
      <c r="CO205" s="902">
        <f>CN205*CM205</f>
        <v>0</v>
      </c>
      <c r="CP205" s="1840"/>
      <c r="CQ205" s="1841"/>
      <c r="CR205" s="1842"/>
      <c r="CS205" s="1843"/>
      <c r="CT205" s="1843"/>
      <c r="CU205" s="1844"/>
      <c r="CV205" s="1844"/>
      <c r="CW205" s="1845"/>
      <c r="CX205" s="1844"/>
      <c r="CY205" s="1845"/>
      <c r="CZ205" s="1845"/>
      <c r="DA205" s="1845"/>
      <c r="DB205" s="912"/>
    </row>
    <row r="206" spans="1:106" x14ac:dyDescent="0.3">
      <c r="A206" s="1835" t="str">
        <f>A137</f>
        <v>NOVEMBRE</v>
      </c>
      <c r="B206" s="108" t="s">
        <v>255</v>
      </c>
      <c r="C206" s="906">
        <f>C205</f>
        <v>0</v>
      </c>
      <c r="D206" s="29">
        <f>D205</f>
        <v>0</v>
      </c>
      <c r="E206" s="29">
        <f>C206*D206</f>
        <v>0</v>
      </c>
      <c r="F206" s="1836">
        <f>E207*$I$3</f>
        <v>0</v>
      </c>
      <c r="G206" s="1837">
        <f>G201</f>
        <v>0</v>
      </c>
      <c r="H206" s="1838">
        <f>H201</f>
        <v>0</v>
      </c>
      <c r="I206" s="1839">
        <f>E209/(1-G206)</f>
        <v>0</v>
      </c>
      <c r="J206" s="1839">
        <f>I206*$F$3</f>
        <v>0</v>
      </c>
      <c r="K206" s="907">
        <f>K205</f>
        <v>0</v>
      </c>
      <c r="L206" s="902">
        <f>L205</f>
        <v>0</v>
      </c>
      <c r="M206" s="902">
        <f>K206*L206</f>
        <v>0</v>
      </c>
      <c r="N206" s="1840">
        <f>M207*$I$4</f>
        <v>0</v>
      </c>
      <c r="O206" s="1841">
        <f>O201</f>
        <v>0</v>
      </c>
      <c r="P206" s="1842">
        <f>P201</f>
        <v>0</v>
      </c>
      <c r="Q206" s="1843">
        <f>M209/(1-O206)</f>
        <v>0</v>
      </c>
      <c r="R206" s="1843">
        <f>Q206*$F$4</f>
        <v>0</v>
      </c>
      <c r="S206" s="906">
        <f>S205</f>
        <v>0</v>
      </c>
      <c r="T206" s="29">
        <f>T205</f>
        <v>0</v>
      </c>
      <c r="U206" s="29">
        <f>S206*T206</f>
        <v>0</v>
      </c>
      <c r="V206" s="1836">
        <f>U207*$I$5</f>
        <v>0</v>
      </c>
      <c r="W206" s="1837">
        <f>W201</f>
        <v>0</v>
      </c>
      <c r="X206" s="1838">
        <f>X201</f>
        <v>0</v>
      </c>
      <c r="Y206" s="1839">
        <f>U209/(1-W206)</f>
        <v>0</v>
      </c>
      <c r="Z206" s="1839">
        <f>Y206*$F$5</f>
        <v>0</v>
      </c>
      <c r="AA206" s="907">
        <f>AA205</f>
        <v>0</v>
      </c>
      <c r="AB206" s="902">
        <f>AB205</f>
        <v>0</v>
      </c>
      <c r="AC206" s="902">
        <f>AA206*AB206</f>
        <v>0</v>
      </c>
      <c r="AD206" s="1840">
        <f>AC207*$I$6</f>
        <v>0</v>
      </c>
      <c r="AE206" s="1841">
        <f>AE201</f>
        <v>0</v>
      </c>
      <c r="AF206" s="1842">
        <f>AF201</f>
        <v>0</v>
      </c>
      <c r="AG206" s="1843">
        <f>AC209/(1-AE206)</f>
        <v>0</v>
      </c>
      <c r="AH206" s="1843">
        <f>AG206*$F$6</f>
        <v>0</v>
      </c>
      <c r="AI206" s="906">
        <f>AI205</f>
        <v>0</v>
      </c>
      <c r="AJ206" s="29">
        <f>AJ205</f>
        <v>0</v>
      </c>
      <c r="AK206" s="29">
        <f>AI206*AJ206</f>
        <v>0</v>
      </c>
      <c r="AL206" s="1836">
        <f>AK207*$I$7</f>
        <v>0</v>
      </c>
      <c r="AM206" s="1837">
        <f>AM201</f>
        <v>0</v>
      </c>
      <c r="AN206" s="1838">
        <f>AN201</f>
        <v>0</v>
      </c>
      <c r="AO206" s="1839">
        <f>AK209/(1-AM206)</f>
        <v>0</v>
      </c>
      <c r="AP206" s="1839">
        <f>AO206*$F$7</f>
        <v>0</v>
      </c>
      <c r="AQ206" s="907">
        <f>AQ205</f>
        <v>0</v>
      </c>
      <c r="AR206" s="902">
        <f>AR205</f>
        <v>0</v>
      </c>
      <c r="AS206" s="902">
        <f>AQ206*AR206</f>
        <v>0</v>
      </c>
      <c r="AT206" s="1840">
        <f>AS207*$I$8</f>
        <v>0</v>
      </c>
      <c r="AU206" s="1841">
        <f>AU201</f>
        <v>0</v>
      </c>
      <c r="AV206" s="1842">
        <f>AV201</f>
        <v>0</v>
      </c>
      <c r="AW206" s="1843">
        <f>AS209/(1-AU206)</f>
        <v>0</v>
      </c>
      <c r="AX206" s="1843">
        <f>AW206*$F$8</f>
        <v>0</v>
      </c>
      <c r="AY206" s="906">
        <f>AY205</f>
        <v>0</v>
      </c>
      <c r="AZ206" s="29">
        <f>AZ205</f>
        <v>0</v>
      </c>
      <c r="BA206" s="29">
        <f>AY206*AZ206</f>
        <v>0</v>
      </c>
      <c r="BB206" s="1836">
        <f>BA207*$I$9</f>
        <v>0</v>
      </c>
      <c r="BC206" s="1837">
        <f>BC201</f>
        <v>0</v>
      </c>
      <c r="BD206" s="1838">
        <f>BD201</f>
        <v>0</v>
      </c>
      <c r="BE206" s="1839">
        <f>BA209/(1-BC206)</f>
        <v>0</v>
      </c>
      <c r="BF206" s="1839">
        <f>BE206*$F$9</f>
        <v>0</v>
      </c>
      <c r="BG206" s="907">
        <f>BG205</f>
        <v>0</v>
      </c>
      <c r="BH206" s="902">
        <f>BH205</f>
        <v>0</v>
      </c>
      <c r="BI206" s="902">
        <f>BG206*BH206</f>
        <v>0</v>
      </c>
      <c r="BJ206" s="1840">
        <f>BI207*$I$10</f>
        <v>0</v>
      </c>
      <c r="BK206" s="1841">
        <f>BK201</f>
        <v>0</v>
      </c>
      <c r="BL206" s="1842">
        <f>BL201</f>
        <v>0</v>
      </c>
      <c r="BM206" s="1843">
        <f>BI209/(1-BK206)</f>
        <v>0</v>
      </c>
      <c r="BN206" s="1843">
        <f>BM206*$F$10</f>
        <v>0</v>
      </c>
      <c r="BO206" s="906">
        <f>BO205</f>
        <v>0</v>
      </c>
      <c r="BP206" s="29">
        <f>BP205</f>
        <v>0</v>
      </c>
      <c r="BQ206" s="29">
        <f>BO206*BP206</f>
        <v>0</v>
      </c>
      <c r="BR206" s="1836">
        <f>BQ207*$I$11</f>
        <v>0</v>
      </c>
      <c r="BS206" s="1837">
        <f>BS201</f>
        <v>0</v>
      </c>
      <c r="BT206" s="1838">
        <f>BT201</f>
        <v>0</v>
      </c>
      <c r="BU206" s="1839">
        <f>BQ209/(1-BS206)</f>
        <v>0</v>
      </c>
      <c r="BV206" s="1839">
        <f>BU206*$F$11</f>
        <v>0</v>
      </c>
      <c r="BW206" s="907">
        <f>BW205</f>
        <v>0</v>
      </c>
      <c r="BX206" s="902">
        <f>BX205</f>
        <v>0</v>
      </c>
      <c r="BY206" s="902">
        <f>BW206*BX206</f>
        <v>0</v>
      </c>
      <c r="BZ206" s="1840">
        <f>BY207*$I$12</f>
        <v>0</v>
      </c>
      <c r="CA206" s="1841">
        <f>CA201</f>
        <v>0</v>
      </c>
      <c r="CB206" s="1842">
        <f>CB201</f>
        <v>0</v>
      </c>
      <c r="CC206" s="1843">
        <f>BY209/(1-CA206)</f>
        <v>0</v>
      </c>
      <c r="CD206" s="1843">
        <f>CC206*$F$12</f>
        <v>0</v>
      </c>
      <c r="CE206" s="906">
        <f>CE205</f>
        <v>0</v>
      </c>
      <c r="CF206" s="29">
        <f>CF205</f>
        <v>0</v>
      </c>
      <c r="CG206" s="29">
        <f>CE206*CF206</f>
        <v>0</v>
      </c>
      <c r="CH206" s="1836">
        <f>CG207*$I$13</f>
        <v>0</v>
      </c>
      <c r="CI206" s="1837">
        <f>CI201</f>
        <v>0</v>
      </c>
      <c r="CJ206" s="1838">
        <f>CJ201</f>
        <v>0</v>
      </c>
      <c r="CK206" s="1839">
        <f>CG209/(1-CI206)</f>
        <v>0</v>
      </c>
      <c r="CL206" s="1839">
        <f>CK206*$F$13</f>
        <v>0</v>
      </c>
      <c r="CM206" s="907">
        <f>CM205</f>
        <v>0</v>
      </c>
      <c r="CN206" s="902">
        <f>CN205</f>
        <v>0</v>
      </c>
      <c r="CO206" s="902">
        <f>CM206*CN206</f>
        <v>0</v>
      </c>
      <c r="CP206" s="1840">
        <f>CO207*$I$14</f>
        <v>0</v>
      </c>
      <c r="CQ206" s="1841">
        <f>CQ201</f>
        <v>0</v>
      </c>
      <c r="CR206" s="1842">
        <f>CR201</f>
        <v>0</v>
      </c>
      <c r="CS206" s="1843">
        <f>CO209/(1-CQ206)</f>
        <v>0</v>
      </c>
      <c r="CT206" s="1843">
        <f>CS206*$F$14</f>
        <v>0</v>
      </c>
      <c r="CU206" s="1844">
        <f>E207+M207+U207+AC207+AK207+AS207+BA207+BI207+BQ207+BY207+CG207+CO207</f>
        <v>0</v>
      </c>
      <c r="CV206" s="1844">
        <f>CP206+CH206+BZ206+BR206+BJ206+BB206+AT206+AL206+AD206+V206+N206+F206</f>
        <v>0</v>
      </c>
      <c r="CW206" s="1845">
        <f>I206+Q206+Y206+AG206+AO206+AW206+BE206+BM206+BU206+CC206+CK206+CS206</f>
        <v>0</v>
      </c>
      <c r="CX206" s="1844">
        <f>CT206+CL206+CD206+BV206+BN206+BF206+AX206+AP206+AH206+Z206+R206+J206</f>
        <v>0</v>
      </c>
      <c r="CY206" s="1845">
        <f>CZ201</f>
        <v>0</v>
      </c>
      <c r="CZ206" s="1845">
        <f>E210+M210+U210+AC210+AK210+AS210+BA210+BI210+BQ210+BY210+CG210+CO210</f>
        <v>0</v>
      </c>
      <c r="DA206" s="1845">
        <f>CZ206-CY206</f>
        <v>0</v>
      </c>
      <c r="DB206" s="914"/>
    </row>
    <row r="207" spans="1:106" x14ac:dyDescent="0.3">
      <c r="A207" s="1835"/>
      <c r="B207" s="108" t="s">
        <v>310</v>
      </c>
      <c r="C207" s="898">
        <f>C202</f>
        <v>0</v>
      </c>
      <c r="D207" s="899">
        <f>D202</f>
        <v>0</v>
      </c>
      <c r="E207" s="29">
        <f>C207*D207</f>
        <v>0</v>
      </c>
      <c r="F207" s="1836"/>
      <c r="G207" s="1837"/>
      <c r="H207" s="1838"/>
      <c r="I207" s="1839"/>
      <c r="J207" s="1839"/>
      <c r="K207" s="900">
        <f>K202</f>
        <v>0</v>
      </c>
      <c r="L207" s="901">
        <f>L202</f>
        <v>0</v>
      </c>
      <c r="M207" s="902">
        <f>K207*L207</f>
        <v>0</v>
      </c>
      <c r="N207" s="1840"/>
      <c r="O207" s="1841"/>
      <c r="P207" s="1842"/>
      <c r="Q207" s="1843"/>
      <c r="R207" s="1843"/>
      <c r="S207" s="898">
        <f>S202</f>
        <v>0</v>
      </c>
      <c r="T207" s="899">
        <f>T202</f>
        <v>0</v>
      </c>
      <c r="U207" s="29">
        <f>S207*T207</f>
        <v>0</v>
      </c>
      <c r="V207" s="1836"/>
      <c r="W207" s="1837"/>
      <c r="X207" s="1838"/>
      <c r="Y207" s="1839"/>
      <c r="Z207" s="1839"/>
      <c r="AA207" s="900">
        <f>AA202</f>
        <v>0</v>
      </c>
      <c r="AB207" s="901">
        <f>AB202</f>
        <v>0</v>
      </c>
      <c r="AC207" s="902">
        <f>AA207*AB207</f>
        <v>0</v>
      </c>
      <c r="AD207" s="1840"/>
      <c r="AE207" s="1841"/>
      <c r="AF207" s="1842"/>
      <c r="AG207" s="1843"/>
      <c r="AH207" s="1843"/>
      <c r="AI207" s="898">
        <f>AI202</f>
        <v>0</v>
      </c>
      <c r="AJ207" s="899">
        <f>AJ202</f>
        <v>0</v>
      </c>
      <c r="AK207" s="29">
        <f>AI207*AJ207</f>
        <v>0</v>
      </c>
      <c r="AL207" s="1836"/>
      <c r="AM207" s="1837"/>
      <c r="AN207" s="1838"/>
      <c r="AO207" s="1839"/>
      <c r="AP207" s="1839"/>
      <c r="AQ207" s="900">
        <f>AQ202</f>
        <v>0</v>
      </c>
      <c r="AR207" s="901">
        <f>AR202</f>
        <v>0</v>
      </c>
      <c r="AS207" s="902">
        <f>AQ207*AR207</f>
        <v>0</v>
      </c>
      <c r="AT207" s="1840"/>
      <c r="AU207" s="1841"/>
      <c r="AV207" s="1842"/>
      <c r="AW207" s="1843"/>
      <c r="AX207" s="1843"/>
      <c r="AY207" s="898">
        <f>AY202</f>
        <v>0</v>
      </c>
      <c r="AZ207" s="899">
        <f>AZ202</f>
        <v>0</v>
      </c>
      <c r="BA207" s="29">
        <f>AY207*AZ207</f>
        <v>0</v>
      </c>
      <c r="BB207" s="1836"/>
      <c r="BC207" s="1837"/>
      <c r="BD207" s="1838"/>
      <c r="BE207" s="1839"/>
      <c r="BF207" s="1839"/>
      <c r="BG207" s="900">
        <f>BG202</f>
        <v>0</v>
      </c>
      <c r="BH207" s="901">
        <f>BH202</f>
        <v>0</v>
      </c>
      <c r="BI207" s="902">
        <f>BG207*BH207</f>
        <v>0</v>
      </c>
      <c r="BJ207" s="1840"/>
      <c r="BK207" s="1841"/>
      <c r="BL207" s="1842"/>
      <c r="BM207" s="1843"/>
      <c r="BN207" s="1843"/>
      <c r="BO207" s="898">
        <f>BO202</f>
        <v>0</v>
      </c>
      <c r="BP207" s="899">
        <f>BP202</f>
        <v>0</v>
      </c>
      <c r="BQ207" s="29">
        <f>BO207*BP207</f>
        <v>0</v>
      </c>
      <c r="BR207" s="1836"/>
      <c r="BS207" s="1837"/>
      <c r="BT207" s="1838"/>
      <c r="BU207" s="1839"/>
      <c r="BV207" s="1839"/>
      <c r="BW207" s="900">
        <f>BW202</f>
        <v>0</v>
      </c>
      <c r="BX207" s="901">
        <f>BX202</f>
        <v>0</v>
      </c>
      <c r="BY207" s="902">
        <f>BW207*BX207</f>
        <v>0</v>
      </c>
      <c r="BZ207" s="1840"/>
      <c r="CA207" s="1841"/>
      <c r="CB207" s="1842"/>
      <c r="CC207" s="1843"/>
      <c r="CD207" s="1843"/>
      <c r="CE207" s="898">
        <f>CE202</f>
        <v>0</v>
      </c>
      <c r="CF207" s="899">
        <f>CF202</f>
        <v>0</v>
      </c>
      <c r="CG207" s="29">
        <f>CE207*CF207</f>
        <v>0</v>
      </c>
      <c r="CH207" s="1836"/>
      <c r="CI207" s="1837"/>
      <c r="CJ207" s="1838"/>
      <c r="CK207" s="1839"/>
      <c r="CL207" s="1839"/>
      <c r="CM207" s="900">
        <f>CM202</f>
        <v>0</v>
      </c>
      <c r="CN207" s="901">
        <f>CN202</f>
        <v>0</v>
      </c>
      <c r="CO207" s="902">
        <f>CM207*CN207</f>
        <v>0</v>
      </c>
      <c r="CP207" s="1840"/>
      <c r="CQ207" s="1841"/>
      <c r="CR207" s="1842"/>
      <c r="CS207" s="1843"/>
      <c r="CT207" s="1843"/>
      <c r="CU207" s="1844"/>
      <c r="CV207" s="1844"/>
      <c r="CW207" s="1845"/>
      <c r="CX207" s="1844"/>
      <c r="CY207" s="1845"/>
      <c r="CZ207" s="1845"/>
      <c r="DA207" s="1845"/>
      <c r="DB207" s="912"/>
    </row>
    <row r="208" spans="1:106" ht="12.75" hidden="1" customHeight="1" x14ac:dyDescent="0.3">
      <c r="A208" s="1835"/>
      <c r="B208" s="108" t="s">
        <v>315</v>
      </c>
      <c r="C208" s="906">
        <f>C207+C206</f>
        <v>0</v>
      </c>
      <c r="D208" s="29">
        <f>IF(C208=0,0,E208/C208)</f>
        <v>0</v>
      </c>
      <c r="E208" s="29">
        <f>E207+E206</f>
        <v>0</v>
      </c>
      <c r="F208" s="1836"/>
      <c r="G208" s="1837"/>
      <c r="H208" s="1838"/>
      <c r="I208" s="1839"/>
      <c r="J208" s="1839"/>
      <c r="K208" s="907">
        <f>K207+K206</f>
        <v>0</v>
      </c>
      <c r="L208" s="902">
        <f>IF(K208=0,0,M208/K208)</f>
        <v>0</v>
      </c>
      <c r="M208" s="902">
        <f>M207+M206</f>
        <v>0</v>
      </c>
      <c r="N208" s="1840"/>
      <c r="O208" s="1841"/>
      <c r="P208" s="1842"/>
      <c r="Q208" s="1843"/>
      <c r="R208" s="1843"/>
      <c r="S208" s="906">
        <f>S207+S206</f>
        <v>0</v>
      </c>
      <c r="T208" s="29">
        <f>IF(S208=0,0,U208/S208)</f>
        <v>0</v>
      </c>
      <c r="U208" s="29">
        <f>U207+U206</f>
        <v>0</v>
      </c>
      <c r="V208" s="1836"/>
      <c r="W208" s="1837"/>
      <c r="X208" s="1838"/>
      <c r="Y208" s="1839"/>
      <c r="Z208" s="1839"/>
      <c r="AA208" s="907">
        <f>AA207+AA206</f>
        <v>0</v>
      </c>
      <c r="AB208" s="902">
        <f>IF(AA208=0,0,AC208/AA208)</f>
        <v>0</v>
      </c>
      <c r="AC208" s="902">
        <f>AC207+AC206</f>
        <v>0</v>
      </c>
      <c r="AD208" s="1840"/>
      <c r="AE208" s="1841"/>
      <c r="AF208" s="1842"/>
      <c r="AG208" s="1843"/>
      <c r="AH208" s="1843"/>
      <c r="AI208" s="906">
        <f>AI207+AI206</f>
        <v>0</v>
      </c>
      <c r="AJ208" s="29">
        <f>IF(AI208=0,0,AK208/AI208)</f>
        <v>0</v>
      </c>
      <c r="AK208" s="29">
        <f>AK207+AK206</f>
        <v>0</v>
      </c>
      <c r="AL208" s="1836"/>
      <c r="AM208" s="1837"/>
      <c r="AN208" s="1838"/>
      <c r="AO208" s="1839"/>
      <c r="AP208" s="1839"/>
      <c r="AQ208" s="907">
        <f>AQ207+AQ206</f>
        <v>0</v>
      </c>
      <c r="AR208" s="902">
        <f>IF(AQ208=0,0,AS208/AQ208)</f>
        <v>0</v>
      </c>
      <c r="AS208" s="902">
        <f>AS207+AS206</f>
        <v>0</v>
      </c>
      <c r="AT208" s="1840"/>
      <c r="AU208" s="1841"/>
      <c r="AV208" s="1842"/>
      <c r="AW208" s="1843"/>
      <c r="AX208" s="1843"/>
      <c r="AY208" s="906">
        <f>AY207+AY206</f>
        <v>0</v>
      </c>
      <c r="AZ208" s="29">
        <f>IF(AY208=0,0,BA208/AY208)</f>
        <v>0</v>
      </c>
      <c r="BA208" s="29">
        <f>BA207+BA206</f>
        <v>0</v>
      </c>
      <c r="BB208" s="1836"/>
      <c r="BC208" s="1837"/>
      <c r="BD208" s="1838"/>
      <c r="BE208" s="1839"/>
      <c r="BF208" s="1839"/>
      <c r="BG208" s="907">
        <f>BG207+BG206</f>
        <v>0</v>
      </c>
      <c r="BH208" s="902">
        <f>IF(BG208=0,0,BI208/BG208)</f>
        <v>0</v>
      </c>
      <c r="BI208" s="902">
        <f>BI207+BI206</f>
        <v>0</v>
      </c>
      <c r="BJ208" s="1840"/>
      <c r="BK208" s="1841"/>
      <c r="BL208" s="1842"/>
      <c r="BM208" s="1843"/>
      <c r="BN208" s="1843"/>
      <c r="BO208" s="906">
        <f>BO207+BO206</f>
        <v>0</v>
      </c>
      <c r="BP208" s="29">
        <f>IF(BO208=0,0,BQ208/BO208)</f>
        <v>0</v>
      </c>
      <c r="BQ208" s="29">
        <f>BQ207+BQ206</f>
        <v>0</v>
      </c>
      <c r="BR208" s="1836"/>
      <c r="BS208" s="1837"/>
      <c r="BT208" s="1838"/>
      <c r="BU208" s="1839"/>
      <c r="BV208" s="1839"/>
      <c r="BW208" s="907">
        <f>BW207+BW206</f>
        <v>0</v>
      </c>
      <c r="BX208" s="902">
        <f>IF(BW208=0,0,BY208/BW208)</f>
        <v>0</v>
      </c>
      <c r="BY208" s="902">
        <f>BY207+BY206</f>
        <v>0</v>
      </c>
      <c r="BZ208" s="1840"/>
      <c r="CA208" s="1841"/>
      <c r="CB208" s="1842"/>
      <c r="CC208" s="1843"/>
      <c r="CD208" s="1843"/>
      <c r="CE208" s="906">
        <f>CE207+CE206</f>
        <v>0</v>
      </c>
      <c r="CF208" s="29">
        <f>IF(CE208=0,0,CG208/CE208)</f>
        <v>0</v>
      </c>
      <c r="CG208" s="29">
        <f>CG207+CG206</f>
        <v>0</v>
      </c>
      <c r="CH208" s="1836"/>
      <c r="CI208" s="1837"/>
      <c r="CJ208" s="1838"/>
      <c r="CK208" s="1839"/>
      <c r="CL208" s="1839"/>
      <c r="CM208" s="907">
        <f>CM207+CM206</f>
        <v>0</v>
      </c>
      <c r="CN208" s="902">
        <f>IF(CM208=0,0,CO208/CM208)</f>
        <v>0</v>
      </c>
      <c r="CO208" s="902">
        <f>CO207+CO206</f>
        <v>0</v>
      </c>
      <c r="CP208" s="1840"/>
      <c r="CQ208" s="1841"/>
      <c r="CR208" s="1842"/>
      <c r="CS208" s="1843"/>
      <c r="CT208" s="1843"/>
      <c r="CU208" s="1844"/>
      <c r="CV208" s="1844"/>
      <c r="CW208" s="1845"/>
      <c r="CX208" s="1844"/>
      <c r="CY208" s="1845"/>
      <c r="CZ208" s="1845"/>
      <c r="DA208" s="1845"/>
      <c r="DB208" s="912"/>
    </row>
    <row r="209" spans="1:106" x14ac:dyDescent="0.3">
      <c r="A209" s="1835"/>
      <c r="B209" s="108" t="s">
        <v>312</v>
      </c>
      <c r="C209" s="906">
        <f>H206*C208</f>
        <v>0</v>
      </c>
      <c r="D209" s="29">
        <f>D208</f>
        <v>0</v>
      </c>
      <c r="E209" s="29">
        <f>C209*D209</f>
        <v>0</v>
      </c>
      <c r="F209" s="1836"/>
      <c r="G209" s="1837"/>
      <c r="H209" s="1838"/>
      <c r="I209" s="1839"/>
      <c r="J209" s="1839"/>
      <c r="K209" s="907">
        <f>P206*K208</f>
        <v>0</v>
      </c>
      <c r="L209" s="902">
        <f>L208</f>
        <v>0</v>
      </c>
      <c r="M209" s="902">
        <f>K209*L209</f>
        <v>0</v>
      </c>
      <c r="N209" s="1840"/>
      <c r="O209" s="1841"/>
      <c r="P209" s="1842"/>
      <c r="Q209" s="1843"/>
      <c r="R209" s="1843"/>
      <c r="S209" s="906">
        <f>X206*S208</f>
        <v>0</v>
      </c>
      <c r="T209" s="29">
        <f>T208</f>
        <v>0</v>
      </c>
      <c r="U209" s="29">
        <f>S209*T209</f>
        <v>0</v>
      </c>
      <c r="V209" s="1836"/>
      <c r="W209" s="1837"/>
      <c r="X209" s="1838"/>
      <c r="Y209" s="1839"/>
      <c r="Z209" s="1839"/>
      <c r="AA209" s="907">
        <f>AF206*AA208</f>
        <v>0</v>
      </c>
      <c r="AB209" s="902">
        <f>AB208</f>
        <v>0</v>
      </c>
      <c r="AC209" s="902">
        <f>AA209*AB209</f>
        <v>0</v>
      </c>
      <c r="AD209" s="1840"/>
      <c r="AE209" s="1841"/>
      <c r="AF209" s="1842"/>
      <c r="AG209" s="1843"/>
      <c r="AH209" s="1843"/>
      <c r="AI209" s="906">
        <f>AN206*AI208</f>
        <v>0</v>
      </c>
      <c r="AJ209" s="29">
        <f>AJ208</f>
        <v>0</v>
      </c>
      <c r="AK209" s="29">
        <f>AI209*AJ209</f>
        <v>0</v>
      </c>
      <c r="AL209" s="1836"/>
      <c r="AM209" s="1837"/>
      <c r="AN209" s="1838"/>
      <c r="AO209" s="1839"/>
      <c r="AP209" s="1839"/>
      <c r="AQ209" s="907">
        <f>AV206*AQ208</f>
        <v>0</v>
      </c>
      <c r="AR209" s="902">
        <f>AR208</f>
        <v>0</v>
      </c>
      <c r="AS209" s="902">
        <f>AQ209*AR209</f>
        <v>0</v>
      </c>
      <c r="AT209" s="1840"/>
      <c r="AU209" s="1841"/>
      <c r="AV209" s="1842"/>
      <c r="AW209" s="1843"/>
      <c r="AX209" s="1843"/>
      <c r="AY209" s="906">
        <f>BD206*AY208</f>
        <v>0</v>
      </c>
      <c r="AZ209" s="29">
        <f>AZ208</f>
        <v>0</v>
      </c>
      <c r="BA209" s="29">
        <f>AY209*AZ209</f>
        <v>0</v>
      </c>
      <c r="BB209" s="1836"/>
      <c r="BC209" s="1837"/>
      <c r="BD209" s="1838"/>
      <c r="BE209" s="1839"/>
      <c r="BF209" s="1839"/>
      <c r="BG209" s="907">
        <f>BL206*BG208</f>
        <v>0</v>
      </c>
      <c r="BH209" s="902">
        <f>BH208</f>
        <v>0</v>
      </c>
      <c r="BI209" s="902">
        <f>BG209*BH209</f>
        <v>0</v>
      </c>
      <c r="BJ209" s="1840"/>
      <c r="BK209" s="1841"/>
      <c r="BL209" s="1842"/>
      <c r="BM209" s="1843"/>
      <c r="BN209" s="1843"/>
      <c r="BO209" s="906">
        <f>BT206*BO208</f>
        <v>0</v>
      </c>
      <c r="BP209" s="29">
        <f>BP208</f>
        <v>0</v>
      </c>
      <c r="BQ209" s="29">
        <f>BO209*BP209</f>
        <v>0</v>
      </c>
      <c r="BR209" s="1836"/>
      <c r="BS209" s="1837"/>
      <c r="BT209" s="1838"/>
      <c r="BU209" s="1839"/>
      <c r="BV209" s="1839"/>
      <c r="BW209" s="907">
        <f>CB206*BW208</f>
        <v>0</v>
      </c>
      <c r="BX209" s="902">
        <f>BX208</f>
        <v>0</v>
      </c>
      <c r="BY209" s="902">
        <f>BW209*BX209</f>
        <v>0</v>
      </c>
      <c r="BZ209" s="1840"/>
      <c r="CA209" s="1841"/>
      <c r="CB209" s="1842"/>
      <c r="CC209" s="1843"/>
      <c r="CD209" s="1843"/>
      <c r="CE209" s="906">
        <f>CJ206*CE208</f>
        <v>0</v>
      </c>
      <c r="CF209" s="29">
        <f>CF208</f>
        <v>0</v>
      </c>
      <c r="CG209" s="29">
        <f>CE209*CF209</f>
        <v>0</v>
      </c>
      <c r="CH209" s="1836"/>
      <c r="CI209" s="1837"/>
      <c r="CJ209" s="1838"/>
      <c r="CK209" s="1839"/>
      <c r="CL209" s="1839"/>
      <c r="CM209" s="907">
        <f>CR206*CM208</f>
        <v>0</v>
      </c>
      <c r="CN209" s="902">
        <f>CN208</f>
        <v>0</v>
      </c>
      <c r="CO209" s="902">
        <f>CM209*CN209</f>
        <v>0</v>
      </c>
      <c r="CP209" s="1840"/>
      <c r="CQ209" s="1841"/>
      <c r="CR209" s="1842"/>
      <c r="CS209" s="1843"/>
      <c r="CT209" s="1843"/>
      <c r="CU209" s="1844"/>
      <c r="CV209" s="1844"/>
      <c r="CW209" s="1845"/>
      <c r="CX209" s="1844"/>
      <c r="CY209" s="1845"/>
      <c r="CZ209" s="1845"/>
      <c r="DA209" s="1845"/>
      <c r="DB209" s="912"/>
    </row>
    <row r="210" spans="1:106" x14ac:dyDescent="0.3">
      <c r="A210" s="1835"/>
      <c r="B210" s="108" t="s">
        <v>254</v>
      </c>
      <c r="C210" s="906">
        <f>C206+C207-C209</f>
        <v>0</v>
      </c>
      <c r="D210" s="29">
        <f>D209</f>
        <v>0</v>
      </c>
      <c r="E210" s="29">
        <f>D210*C210</f>
        <v>0</v>
      </c>
      <c r="F210" s="1836"/>
      <c r="G210" s="1837"/>
      <c r="H210" s="1838"/>
      <c r="I210" s="1839"/>
      <c r="J210" s="1839"/>
      <c r="K210" s="907">
        <f>K206+K207-K209</f>
        <v>0</v>
      </c>
      <c r="L210" s="902">
        <f>L209</f>
        <v>0</v>
      </c>
      <c r="M210" s="902">
        <f>L210*K210</f>
        <v>0</v>
      </c>
      <c r="N210" s="1840"/>
      <c r="O210" s="1841"/>
      <c r="P210" s="1842"/>
      <c r="Q210" s="1843"/>
      <c r="R210" s="1843"/>
      <c r="S210" s="906">
        <f>S206+S207-S209</f>
        <v>0</v>
      </c>
      <c r="T210" s="29">
        <f>T209</f>
        <v>0</v>
      </c>
      <c r="U210" s="29">
        <f>T210*S210</f>
        <v>0</v>
      </c>
      <c r="V210" s="1836"/>
      <c r="W210" s="1837"/>
      <c r="X210" s="1838"/>
      <c r="Y210" s="1839"/>
      <c r="Z210" s="1839"/>
      <c r="AA210" s="907">
        <f>AA206+AA207-AA209</f>
        <v>0</v>
      </c>
      <c r="AB210" s="902">
        <f>AB209</f>
        <v>0</v>
      </c>
      <c r="AC210" s="902">
        <f>AB210*AA210</f>
        <v>0</v>
      </c>
      <c r="AD210" s="1840"/>
      <c r="AE210" s="1841"/>
      <c r="AF210" s="1842"/>
      <c r="AG210" s="1843"/>
      <c r="AH210" s="1843"/>
      <c r="AI210" s="906">
        <f>AI206+AI207-AI209</f>
        <v>0</v>
      </c>
      <c r="AJ210" s="29">
        <f>AJ209</f>
        <v>0</v>
      </c>
      <c r="AK210" s="29">
        <f>AJ210*AI210</f>
        <v>0</v>
      </c>
      <c r="AL210" s="1836"/>
      <c r="AM210" s="1837"/>
      <c r="AN210" s="1838"/>
      <c r="AO210" s="1839"/>
      <c r="AP210" s="1839"/>
      <c r="AQ210" s="907">
        <f>AQ206+AQ207-AQ209</f>
        <v>0</v>
      </c>
      <c r="AR210" s="902">
        <f>AR209</f>
        <v>0</v>
      </c>
      <c r="AS210" s="902">
        <f>AR210*AQ210</f>
        <v>0</v>
      </c>
      <c r="AT210" s="1840"/>
      <c r="AU210" s="1841"/>
      <c r="AV210" s="1842"/>
      <c r="AW210" s="1843"/>
      <c r="AX210" s="1843"/>
      <c r="AY210" s="906">
        <f>AY206+AY207-AY209</f>
        <v>0</v>
      </c>
      <c r="AZ210" s="29">
        <f>AZ209</f>
        <v>0</v>
      </c>
      <c r="BA210" s="29">
        <f>AZ210*AY210</f>
        <v>0</v>
      </c>
      <c r="BB210" s="1836"/>
      <c r="BC210" s="1837"/>
      <c r="BD210" s="1838"/>
      <c r="BE210" s="1839"/>
      <c r="BF210" s="1839"/>
      <c r="BG210" s="907">
        <f>BG206+BG207-BG209</f>
        <v>0</v>
      </c>
      <c r="BH210" s="902">
        <f>BH209</f>
        <v>0</v>
      </c>
      <c r="BI210" s="902">
        <f>BH210*BG210</f>
        <v>0</v>
      </c>
      <c r="BJ210" s="1840"/>
      <c r="BK210" s="1841"/>
      <c r="BL210" s="1842"/>
      <c r="BM210" s="1843"/>
      <c r="BN210" s="1843"/>
      <c r="BO210" s="906">
        <f>BO206+BO207-BO209</f>
        <v>0</v>
      </c>
      <c r="BP210" s="29">
        <f>BP209</f>
        <v>0</v>
      </c>
      <c r="BQ210" s="29">
        <f>BP210*BO210</f>
        <v>0</v>
      </c>
      <c r="BR210" s="1836"/>
      <c r="BS210" s="1837"/>
      <c r="BT210" s="1838"/>
      <c r="BU210" s="1839"/>
      <c r="BV210" s="1839"/>
      <c r="BW210" s="907">
        <f>BW206+BW207-BW209</f>
        <v>0</v>
      </c>
      <c r="BX210" s="902">
        <f>BX209</f>
        <v>0</v>
      </c>
      <c r="BY210" s="902">
        <f>BX210*BW210</f>
        <v>0</v>
      </c>
      <c r="BZ210" s="1840"/>
      <c r="CA210" s="1841"/>
      <c r="CB210" s="1842"/>
      <c r="CC210" s="1843"/>
      <c r="CD210" s="1843"/>
      <c r="CE210" s="906">
        <f>CE206+CE207-CE209</f>
        <v>0</v>
      </c>
      <c r="CF210" s="29">
        <f>CF209</f>
        <v>0</v>
      </c>
      <c r="CG210" s="29">
        <f>CF210*CE210</f>
        <v>0</v>
      </c>
      <c r="CH210" s="1836"/>
      <c r="CI210" s="1837"/>
      <c r="CJ210" s="1838"/>
      <c r="CK210" s="1839"/>
      <c r="CL210" s="1839"/>
      <c r="CM210" s="907">
        <f>CM206+CM207-CM209</f>
        <v>0</v>
      </c>
      <c r="CN210" s="902">
        <f>CN209</f>
        <v>0</v>
      </c>
      <c r="CO210" s="902">
        <f>CN210*CM210</f>
        <v>0</v>
      </c>
      <c r="CP210" s="1840"/>
      <c r="CQ210" s="1841"/>
      <c r="CR210" s="1842"/>
      <c r="CS210" s="1843"/>
      <c r="CT210" s="1843"/>
      <c r="CU210" s="1844"/>
      <c r="CV210" s="1844"/>
      <c r="CW210" s="1845"/>
      <c r="CX210" s="1844"/>
      <c r="CY210" s="1845"/>
      <c r="CZ210" s="1845"/>
      <c r="DA210" s="1845"/>
      <c r="DB210" s="912"/>
    </row>
    <row r="211" spans="1:106" x14ac:dyDescent="0.3">
      <c r="A211" s="1835" t="str">
        <f>A142</f>
        <v>DESEMBRE</v>
      </c>
      <c r="B211" s="108" t="s">
        <v>255</v>
      </c>
      <c r="C211" s="906">
        <f>C210</f>
        <v>0</v>
      </c>
      <c r="D211" s="29">
        <f>D210</f>
        <v>0</v>
      </c>
      <c r="E211" s="29">
        <f>C211*D211</f>
        <v>0</v>
      </c>
      <c r="F211" s="1836">
        <f>E212*$I$3</f>
        <v>0</v>
      </c>
      <c r="G211" s="1837">
        <f>G206</f>
        <v>0</v>
      </c>
      <c r="H211" s="1838">
        <f>H206</f>
        <v>0</v>
      </c>
      <c r="I211" s="1839">
        <f>E214/(1-G211)</f>
        <v>0</v>
      </c>
      <c r="J211" s="1839">
        <f>I211*$F$3</f>
        <v>0</v>
      </c>
      <c r="K211" s="907">
        <f>K210</f>
        <v>0</v>
      </c>
      <c r="L211" s="902">
        <f>L210</f>
        <v>0</v>
      </c>
      <c r="M211" s="902">
        <f>K211*L211</f>
        <v>0</v>
      </c>
      <c r="N211" s="1840">
        <f>M212*$I$4</f>
        <v>0</v>
      </c>
      <c r="O211" s="1841">
        <f>O206</f>
        <v>0</v>
      </c>
      <c r="P211" s="1842">
        <f>P206</f>
        <v>0</v>
      </c>
      <c r="Q211" s="1843">
        <f>M214/(1-O211)</f>
        <v>0</v>
      </c>
      <c r="R211" s="1843">
        <f>Q211*$F$4</f>
        <v>0</v>
      </c>
      <c r="S211" s="906">
        <f>S210</f>
        <v>0</v>
      </c>
      <c r="T211" s="29">
        <f>T210</f>
        <v>0</v>
      </c>
      <c r="U211" s="29">
        <f>S211*T211</f>
        <v>0</v>
      </c>
      <c r="V211" s="1836">
        <f>U212*$I$5</f>
        <v>0</v>
      </c>
      <c r="W211" s="1837">
        <f>W206</f>
        <v>0</v>
      </c>
      <c r="X211" s="1838">
        <f>X206</f>
        <v>0</v>
      </c>
      <c r="Y211" s="1839">
        <f>U214/(1-W211)</f>
        <v>0</v>
      </c>
      <c r="Z211" s="1839">
        <f>Y211*$F$5</f>
        <v>0</v>
      </c>
      <c r="AA211" s="907">
        <f>AA210</f>
        <v>0</v>
      </c>
      <c r="AB211" s="902">
        <f>AB210</f>
        <v>0</v>
      </c>
      <c r="AC211" s="902">
        <f>AA211*AB211</f>
        <v>0</v>
      </c>
      <c r="AD211" s="1840">
        <f>AC212*$I$6</f>
        <v>0</v>
      </c>
      <c r="AE211" s="1841">
        <f>AE206</f>
        <v>0</v>
      </c>
      <c r="AF211" s="1842">
        <f>AF206</f>
        <v>0</v>
      </c>
      <c r="AG211" s="1843">
        <f>AC214/(1-AE211)</f>
        <v>0</v>
      </c>
      <c r="AH211" s="1843">
        <f>AG211*$F$6</f>
        <v>0</v>
      </c>
      <c r="AI211" s="906">
        <f>AI210</f>
        <v>0</v>
      </c>
      <c r="AJ211" s="29">
        <f>AJ210</f>
        <v>0</v>
      </c>
      <c r="AK211" s="29">
        <f>AI211*AJ211</f>
        <v>0</v>
      </c>
      <c r="AL211" s="1836">
        <f>AK212*$I$7</f>
        <v>0</v>
      </c>
      <c r="AM211" s="1837">
        <f>AM206</f>
        <v>0</v>
      </c>
      <c r="AN211" s="1838">
        <f>AN206</f>
        <v>0</v>
      </c>
      <c r="AO211" s="1839">
        <f>AK214/(1-AM211)</f>
        <v>0</v>
      </c>
      <c r="AP211" s="1839">
        <f>AO211*$F$7</f>
        <v>0</v>
      </c>
      <c r="AQ211" s="907">
        <f>AQ210</f>
        <v>0</v>
      </c>
      <c r="AR211" s="902">
        <f>AR210</f>
        <v>0</v>
      </c>
      <c r="AS211" s="902">
        <f>AQ211*AR211</f>
        <v>0</v>
      </c>
      <c r="AT211" s="1840">
        <f>AS212*$I$8</f>
        <v>0</v>
      </c>
      <c r="AU211" s="1841">
        <f>AU206</f>
        <v>0</v>
      </c>
      <c r="AV211" s="1842">
        <f>AV206</f>
        <v>0</v>
      </c>
      <c r="AW211" s="1843">
        <f>AS214/(1-AU211)</f>
        <v>0</v>
      </c>
      <c r="AX211" s="1843">
        <f>AW211*$F$8</f>
        <v>0</v>
      </c>
      <c r="AY211" s="906">
        <f>AY210</f>
        <v>0</v>
      </c>
      <c r="AZ211" s="29">
        <f>AZ210</f>
        <v>0</v>
      </c>
      <c r="BA211" s="29">
        <f>AY211*AZ211</f>
        <v>0</v>
      </c>
      <c r="BB211" s="1836">
        <f>BA212*$I$9</f>
        <v>0</v>
      </c>
      <c r="BC211" s="1837">
        <f>BC206</f>
        <v>0</v>
      </c>
      <c r="BD211" s="1838">
        <f>BD206</f>
        <v>0</v>
      </c>
      <c r="BE211" s="1839">
        <f>BA214/(1-BC211)</f>
        <v>0</v>
      </c>
      <c r="BF211" s="1839">
        <f>BE211*$F$9</f>
        <v>0</v>
      </c>
      <c r="BG211" s="907">
        <f>BG210</f>
        <v>0</v>
      </c>
      <c r="BH211" s="902">
        <f>BH210</f>
        <v>0</v>
      </c>
      <c r="BI211" s="902">
        <f>BG211*BH211</f>
        <v>0</v>
      </c>
      <c r="BJ211" s="1840">
        <f>BI212*$I$10</f>
        <v>0</v>
      </c>
      <c r="BK211" s="1841">
        <f>BK206</f>
        <v>0</v>
      </c>
      <c r="BL211" s="1842">
        <f>BL206</f>
        <v>0</v>
      </c>
      <c r="BM211" s="1843">
        <f>BI214/(1-BK211)</f>
        <v>0</v>
      </c>
      <c r="BN211" s="1843">
        <f>BM211*$F$10</f>
        <v>0</v>
      </c>
      <c r="BO211" s="906">
        <f>BO210</f>
        <v>0</v>
      </c>
      <c r="BP211" s="29">
        <f>BP210</f>
        <v>0</v>
      </c>
      <c r="BQ211" s="29">
        <f>BO211*BP211</f>
        <v>0</v>
      </c>
      <c r="BR211" s="1836">
        <f>BQ212*$I$11</f>
        <v>0</v>
      </c>
      <c r="BS211" s="1837">
        <f>BS206</f>
        <v>0</v>
      </c>
      <c r="BT211" s="1838">
        <f>BT206</f>
        <v>0</v>
      </c>
      <c r="BU211" s="1839">
        <f>BQ214/(1-BS211)</f>
        <v>0</v>
      </c>
      <c r="BV211" s="1839">
        <f>BU211*$F$11</f>
        <v>0</v>
      </c>
      <c r="BW211" s="907">
        <f>BW210</f>
        <v>0</v>
      </c>
      <c r="BX211" s="902">
        <f>BX210</f>
        <v>0</v>
      </c>
      <c r="BY211" s="902">
        <f>BW211*BX211</f>
        <v>0</v>
      </c>
      <c r="BZ211" s="1840">
        <f>BY212*$I$12</f>
        <v>0</v>
      </c>
      <c r="CA211" s="1841">
        <f>CA206</f>
        <v>0</v>
      </c>
      <c r="CB211" s="1842">
        <f>CB206</f>
        <v>0</v>
      </c>
      <c r="CC211" s="1843">
        <f>BY214/(1-CA211)</f>
        <v>0</v>
      </c>
      <c r="CD211" s="1843">
        <f>CC211*$F$12</f>
        <v>0</v>
      </c>
      <c r="CE211" s="906">
        <f>CE210</f>
        <v>0</v>
      </c>
      <c r="CF211" s="29">
        <f>CF210</f>
        <v>0</v>
      </c>
      <c r="CG211" s="29">
        <f>CE211*CF211</f>
        <v>0</v>
      </c>
      <c r="CH211" s="1836">
        <f>CG212*$I$13</f>
        <v>0</v>
      </c>
      <c r="CI211" s="1837">
        <f>CI206</f>
        <v>0</v>
      </c>
      <c r="CJ211" s="1838">
        <f>CJ206</f>
        <v>0</v>
      </c>
      <c r="CK211" s="1839">
        <f>CG214/(1-CI211)</f>
        <v>0</v>
      </c>
      <c r="CL211" s="1839">
        <f>CK211*$F$13</f>
        <v>0</v>
      </c>
      <c r="CM211" s="907">
        <f>CM210</f>
        <v>0</v>
      </c>
      <c r="CN211" s="902">
        <f>CN210</f>
        <v>0</v>
      </c>
      <c r="CO211" s="902">
        <f>CM211*CN211</f>
        <v>0</v>
      </c>
      <c r="CP211" s="1840">
        <f>CO212*$I$14</f>
        <v>0</v>
      </c>
      <c r="CQ211" s="1841">
        <f>CQ206</f>
        <v>0</v>
      </c>
      <c r="CR211" s="1842">
        <f>CR206</f>
        <v>0</v>
      </c>
      <c r="CS211" s="1843">
        <f>CO214/(1-CQ211)</f>
        <v>0</v>
      </c>
      <c r="CT211" s="1843">
        <f>CS211*$F$14</f>
        <v>0</v>
      </c>
      <c r="CU211" s="1844">
        <f>E212+M212+U212+AC212+AK212+AS212+BA212+BI212+BQ212+BY212+CG212+CO212</f>
        <v>0</v>
      </c>
      <c r="CV211" s="1844">
        <f>CP211+CH211+BZ211+BR211+BJ211+BB211+AT211+AL211+AD211+V211+N211+F211</f>
        <v>0</v>
      </c>
      <c r="CW211" s="1845">
        <f>I211+Q211+Y211+AG211+AO211+AW211+BE211+BM211+BU211+CC211+CK211+CS211</f>
        <v>0</v>
      </c>
      <c r="CX211" s="1844">
        <f>CT211+CL211+CD211+BV211+BN211+BF211+AX211+AP211+AH211+Z211+R211+J211</f>
        <v>0</v>
      </c>
      <c r="CY211" s="1845">
        <f>CZ206</f>
        <v>0</v>
      </c>
      <c r="CZ211" s="1845">
        <f>E215+M215+U215+AC215+AK215+AS215+BA215+BI215+BQ215+BY215+CG215+CO215</f>
        <v>0</v>
      </c>
      <c r="DA211" s="1845">
        <f>CZ211-CY211</f>
        <v>0</v>
      </c>
      <c r="DB211" s="914"/>
    </row>
    <row r="212" spans="1:106" x14ac:dyDescent="0.3">
      <c r="A212" s="1835"/>
      <c r="B212" s="108" t="s">
        <v>310</v>
      </c>
      <c r="C212" s="898">
        <f>C207</f>
        <v>0</v>
      </c>
      <c r="D212" s="899">
        <f>D207</f>
        <v>0</v>
      </c>
      <c r="E212" s="29">
        <f>C212*D212</f>
        <v>0</v>
      </c>
      <c r="F212" s="1836"/>
      <c r="G212" s="1837"/>
      <c r="H212" s="1838"/>
      <c r="I212" s="1839"/>
      <c r="J212" s="1839"/>
      <c r="K212" s="900">
        <f>K207</f>
        <v>0</v>
      </c>
      <c r="L212" s="901">
        <f>L207</f>
        <v>0</v>
      </c>
      <c r="M212" s="902">
        <f>K212*L212</f>
        <v>0</v>
      </c>
      <c r="N212" s="1840"/>
      <c r="O212" s="1841"/>
      <c r="P212" s="1842"/>
      <c r="Q212" s="1843"/>
      <c r="R212" s="1843"/>
      <c r="S212" s="898">
        <f>S207</f>
        <v>0</v>
      </c>
      <c r="T212" s="899">
        <f>T207</f>
        <v>0</v>
      </c>
      <c r="U212" s="29">
        <f>S212*T212</f>
        <v>0</v>
      </c>
      <c r="V212" s="1836"/>
      <c r="W212" s="1837"/>
      <c r="X212" s="1838"/>
      <c r="Y212" s="1839"/>
      <c r="Z212" s="1839"/>
      <c r="AA212" s="900">
        <f>AA207</f>
        <v>0</v>
      </c>
      <c r="AB212" s="901">
        <f>AB207</f>
        <v>0</v>
      </c>
      <c r="AC212" s="902">
        <f>AA212*AB212</f>
        <v>0</v>
      </c>
      <c r="AD212" s="1840"/>
      <c r="AE212" s="1841"/>
      <c r="AF212" s="1842"/>
      <c r="AG212" s="1843"/>
      <c r="AH212" s="1843"/>
      <c r="AI212" s="898">
        <f>AI207</f>
        <v>0</v>
      </c>
      <c r="AJ212" s="899">
        <f>AJ207</f>
        <v>0</v>
      </c>
      <c r="AK212" s="29">
        <f>AI212*AJ212</f>
        <v>0</v>
      </c>
      <c r="AL212" s="1836"/>
      <c r="AM212" s="1837"/>
      <c r="AN212" s="1838"/>
      <c r="AO212" s="1839"/>
      <c r="AP212" s="1839"/>
      <c r="AQ212" s="900">
        <f>AQ207</f>
        <v>0</v>
      </c>
      <c r="AR212" s="901">
        <f>AR207</f>
        <v>0</v>
      </c>
      <c r="AS212" s="902">
        <f>AQ212*AR212</f>
        <v>0</v>
      </c>
      <c r="AT212" s="1840"/>
      <c r="AU212" s="1841"/>
      <c r="AV212" s="1842"/>
      <c r="AW212" s="1843"/>
      <c r="AX212" s="1843"/>
      <c r="AY212" s="898">
        <f>AY207</f>
        <v>0</v>
      </c>
      <c r="AZ212" s="899">
        <f>AZ207</f>
        <v>0</v>
      </c>
      <c r="BA212" s="29">
        <f>AY212*AZ212</f>
        <v>0</v>
      </c>
      <c r="BB212" s="1836"/>
      <c r="BC212" s="1837"/>
      <c r="BD212" s="1838"/>
      <c r="BE212" s="1839"/>
      <c r="BF212" s="1839"/>
      <c r="BG212" s="900">
        <f>BG207</f>
        <v>0</v>
      </c>
      <c r="BH212" s="901">
        <f>BH207</f>
        <v>0</v>
      </c>
      <c r="BI212" s="902">
        <f>BG212*BH212</f>
        <v>0</v>
      </c>
      <c r="BJ212" s="1840"/>
      <c r="BK212" s="1841"/>
      <c r="BL212" s="1842"/>
      <c r="BM212" s="1843"/>
      <c r="BN212" s="1843"/>
      <c r="BO212" s="898">
        <f>BO207</f>
        <v>0</v>
      </c>
      <c r="BP212" s="899">
        <f>BP207</f>
        <v>0</v>
      </c>
      <c r="BQ212" s="29">
        <f>BO212*BP212</f>
        <v>0</v>
      </c>
      <c r="BR212" s="1836"/>
      <c r="BS212" s="1837"/>
      <c r="BT212" s="1838"/>
      <c r="BU212" s="1839"/>
      <c r="BV212" s="1839"/>
      <c r="BW212" s="900">
        <f>BW207</f>
        <v>0</v>
      </c>
      <c r="BX212" s="901">
        <f>BX207</f>
        <v>0</v>
      </c>
      <c r="BY212" s="902">
        <f>BW212*BX212</f>
        <v>0</v>
      </c>
      <c r="BZ212" s="1840"/>
      <c r="CA212" s="1841"/>
      <c r="CB212" s="1842"/>
      <c r="CC212" s="1843"/>
      <c r="CD212" s="1843"/>
      <c r="CE212" s="898">
        <f>CE207</f>
        <v>0</v>
      </c>
      <c r="CF212" s="899">
        <f>CF207</f>
        <v>0</v>
      </c>
      <c r="CG212" s="29">
        <f>CE212*CF212</f>
        <v>0</v>
      </c>
      <c r="CH212" s="1836"/>
      <c r="CI212" s="1837"/>
      <c r="CJ212" s="1838"/>
      <c r="CK212" s="1839"/>
      <c r="CL212" s="1839"/>
      <c r="CM212" s="900">
        <f>CM207</f>
        <v>0</v>
      </c>
      <c r="CN212" s="901">
        <f>CN207</f>
        <v>0</v>
      </c>
      <c r="CO212" s="902">
        <f>CM212*CN212</f>
        <v>0</v>
      </c>
      <c r="CP212" s="1840"/>
      <c r="CQ212" s="1841"/>
      <c r="CR212" s="1842"/>
      <c r="CS212" s="1843"/>
      <c r="CT212" s="1843"/>
      <c r="CU212" s="1844"/>
      <c r="CV212" s="1844"/>
      <c r="CW212" s="1845"/>
      <c r="CX212" s="1844"/>
      <c r="CY212" s="1845"/>
      <c r="CZ212" s="1845"/>
      <c r="DA212" s="1845"/>
      <c r="DB212" s="912"/>
    </row>
    <row r="213" spans="1:106" ht="12.75" hidden="1" customHeight="1" x14ac:dyDescent="0.3">
      <c r="A213" s="1835"/>
      <c r="B213" s="108" t="s">
        <v>315</v>
      </c>
      <c r="C213" s="906">
        <f>C212+C211</f>
        <v>0</v>
      </c>
      <c r="D213" s="29">
        <f>IF(C213=0,0,E213/C213)</f>
        <v>0</v>
      </c>
      <c r="E213" s="29">
        <f>E212+E211</f>
        <v>0</v>
      </c>
      <c r="F213" s="1836"/>
      <c r="G213" s="1837"/>
      <c r="H213" s="1838"/>
      <c r="I213" s="1839"/>
      <c r="J213" s="1839"/>
      <c r="K213" s="907">
        <f>K212+K211</f>
        <v>0</v>
      </c>
      <c r="L213" s="902">
        <f>IF(K213=0,0,M213/K213)</f>
        <v>0</v>
      </c>
      <c r="M213" s="902">
        <f>M212+M211</f>
        <v>0</v>
      </c>
      <c r="N213" s="1840"/>
      <c r="O213" s="1841"/>
      <c r="P213" s="1842"/>
      <c r="Q213" s="1843"/>
      <c r="R213" s="1843"/>
      <c r="S213" s="906">
        <f>S212+S211</f>
        <v>0</v>
      </c>
      <c r="T213" s="29">
        <f>IF(S213=0,0,U213/S213)</f>
        <v>0</v>
      </c>
      <c r="U213" s="29">
        <f>U212+U211</f>
        <v>0</v>
      </c>
      <c r="V213" s="1836"/>
      <c r="W213" s="1837"/>
      <c r="X213" s="1838"/>
      <c r="Y213" s="1839"/>
      <c r="Z213" s="1839"/>
      <c r="AA213" s="907">
        <f>AA212+AA211</f>
        <v>0</v>
      </c>
      <c r="AB213" s="902">
        <f>IF(AA213=0,0,AC213/AA213)</f>
        <v>0</v>
      </c>
      <c r="AC213" s="902">
        <f>AC212+AC211</f>
        <v>0</v>
      </c>
      <c r="AD213" s="1840"/>
      <c r="AE213" s="1841"/>
      <c r="AF213" s="1842"/>
      <c r="AG213" s="1843"/>
      <c r="AH213" s="1843"/>
      <c r="AI213" s="906">
        <f>AI212+AI211</f>
        <v>0</v>
      </c>
      <c r="AJ213" s="29">
        <f>IF(AI213=0,0,AK213/AI213)</f>
        <v>0</v>
      </c>
      <c r="AK213" s="29">
        <f>AK212+AK211</f>
        <v>0</v>
      </c>
      <c r="AL213" s="1836"/>
      <c r="AM213" s="1837"/>
      <c r="AN213" s="1838"/>
      <c r="AO213" s="1839"/>
      <c r="AP213" s="1839"/>
      <c r="AQ213" s="907">
        <f>AQ212+AQ211</f>
        <v>0</v>
      </c>
      <c r="AR213" s="902">
        <f>IF(AQ213=0,0,AS213/AQ213)</f>
        <v>0</v>
      </c>
      <c r="AS213" s="902">
        <f>AS212+AS211</f>
        <v>0</v>
      </c>
      <c r="AT213" s="1840"/>
      <c r="AU213" s="1841"/>
      <c r="AV213" s="1842"/>
      <c r="AW213" s="1843"/>
      <c r="AX213" s="1843"/>
      <c r="AY213" s="906">
        <f>AY212+AY211</f>
        <v>0</v>
      </c>
      <c r="AZ213" s="29">
        <f>IF(AY213=0,0,BA213/AY213)</f>
        <v>0</v>
      </c>
      <c r="BA213" s="29">
        <f>BA212+BA211</f>
        <v>0</v>
      </c>
      <c r="BB213" s="1836"/>
      <c r="BC213" s="1837"/>
      <c r="BD213" s="1838"/>
      <c r="BE213" s="1839"/>
      <c r="BF213" s="1839"/>
      <c r="BG213" s="907">
        <f>BG212+BG211</f>
        <v>0</v>
      </c>
      <c r="BH213" s="902">
        <f>IF(BG213=0,0,BI213/BG213)</f>
        <v>0</v>
      </c>
      <c r="BI213" s="902">
        <f>BI212+BI211</f>
        <v>0</v>
      </c>
      <c r="BJ213" s="1840"/>
      <c r="BK213" s="1841"/>
      <c r="BL213" s="1842"/>
      <c r="BM213" s="1843"/>
      <c r="BN213" s="1843"/>
      <c r="BO213" s="906">
        <f>BO212+BO211</f>
        <v>0</v>
      </c>
      <c r="BP213" s="29">
        <f>IF(BO213=0,0,BQ213/BO213)</f>
        <v>0</v>
      </c>
      <c r="BQ213" s="29">
        <f>BQ212+BQ211</f>
        <v>0</v>
      </c>
      <c r="BR213" s="1836"/>
      <c r="BS213" s="1837"/>
      <c r="BT213" s="1838"/>
      <c r="BU213" s="1839"/>
      <c r="BV213" s="1839"/>
      <c r="BW213" s="907">
        <f>BW212+BW211</f>
        <v>0</v>
      </c>
      <c r="BX213" s="902">
        <f>IF(BW213=0,0,BY213/BW213)</f>
        <v>0</v>
      </c>
      <c r="BY213" s="902">
        <f>BY212+BY211</f>
        <v>0</v>
      </c>
      <c r="BZ213" s="1840"/>
      <c r="CA213" s="1841"/>
      <c r="CB213" s="1842"/>
      <c r="CC213" s="1843"/>
      <c r="CD213" s="1843"/>
      <c r="CE213" s="906">
        <f>CE212+CE211</f>
        <v>0</v>
      </c>
      <c r="CF213" s="29">
        <f>IF(CE213=0,0,CG213/CE213)</f>
        <v>0</v>
      </c>
      <c r="CG213" s="29">
        <f>CG212+CG211</f>
        <v>0</v>
      </c>
      <c r="CH213" s="1836"/>
      <c r="CI213" s="1837"/>
      <c r="CJ213" s="1838"/>
      <c r="CK213" s="1839"/>
      <c r="CL213" s="1839"/>
      <c r="CM213" s="907">
        <f>CM212+CM211</f>
        <v>0</v>
      </c>
      <c r="CN213" s="902">
        <f>IF(CM213=0,0,CO213/CM213)</f>
        <v>0</v>
      </c>
      <c r="CO213" s="902">
        <f>CO212+CO211</f>
        <v>0</v>
      </c>
      <c r="CP213" s="1840"/>
      <c r="CQ213" s="1841"/>
      <c r="CR213" s="1842"/>
      <c r="CS213" s="1843"/>
      <c r="CT213" s="1843"/>
      <c r="CU213" s="1844"/>
      <c r="CV213" s="1844"/>
      <c r="CW213" s="1845"/>
      <c r="CX213" s="1844"/>
      <c r="CY213" s="1845"/>
      <c r="CZ213" s="1845"/>
      <c r="DA213" s="1845"/>
      <c r="DB213" s="912"/>
    </row>
    <row r="214" spans="1:106" x14ac:dyDescent="0.3">
      <c r="A214" s="1835"/>
      <c r="B214" s="108" t="s">
        <v>312</v>
      </c>
      <c r="C214" s="906">
        <f>H211*C213</f>
        <v>0</v>
      </c>
      <c r="D214" s="29">
        <f>D213</f>
        <v>0</v>
      </c>
      <c r="E214" s="29">
        <f>C214*D214</f>
        <v>0</v>
      </c>
      <c r="F214" s="1836"/>
      <c r="G214" s="1837"/>
      <c r="H214" s="1838"/>
      <c r="I214" s="1839"/>
      <c r="J214" s="1839"/>
      <c r="K214" s="907">
        <f>P211*K213</f>
        <v>0</v>
      </c>
      <c r="L214" s="902">
        <f>L213</f>
        <v>0</v>
      </c>
      <c r="M214" s="902">
        <f>K214*L214</f>
        <v>0</v>
      </c>
      <c r="N214" s="1840"/>
      <c r="O214" s="1841"/>
      <c r="P214" s="1842"/>
      <c r="Q214" s="1843"/>
      <c r="R214" s="1843"/>
      <c r="S214" s="906">
        <f>X211*S213</f>
        <v>0</v>
      </c>
      <c r="T214" s="29">
        <f>T213</f>
        <v>0</v>
      </c>
      <c r="U214" s="29">
        <f>S214*T214</f>
        <v>0</v>
      </c>
      <c r="V214" s="1836"/>
      <c r="W214" s="1837"/>
      <c r="X214" s="1838"/>
      <c r="Y214" s="1839"/>
      <c r="Z214" s="1839"/>
      <c r="AA214" s="907">
        <f>AF211*AA213</f>
        <v>0</v>
      </c>
      <c r="AB214" s="902">
        <f>AB213</f>
        <v>0</v>
      </c>
      <c r="AC214" s="902">
        <f>AA214*AB214</f>
        <v>0</v>
      </c>
      <c r="AD214" s="1840"/>
      <c r="AE214" s="1841"/>
      <c r="AF214" s="1842"/>
      <c r="AG214" s="1843"/>
      <c r="AH214" s="1843"/>
      <c r="AI214" s="906">
        <f>AN211*AI213</f>
        <v>0</v>
      </c>
      <c r="AJ214" s="29">
        <f>AJ213</f>
        <v>0</v>
      </c>
      <c r="AK214" s="29">
        <f>AI214*AJ214</f>
        <v>0</v>
      </c>
      <c r="AL214" s="1836"/>
      <c r="AM214" s="1837"/>
      <c r="AN214" s="1838"/>
      <c r="AO214" s="1839"/>
      <c r="AP214" s="1839"/>
      <c r="AQ214" s="907">
        <f>AV211*AQ213</f>
        <v>0</v>
      </c>
      <c r="AR214" s="902">
        <f>AR213</f>
        <v>0</v>
      </c>
      <c r="AS214" s="902">
        <f>AQ214*AR214</f>
        <v>0</v>
      </c>
      <c r="AT214" s="1840"/>
      <c r="AU214" s="1841"/>
      <c r="AV214" s="1842"/>
      <c r="AW214" s="1843"/>
      <c r="AX214" s="1843"/>
      <c r="AY214" s="906">
        <f>BD211*AY213</f>
        <v>0</v>
      </c>
      <c r="AZ214" s="29">
        <f>AZ213</f>
        <v>0</v>
      </c>
      <c r="BA214" s="29">
        <f>AY214*AZ214</f>
        <v>0</v>
      </c>
      <c r="BB214" s="1836"/>
      <c r="BC214" s="1837"/>
      <c r="BD214" s="1838"/>
      <c r="BE214" s="1839"/>
      <c r="BF214" s="1839"/>
      <c r="BG214" s="907">
        <f>BL211*BG213</f>
        <v>0</v>
      </c>
      <c r="BH214" s="902">
        <f>BH213</f>
        <v>0</v>
      </c>
      <c r="BI214" s="902">
        <f>BG214*BH214</f>
        <v>0</v>
      </c>
      <c r="BJ214" s="1840"/>
      <c r="BK214" s="1841"/>
      <c r="BL214" s="1842"/>
      <c r="BM214" s="1843"/>
      <c r="BN214" s="1843"/>
      <c r="BO214" s="906">
        <f>BT211*BO213</f>
        <v>0</v>
      </c>
      <c r="BP214" s="29">
        <f>BP213</f>
        <v>0</v>
      </c>
      <c r="BQ214" s="29">
        <f>BO214*BP214</f>
        <v>0</v>
      </c>
      <c r="BR214" s="1836"/>
      <c r="BS214" s="1837"/>
      <c r="BT214" s="1838"/>
      <c r="BU214" s="1839"/>
      <c r="BV214" s="1839"/>
      <c r="BW214" s="907">
        <f>CB211*BW213</f>
        <v>0</v>
      </c>
      <c r="BX214" s="902">
        <f>BX213</f>
        <v>0</v>
      </c>
      <c r="BY214" s="902">
        <f>BW214*BX214</f>
        <v>0</v>
      </c>
      <c r="BZ214" s="1840"/>
      <c r="CA214" s="1841"/>
      <c r="CB214" s="1842"/>
      <c r="CC214" s="1843"/>
      <c r="CD214" s="1843"/>
      <c r="CE214" s="906">
        <f>CJ211*CE213</f>
        <v>0</v>
      </c>
      <c r="CF214" s="29">
        <f>CF213</f>
        <v>0</v>
      </c>
      <c r="CG214" s="29">
        <f>CE214*CF214</f>
        <v>0</v>
      </c>
      <c r="CH214" s="1836"/>
      <c r="CI214" s="1837"/>
      <c r="CJ214" s="1838"/>
      <c r="CK214" s="1839"/>
      <c r="CL214" s="1839"/>
      <c r="CM214" s="907">
        <f>CR211*CM213</f>
        <v>0</v>
      </c>
      <c r="CN214" s="902">
        <f>CN213</f>
        <v>0</v>
      </c>
      <c r="CO214" s="902">
        <f>CM214*CN214</f>
        <v>0</v>
      </c>
      <c r="CP214" s="1840"/>
      <c r="CQ214" s="1841"/>
      <c r="CR214" s="1842"/>
      <c r="CS214" s="1843"/>
      <c r="CT214" s="1843"/>
      <c r="CU214" s="1844"/>
      <c r="CV214" s="1844"/>
      <c r="CW214" s="1845"/>
      <c r="CX214" s="1844"/>
      <c r="CY214" s="1845"/>
      <c r="CZ214" s="1845"/>
      <c r="DA214" s="1845"/>
      <c r="DB214" s="912"/>
    </row>
    <row r="215" spans="1:106" x14ac:dyDescent="0.3">
      <c r="A215" s="1835"/>
      <c r="B215" s="108" t="s">
        <v>254</v>
      </c>
      <c r="C215" s="906">
        <f>C211+C212-C214</f>
        <v>0</v>
      </c>
      <c r="D215" s="29">
        <f>D214</f>
        <v>0</v>
      </c>
      <c r="E215" s="29">
        <f>D215*C215</f>
        <v>0</v>
      </c>
      <c r="F215" s="1836"/>
      <c r="G215" s="1837"/>
      <c r="H215" s="1838"/>
      <c r="I215" s="1839"/>
      <c r="J215" s="1839"/>
      <c r="K215" s="907">
        <f>K211+K212-K214</f>
        <v>0</v>
      </c>
      <c r="L215" s="902">
        <f>L214</f>
        <v>0</v>
      </c>
      <c r="M215" s="902">
        <f>L215*K215</f>
        <v>0</v>
      </c>
      <c r="N215" s="1840"/>
      <c r="O215" s="1841"/>
      <c r="P215" s="1842"/>
      <c r="Q215" s="1843"/>
      <c r="R215" s="1843"/>
      <c r="S215" s="906">
        <f>S211+S212-S214</f>
        <v>0</v>
      </c>
      <c r="T215" s="29">
        <f>T214</f>
        <v>0</v>
      </c>
      <c r="U215" s="29">
        <f>T215*S215</f>
        <v>0</v>
      </c>
      <c r="V215" s="1836"/>
      <c r="W215" s="1837"/>
      <c r="X215" s="1838"/>
      <c r="Y215" s="1839"/>
      <c r="Z215" s="1839"/>
      <c r="AA215" s="907">
        <f>AA211+AA212-AA214</f>
        <v>0</v>
      </c>
      <c r="AB215" s="902">
        <f>AB214</f>
        <v>0</v>
      </c>
      <c r="AC215" s="902">
        <f>AB215*AA215</f>
        <v>0</v>
      </c>
      <c r="AD215" s="1840"/>
      <c r="AE215" s="1841"/>
      <c r="AF215" s="1842"/>
      <c r="AG215" s="1843"/>
      <c r="AH215" s="1843"/>
      <c r="AI215" s="906">
        <f>AI211+AI212-AI214</f>
        <v>0</v>
      </c>
      <c r="AJ215" s="29">
        <f>AJ214</f>
        <v>0</v>
      </c>
      <c r="AK215" s="29">
        <f>AJ215*AI215</f>
        <v>0</v>
      </c>
      <c r="AL215" s="1836"/>
      <c r="AM215" s="1837"/>
      <c r="AN215" s="1838"/>
      <c r="AO215" s="1839"/>
      <c r="AP215" s="1839"/>
      <c r="AQ215" s="907">
        <f>AQ211+AQ212-AQ214</f>
        <v>0</v>
      </c>
      <c r="AR215" s="902">
        <f>AR214</f>
        <v>0</v>
      </c>
      <c r="AS215" s="902">
        <f>AR215*AQ215</f>
        <v>0</v>
      </c>
      <c r="AT215" s="1840"/>
      <c r="AU215" s="1841"/>
      <c r="AV215" s="1842"/>
      <c r="AW215" s="1843"/>
      <c r="AX215" s="1843"/>
      <c r="AY215" s="906">
        <f>AY211+AY212-AY214</f>
        <v>0</v>
      </c>
      <c r="AZ215" s="29">
        <f>AZ214</f>
        <v>0</v>
      </c>
      <c r="BA215" s="29">
        <f>AZ215*AY215</f>
        <v>0</v>
      </c>
      <c r="BB215" s="1836"/>
      <c r="BC215" s="1837"/>
      <c r="BD215" s="1838"/>
      <c r="BE215" s="1839"/>
      <c r="BF215" s="1839"/>
      <c r="BG215" s="907">
        <f>BG211+BG212-BG214</f>
        <v>0</v>
      </c>
      <c r="BH215" s="902">
        <f>BH214</f>
        <v>0</v>
      </c>
      <c r="BI215" s="902">
        <f>BH215*BG215</f>
        <v>0</v>
      </c>
      <c r="BJ215" s="1840"/>
      <c r="BK215" s="1841"/>
      <c r="BL215" s="1842"/>
      <c r="BM215" s="1843"/>
      <c r="BN215" s="1843"/>
      <c r="BO215" s="906">
        <f>BO211+BO212-BO214</f>
        <v>0</v>
      </c>
      <c r="BP215" s="29">
        <f>BP214</f>
        <v>0</v>
      </c>
      <c r="BQ215" s="29">
        <f>BP215*BO215</f>
        <v>0</v>
      </c>
      <c r="BR215" s="1836"/>
      <c r="BS215" s="1837"/>
      <c r="BT215" s="1838"/>
      <c r="BU215" s="1839"/>
      <c r="BV215" s="1839"/>
      <c r="BW215" s="907">
        <f>BW211+BW212-BW214</f>
        <v>0</v>
      </c>
      <c r="BX215" s="902">
        <f>BX214</f>
        <v>0</v>
      </c>
      <c r="BY215" s="902">
        <f>BX215*BW215</f>
        <v>0</v>
      </c>
      <c r="BZ215" s="1840"/>
      <c r="CA215" s="1841"/>
      <c r="CB215" s="1842"/>
      <c r="CC215" s="1843"/>
      <c r="CD215" s="1843"/>
      <c r="CE215" s="906">
        <f>CE211+CE212-CE214</f>
        <v>0</v>
      </c>
      <c r="CF215" s="29">
        <f>CF214</f>
        <v>0</v>
      </c>
      <c r="CG215" s="29">
        <f>CF215*CE215</f>
        <v>0</v>
      </c>
      <c r="CH215" s="1836"/>
      <c r="CI215" s="1837"/>
      <c r="CJ215" s="1838"/>
      <c r="CK215" s="1839"/>
      <c r="CL215" s="1839"/>
      <c r="CM215" s="907">
        <f>CM211+CM212-CM214</f>
        <v>0</v>
      </c>
      <c r="CN215" s="902">
        <f>CN214</f>
        <v>0</v>
      </c>
      <c r="CO215" s="902">
        <f>CN215*CM215</f>
        <v>0</v>
      </c>
      <c r="CP215" s="1840"/>
      <c r="CQ215" s="1841"/>
      <c r="CR215" s="1842"/>
      <c r="CS215" s="1843"/>
      <c r="CT215" s="1843"/>
      <c r="CU215" s="1844"/>
      <c r="CV215" s="1844"/>
      <c r="CW215" s="1845"/>
      <c r="CX215" s="1844"/>
      <c r="CY215" s="1845"/>
      <c r="CZ215" s="1845"/>
      <c r="DA215" s="1845"/>
      <c r="DB215" s="912"/>
    </row>
    <row r="216" spans="1:106" ht="12.75" customHeight="1" x14ac:dyDescent="0.3">
      <c r="A216" s="1846" t="s">
        <v>317</v>
      </c>
      <c r="B216" s="915" t="s">
        <v>255</v>
      </c>
      <c r="C216" s="916">
        <f>C157</f>
        <v>0</v>
      </c>
      <c r="D216" s="905">
        <f>D157</f>
        <v>0</v>
      </c>
      <c r="E216" s="905">
        <f>E157</f>
        <v>0</v>
      </c>
      <c r="F216" s="1847">
        <f>SUM(F158:F215)</f>
        <v>0</v>
      </c>
      <c r="G216" s="1848">
        <f>IF(I216=0,0,(I216-E218)/I216)</f>
        <v>0</v>
      </c>
      <c r="H216" s="1848">
        <f>IF(E217+E216=0,0,E218/(E217+E216))</f>
        <v>0</v>
      </c>
      <c r="I216" s="1845">
        <f>SUM(I158:I215)</f>
        <v>0</v>
      </c>
      <c r="J216" s="1845">
        <f>SUM(J158:J215)</f>
        <v>0</v>
      </c>
      <c r="K216" s="917">
        <f>K157</f>
        <v>0</v>
      </c>
      <c r="L216" s="918">
        <f>L157</f>
        <v>0</v>
      </c>
      <c r="M216" s="918">
        <f>M157</f>
        <v>0</v>
      </c>
      <c r="N216" s="1855">
        <f>SUM(N158:N215)</f>
        <v>0</v>
      </c>
      <c r="O216" s="1850">
        <f>IF(Q216=0,0,(Q216-M218)/Q216)</f>
        <v>0</v>
      </c>
      <c r="P216" s="1850">
        <f>IF(M217+M216=0,0,M218/(M217+M216))</f>
        <v>0</v>
      </c>
      <c r="Q216" s="1855">
        <f>SUM(Q158:Q215)</f>
        <v>0</v>
      </c>
      <c r="R216" s="1855">
        <f>SUM(R158:R215)</f>
        <v>0</v>
      </c>
      <c r="S216" s="916">
        <f>S157</f>
        <v>0</v>
      </c>
      <c r="T216" s="905">
        <f>T157</f>
        <v>0</v>
      </c>
      <c r="U216" s="905">
        <f>U157</f>
        <v>0</v>
      </c>
      <c r="V216" s="1847">
        <f>SUM(V158:V215)</f>
        <v>0</v>
      </c>
      <c r="W216" s="1848">
        <f>IF(Y216=0,0,(Y216-U218)/Y216)</f>
        <v>0</v>
      </c>
      <c r="X216" s="1848">
        <f>IF(U217+U216=0,0,U218/(U217+U216))</f>
        <v>0</v>
      </c>
      <c r="Y216" s="1845">
        <f>SUM(Y158:Y215)</f>
        <v>0</v>
      </c>
      <c r="Z216" s="1845">
        <f>SUM(Z158:Z215)</f>
        <v>0</v>
      </c>
      <c r="AA216" s="917">
        <f>AA157</f>
        <v>0</v>
      </c>
      <c r="AB216" s="918">
        <f>AB157</f>
        <v>0</v>
      </c>
      <c r="AC216" s="918">
        <f>AC157</f>
        <v>0</v>
      </c>
      <c r="AD216" s="1855">
        <f>SUM(AD158:AD215)</f>
        <v>0</v>
      </c>
      <c r="AE216" s="1850">
        <f>IF(AG216=0,0,(AG216-AC218)/AG216)</f>
        <v>0</v>
      </c>
      <c r="AF216" s="1850">
        <f>IF(AC217+AC216=0,0,AC218/(AC217+AC216))</f>
        <v>0</v>
      </c>
      <c r="AG216" s="1855">
        <f>SUM(AG158:AG215)</f>
        <v>0</v>
      </c>
      <c r="AH216" s="1855">
        <f>SUM(AH158:AH215)</f>
        <v>0</v>
      </c>
      <c r="AI216" s="916">
        <f>AI157</f>
        <v>0</v>
      </c>
      <c r="AJ216" s="905">
        <f>AJ157</f>
        <v>0</v>
      </c>
      <c r="AK216" s="905">
        <f>AK157</f>
        <v>0</v>
      </c>
      <c r="AL216" s="1847">
        <f>SUM(AL158:AL215)</f>
        <v>0</v>
      </c>
      <c r="AM216" s="1848">
        <f>IF(AO216=0,0,(AO216-AK218)/AO216)</f>
        <v>0</v>
      </c>
      <c r="AN216" s="1848">
        <f>IF(AK217+AK216=0,0,AK218/(AK217+AK216))</f>
        <v>0</v>
      </c>
      <c r="AO216" s="1845">
        <f>SUM(AO158:AO215)</f>
        <v>0</v>
      </c>
      <c r="AP216" s="1845">
        <f>SUM(AP158:AP215)</f>
        <v>0</v>
      </c>
      <c r="AQ216" s="917">
        <f>AQ157</f>
        <v>0</v>
      </c>
      <c r="AR216" s="918">
        <f>AR157</f>
        <v>0</v>
      </c>
      <c r="AS216" s="918">
        <f>AS157</f>
        <v>0</v>
      </c>
      <c r="AT216" s="1855">
        <f>SUM(AT158:AT215)</f>
        <v>0</v>
      </c>
      <c r="AU216" s="1850">
        <f>IF(AW216=0,0,(AW216-AS218)/AW216)</f>
        <v>0</v>
      </c>
      <c r="AV216" s="1850">
        <f>IF(AS217+AS216=0,0,AS218/(AS217+AS216))</f>
        <v>0</v>
      </c>
      <c r="AW216" s="1855">
        <f>SUM(AW158:AW215)</f>
        <v>0</v>
      </c>
      <c r="AX216" s="1855">
        <f>SUM(AX158:AX215)</f>
        <v>0</v>
      </c>
      <c r="AY216" s="916">
        <f>AY157</f>
        <v>0</v>
      </c>
      <c r="AZ216" s="905">
        <f>AZ157</f>
        <v>0</v>
      </c>
      <c r="BA216" s="905">
        <f>BA157</f>
        <v>0</v>
      </c>
      <c r="BB216" s="1847">
        <f>SUM(BB158:BB215)</f>
        <v>0</v>
      </c>
      <c r="BC216" s="1848">
        <f>IF(BE216=0,0,(BE216-BA218)/BE216)</f>
        <v>0</v>
      </c>
      <c r="BD216" s="1848">
        <f>IF(BA217+BA216=0,0,BA218/(BA217+BA216))</f>
        <v>0</v>
      </c>
      <c r="BE216" s="1845">
        <f>SUM(BE158:BE215)</f>
        <v>0</v>
      </c>
      <c r="BF216" s="1845">
        <f>SUM(BF158:BF215)</f>
        <v>0</v>
      </c>
      <c r="BG216" s="917">
        <f>BG157</f>
        <v>0</v>
      </c>
      <c r="BH216" s="918">
        <f>BH157</f>
        <v>0</v>
      </c>
      <c r="BI216" s="918">
        <f>BI157</f>
        <v>0</v>
      </c>
      <c r="BJ216" s="1855">
        <f>SUM(BJ158:BJ215)</f>
        <v>0</v>
      </c>
      <c r="BK216" s="1850">
        <f>IF(BM216=0,0,(BM216-BI218)/BM216)</f>
        <v>0</v>
      </c>
      <c r="BL216" s="1850">
        <f>IF(BI217+BI216=0,0,BI218/(BI217+BI216))</f>
        <v>0</v>
      </c>
      <c r="BM216" s="1855">
        <f>SUM(BM158:BM215)</f>
        <v>0</v>
      </c>
      <c r="BN216" s="1855">
        <f>SUM(BN158:BN215)</f>
        <v>0</v>
      </c>
      <c r="BO216" s="916">
        <f>BO157</f>
        <v>0</v>
      </c>
      <c r="BP216" s="905">
        <f>BP157</f>
        <v>0</v>
      </c>
      <c r="BQ216" s="905">
        <f>BQ157</f>
        <v>0</v>
      </c>
      <c r="BR216" s="1847">
        <f>SUM(BR158:BR215)</f>
        <v>0</v>
      </c>
      <c r="BS216" s="1848">
        <f>IF(BU216=0,0,(BU216-BQ218)/BU216)</f>
        <v>0</v>
      </c>
      <c r="BT216" s="1848">
        <f>IF(BQ217+BQ216=0,0,BQ218/(BQ217+BQ216))</f>
        <v>0</v>
      </c>
      <c r="BU216" s="1845">
        <f>SUM(BU158:BU215)</f>
        <v>0</v>
      </c>
      <c r="BV216" s="1845">
        <f>SUM(BV158:BV215)</f>
        <v>0</v>
      </c>
      <c r="BW216" s="917">
        <f>BW157</f>
        <v>0</v>
      </c>
      <c r="BX216" s="918">
        <f>BX157</f>
        <v>0</v>
      </c>
      <c r="BY216" s="918">
        <f>BY157</f>
        <v>0</v>
      </c>
      <c r="BZ216" s="1855">
        <f>SUM(BZ158:BZ215)</f>
        <v>0</v>
      </c>
      <c r="CA216" s="1850">
        <f>IF(CC216=0,0,(CC216-BY218)/CC216)</f>
        <v>0</v>
      </c>
      <c r="CB216" s="1850">
        <f>IF(BY217+BY216=0,0,BY218/(BY217+BY216))</f>
        <v>0</v>
      </c>
      <c r="CC216" s="1855">
        <f>SUM(CC158:CC215)</f>
        <v>0</v>
      </c>
      <c r="CD216" s="1855">
        <f>SUM(CD158:CD215)</f>
        <v>0</v>
      </c>
      <c r="CE216" s="916">
        <f>CE157</f>
        <v>0</v>
      </c>
      <c r="CF216" s="905">
        <f>CF157</f>
        <v>0</v>
      </c>
      <c r="CG216" s="905">
        <f>CG157</f>
        <v>0</v>
      </c>
      <c r="CH216" s="1847">
        <f>SUM(CH158:CH215)</f>
        <v>0</v>
      </c>
      <c r="CI216" s="1848">
        <f>IF(CK216=0,0,(CK216-CG218)/CK216)</f>
        <v>0</v>
      </c>
      <c r="CJ216" s="1848">
        <f>IF(CG217+CG216=0,0,CG218/(CG217+CG216))</f>
        <v>0</v>
      </c>
      <c r="CK216" s="1845">
        <f>SUM(CK158:CK215)</f>
        <v>0</v>
      </c>
      <c r="CL216" s="1845">
        <f>SUM(CL158:CL215)</f>
        <v>0</v>
      </c>
      <c r="CM216" s="917">
        <f>CM157</f>
        <v>0</v>
      </c>
      <c r="CN216" s="918">
        <f>CN157</f>
        <v>0</v>
      </c>
      <c r="CO216" s="918">
        <f>CO157</f>
        <v>0</v>
      </c>
      <c r="CP216" s="1855">
        <f>SUM(CP158:CP215)</f>
        <v>0</v>
      </c>
      <c r="CQ216" s="1850">
        <f>IF(CS216=0,0,(CS216-CO218)/CS216)</f>
        <v>0</v>
      </c>
      <c r="CR216" s="1850">
        <f>IF(CO217+CO216=0,0,CO218/(CO217+CO216))</f>
        <v>0</v>
      </c>
      <c r="CS216" s="1855">
        <f t="shared" ref="CS216:CX216" si="11">SUM(CS158:CS215)</f>
        <v>0</v>
      </c>
      <c r="CT216" s="1855">
        <f t="shared" si="11"/>
        <v>0</v>
      </c>
      <c r="CU216" s="1852">
        <f t="shared" si="11"/>
        <v>0</v>
      </c>
      <c r="CV216" s="1852">
        <f t="shared" si="11"/>
        <v>0</v>
      </c>
      <c r="CW216" s="1856">
        <f t="shared" si="11"/>
        <v>0</v>
      </c>
      <c r="CX216" s="1856">
        <f t="shared" si="11"/>
        <v>0</v>
      </c>
      <c r="CY216" s="1856">
        <f>CY158</f>
        <v>0</v>
      </c>
      <c r="CZ216" s="1856">
        <f>CZ211</f>
        <v>0</v>
      </c>
      <c r="DA216" s="1856">
        <f>CZ216-CY216</f>
        <v>0</v>
      </c>
      <c r="DB216" s="914"/>
    </row>
    <row r="217" spans="1:106" x14ac:dyDescent="0.3">
      <c r="A217" s="1846"/>
      <c r="B217" s="915" t="s">
        <v>310</v>
      </c>
      <c r="C217" s="916">
        <f>C158+C162+C167+C172+C177+C182+C187+C192+C197+C202+C207+C212</f>
        <v>0</v>
      </c>
      <c r="D217" s="905">
        <f>IF(C217=0,0,E217/C217)</f>
        <v>0</v>
      </c>
      <c r="E217" s="905">
        <f>E158+E162+E167+E172+E177+E182+E187+E192+E197+E202+E207+E212</f>
        <v>0</v>
      </c>
      <c r="F217" s="1847"/>
      <c r="G217" s="1848"/>
      <c r="H217" s="1848"/>
      <c r="I217" s="1845"/>
      <c r="J217" s="1845"/>
      <c r="K217" s="917">
        <f>K158+K162+K167+K172+K177+K182+K187+K192+K197+K202+K207+K212</f>
        <v>0</v>
      </c>
      <c r="L217" s="918">
        <f>IF(K217=0,0,M217/K217)</f>
        <v>0</v>
      </c>
      <c r="M217" s="918">
        <f>M158+M162+M167+M172+M177+M182+M187+M192+M197+M202+M207+M212</f>
        <v>0</v>
      </c>
      <c r="N217" s="1855"/>
      <c r="O217" s="1850"/>
      <c r="P217" s="1850"/>
      <c r="Q217" s="1855"/>
      <c r="R217" s="1855"/>
      <c r="S217" s="916">
        <f>S158+S162+S167+S172+S177+S182+S187+S192+S197+S202+S207+S212</f>
        <v>0</v>
      </c>
      <c r="T217" s="905">
        <f>IF(S217=0,0,U217/S217)</f>
        <v>0</v>
      </c>
      <c r="U217" s="905">
        <f>U158+U162+U167+U172+U177+U182+U187+U192+U197+U202+U207+U212</f>
        <v>0</v>
      </c>
      <c r="V217" s="1847"/>
      <c r="W217" s="1848"/>
      <c r="X217" s="1848"/>
      <c r="Y217" s="1845"/>
      <c r="Z217" s="1845"/>
      <c r="AA217" s="917">
        <f>AA158+AA162+AA167+AA172+AA177+AA182+AA187+AA192+AA197+AA202+AA207+AA212</f>
        <v>0</v>
      </c>
      <c r="AB217" s="918">
        <f>IF(AA217=0,0,AC217/AA217)</f>
        <v>0</v>
      </c>
      <c r="AC217" s="918">
        <f>AC158+AC162+AC167+AC172+AC177+AC182+AC187+AC192+AC197+AC202+AC207+AC212</f>
        <v>0</v>
      </c>
      <c r="AD217" s="1855"/>
      <c r="AE217" s="1850"/>
      <c r="AF217" s="1850"/>
      <c r="AG217" s="1855"/>
      <c r="AH217" s="1855"/>
      <c r="AI217" s="916">
        <f>AI158+AI162+AI167+AI172+AI177+AI182+AI187+AI192+AI197+AI202+AI207+AI212</f>
        <v>0</v>
      </c>
      <c r="AJ217" s="905">
        <f>IF(AI217=0,0,AK217/AI217)</f>
        <v>0</v>
      </c>
      <c r="AK217" s="905">
        <f>AK158+AK162+AK167+AK172+AK177+AK182+AK187+AK192+AK197+AK202+AK207+AK212</f>
        <v>0</v>
      </c>
      <c r="AL217" s="1847"/>
      <c r="AM217" s="1848"/>
      <c r="AN217" s="1848"/>
      <c r="AO217" s="1845"/>
      <c r="AP217" s="1845"/>
      <c r="AQ217" s="917">
        <f>AQ158+AQ162+AQ167+AQ172+AQ177+AQ182+AQ187+AQ192+AQ197+AQ202+AQ207+AQ212</f>
        <v>0</v>
      </c>
      <c r="AR217" s="918">
        <f>IF(AQ217=0,0,AS217/AQ217)</f>
        <v>0</v>
      </c>
      <c r="AS217" s="918">
        <f>AS158+AS162+AS167+AS172+AS177+AS182+AS187+AS192+AS197+AS202+AS207+AS212</f>
        <v>0</v>
      </c>
      <c r="AT217" s="1855"/>
      <c r="AU217" s="1850"/>
      <c r="AV217" s="1850"/>
      <c r="AW217" s="1855"/>
      <c r="AX217" s="1855"/>
      <c r="AY217" s="916">
        <f>AY158+AY162+AY167+AY172+AY177+AY182+AY187+AY192+AY197+AY202+AY207+AY212</f>
        <v>0</v>
      </c>
      <c r="AZ217" s="905">
        <f>IF(AY217=0,0,BA217/AY217)</f>
        <v>0</v>
      </c>
      <c r="BA217" s="905">
        <f>BA158+BA162+BA167+BA172+BA177+BA182+BA187+BA192+BA197+BA202+BA207+BA212</f>
        <v>0</v>
      </c>
      <c r="BB217" s="1847"/>
      <c r="BC217" s="1848"/>
      <c r="BD217" s="1848"/>
      <c r="BE217" s="1845"/>
      <c r="BF217" s="1845"/>
      <c r="BG217" s="917">
        <f>BG158+BG162+BG167+BG172+BG177+BG182+BG187+BG192+BG197+BG202+BG207+BG212</f>
        <v>0</v>
      </c>
      <c r="BH217" s="918">
        <f>IF(BG217=0,0,BI217/BG217)</f>
        <v>0</v>
      </c>
      <c r="BI217" s="918">
        <f>BI158+BI162+BI167+BI172+BI177+BI182+BI187+BI192+BI197+BI202+BI207+BI212</f>
        <v>0</v>
      </c>
      <c r="BJ217" s="1855"/>
      <c r="BK217" s="1850"/>
      <c r="BL217" s="1850"/>
      <c r="BM217" s="1855"/>
      <c r="BN217" s="1855"/>
      <c r="BO217" s="916">
        <f>BO158+BO162+BO167+BO172+BO177+BO182+BO187+BO192+BO197+BO202+BO207+BO212</f>
        <v>0</v>
      </c>
      <c r="BP217" s="905">
        <f>IF(BO217=0,0,BQ217/BO217)</f>
        <v>0</v>
      </c>
      <c r="BQ217" s="905">
        <f>BQ158+BQ162+BQ167+BQ172+BQ177+BQ182+BQ187+BQ192+BQ197+BQ202+BQ207+BQ212</f>
        <v>0</v>
      </c>
      <c r="BR217" s="1847"/>
      <c r="BS217" s="1848"/>
      <c r="BT217" s="1848"/>
      <c r="BU217" s="1845"/>
      <c r="BV217" s="1845"/>
      <c r="BW217" s="917">
        <f>BW158+BW162+BW167+BW172+BW177+BW182+BW187+BW192+BW197+BW202+BW207+BW212</f>
        <v>0</v>
      </c>
      <c r="BX217" s="918">
        <f>IF(BW217=0,0,BY217/BW217)</f>
        <v>0</v>
      </c>
      <c r="BY217" s="918">
        <f>BY158+BY162+BY167+BY172+BY177+BY182+BY187+BY192+BY197+BY202+BY207+BY212</f>
        <v>0</v>
      </c>
      <c r="BZ217" s="1855"/>
      <c r="CA217" s="1850"/>
      <c r="CB217" s="1850"/>
      <c r="CC217" s="1855"/>
      <c r="CD217" s="1855"/>
      <c r="CE217" s="916">
        <f>CE158+CE162+CE167+CE172+CE177+CE182+CE187+CE192+CE197+CE202+CE207+CE212</f>
        <v>0</v>
      </c>
      <c r="CF217" s="905">
        <f>IF(CE217=0,0,CG217/CE217)</f>
        <v>0</v>
      </c>
      <c r="CG217" s="905">
        <f>CG158+CG162+CG167+CG172+CG177+CG182+CG187+CG192+CG197+CG202+CG207+CG212</f>
        <v>0</v>
      </c>
      <c r="CH217" s="1847"/>
      <c r="CI217" s="1848"/>
      <c r="CJ217" s="1848"/>
      <c r="CK217" s="1845"/>
      <c r="CL217" s="1845"/>
      <c r="CM217" s="917">
        <f>CM158+CM162+CM167+CM172+CM177+CM182+CM187+CM192+CM197+CM202+CM207+CM212</f>
        <v>0</v>
      </c>
      <c r="CN217" s="918">
        <f>IF(CM217=0,0,CO217/CM217)</f>
        <v>0</v>
      </c>
      <c r="CO217" s="918">
        <f>CO158+CO162+CO167+CO172+CO177+CO182+CO187+CO192+CO197+CO202+CO207+CO212</f>
        <v>0</v>
      </c>
      <c r="CP217" s="1855"/>
      <c r="CQ217" s="1850"/>
      <c r="CR217" s="1850"/>
      <c r="CS217" s="1855"/>
      <c r="CT217" s="1855"/>
      <c r="CU217" s="1852">
        <f>CU158+CU162+CU167+CU172+CU177+CU182+CU187+CU192+CU197+CU202+CU207+CU212</f>
        <v>0</v>
      </c>
      <c r="CV217" s="1852">
        <f>CV158+CV162+CV167+CV172+CV177+CV182+CV187+CV192+CV197+CV202+CV207+CV212</f>
        <v>0</v>
      </c>
      <c r="CW217" s="1856">
        <f>CW158+CW162+CW167+CW172+CW177+CW182+CW187+CW192+CW197+CW202+CW207+CW212</f>
        <v>0</v>
      </c>
      <c r="CX217" s="1856">
        <f>CX158+CX162+CX167+CX172+CX177+CX182+CX187+CX192+CX197+CX202+CX207+CX212</f>
        <v>0</v>
      </c>
      <c r="CY217" s="1856"/>
      <c r="CZ217" s="1856">
        <f>CZ158+CZ162+CZ167+CZ172+CZ177+CZ182+CZ187+CZ192+CZ197+CZ202+CZ207+CZ212</f>
        <v>0</v>
      </c>
      <c r="DA217" s="1856"/>
      <c r="DB217" s="935"/>
    </row>
    <row r="218" spans="1:106" x14ac:dyDescent="0.3">
      <c r="A218" s="1846"/>
      <c r="B218" s="915" t="s">
        <v>312</v>
      </c>
      <c r="C218" s="916">
        <f>C159+C164+C169+C174+C179+C184+C189+C194+C199+C204+C209+C214</f>
        <v>0</v>
      </c>
      <c r="D218" s="905">
        <f>IF(C218=0,0,E218/C218)</f>
        <v>0</v>
      </c>
      <c r="E218" s="905">
        <f>E159+E164+E169+E174+E179+E184+E189+E194+E199+E204+E209+E214</f>
        <v>0</v>
      </c>
      <c r="F218" s="1847"/>
      <c r="G218" s="1848"/>
      <c r="H218" s="1848"/>
      <c r="I218" s="1845"/>
      <c r="J218" s="1845"/>
      <c r="K218" s="917">
        <f>K159+K164+K169+K174+K179+K184+K189+K194+K199+K204+K209+K214</f>
        <v>0</v>
      </c>
      <c r="L218" s="918">
        <f>IF(K218=0,0,M218/K218)</f>
        <v>0</v>
      </c>
      <c r="M218" s="918">
        <f>M159+M164+M169+M174+M179+M184+M189+M194+M199+M204+M209+M214</f>
        <v>0</v>
      </c>
      <c r="N218" s="1855"/>
      <c r="O218" s="1850"/>
      <c r="P218" s="1850"/>
      <c r="Q218" s="1855"/>
      <c r="R218" s="1855"/>
      <c r="S218" s="916">
        <f>S159+S164+S169+S174+S179+S184+S189+S194+S199+S204+S209+S214</f>
        <v>0</v>
      </c>
      <c r="T218" s="905">
        <f>IF(S218=0,0,U218/S218)</f>
        <v>0</v>
      </c>
      <c r="U218" s="905">
        <f>U159+U164+U169+U174+U179+U184+U189+U194+U199+U204+U209+U214</f>
        <v>0</v>
      </c>
      <c r="V218" s="1847"/>
      <c r="W218" s="1848"/>
      <c r="X218" s="1848"/>
      <c r="Y218" s="1845"/>
      <c r="Z218" s="1845"/>
      <c r="AA218" s="917">
        <f>AA159+AA164+AA169+AA174+AA179+AA184+AA189+AA194+AA199+AA204+AA209+AA214</f>
        <v>0</v>
      </c>
      <c r="AB218" s="918">
        <f>IF(AA218=0,0,AC218/AA218)</f>
        <v>0</v>
      </c>
      <c r="AC218" s="918">
        <f>AC159+AC164+AC169+AC174+AC179+AC184+AC189+AC194+AC199+AC204+AC209+AC214</f>
        <v>0</v>
      </c>
      <c r="AD218" s="1855"/>
      <c r="AE218" s="1850"/>
      <c r="AF218" s="1850"/>
      <c r="AG218" s="1855"/>
      <c r="AH218" s="1855"/>
      <c r="AI218" s="916">
        <f>AI159+AI164+AI169+AI174+AI179+AI184+AI189+AI194+AI199+AI204+AI209+AI214</f>
        <v>0</v>
      </c>
      <c r="AJ218" s="905">
        <f>IF(AI218=0,0,AK218/AI218)</f>
        <v>0</v>
      </c>
      <c r="AK218" s="905">
        <f>AK159+AK164+AK169+AK174+AK179+AK184+AK189+AK194+AK199+AK204+AK209+AK214</f>
        <v>0</v>
      </c>
      <c r="AL218" s="1847"/>
      <c r="AM218" s="1848"/>
      <c r="AN218" s="1848"/>
      <c r="AO218" s="1845"/>
      <c r="AP218" s="1845"/>
      <c r="AQ218" s="917">
        <f>AQ159+AQ164+AQ169+AQ174+AQ179+AQ184+AQ189+AQ194+AQ199+AQ204+AQ209+AQ214</f>
        <v>0</v>
      </c>
      <c r="AR218" s="918">
        <f>IF(AQ218=0,0,AS218/AQ218)</f>
        <v>0</v>
      </c>
      <c r="AS218" s="918">
        <f>AS159+AS164+AS169+AS174+AS179+AS184+AS189+AS194+AS199+AS204+AS209+AS214</f>
        <v>0</v>
      </c>
      <c r="AT218" s="1855"/>
      <c r="AU218" s="1850"/>
      <c r="AV218" s="1850"/>
      <c r="AW218" s="1855"/>
      <c r="AX218" s="1855"/>
      <c r="AY218" s="916">
        <f>AY159+AY164+AY169+AY174+AY179+AY184+AY189+AY194+AY199+AY204+AY209+AY214</f>
        <v>0</v>
      </c>
      <c r="AZ218" s="905">
        <f>IF(AY218=0,0,BA218/AY218)</f>
        <v>0</v>
      </c>
      <c r="BA218" s="905">
        <f>BA159+BA164+BA169+BA174+BA179+BA184+BA189+BA194+BA199+BA204+BA209+BA214</f>
        <v>0</v>
      </c>
      <c r="BB218" s="1847"/>
      <c r="BC218" s="1848"/>
      <c r="BD218" s="1848"/>
      <c r="BE218" s="1845"/>
      <c r="BF218" s="1845"/>
      <c r="BG218" s="917">
        <f>BG159+BG164+BG169+BG174+BG179+BG184+BG189+BG194+BG199+BG204+BG209+BG214</f>
        <v>0</v>
      </c>
      <c r="BH218" s="918">
        <f>IF(BG218=0,0,BI218/BG218)</f>
        <v>0</v>
      </c>
      <c r="BI218" s="918">
        <f>BI159+BI164+BI169+BI174+BI179+BI184+BI189+BI194+BI199+BI204+BI209+BI214</f>
        <v>0</v>
      </c>
      <c r="BJ218" s="1855"/>
      <c r="BK218" s="1850"/>
      <c r="BL218" s="1850"/>
      <c r="BM218" s="1855"/>
      <c r="BN218" s="1855"/>
      <c r="BO218" s="916">
        <f>BO159+BO164+BO169+BO174+BO179+BO184+BO189+BO194+BO199+BO204+BO209+BO214</f>
        <v>0</v>
      </c>
      <c r="BP218" s="905">
        <f>IF(BO218=0,0,BQ218/BO218)</f>
        <v>0</v>
      </c>
      <c r="BQ218" s="905">
        <f>BQ159+BQ164+BQ169+BQ174+BQ179+BQ184+BQ189+BQ194+BQ199+BQ204+BQ209+BQ214</f>
        <v>0</v>
      </c>
      <c r="BR218" s="1847"/>
      <c r="BS218" s="1848"/>
      <c r="BT218" s="1848"/>
      <c r="BU218" s="1845"/>
      <c r="BV218" s="1845"/>
      <c r="BW218" s="917">
        <f>BW159+BW164+BW169+BW174+BW179+BW184+BW189+BW194+BW199+BW204+BW209+BW214</f>
        <v>0</v>
      </c>
      <c r="BX218" s="918">
        <f>IF(BW218=0,0,BY218/BW218)</f>
        <v>0</v>
      </c>
      <c r="BY218" s="918">
        <f>BY159+BY164+BY169+BY174+BY179+BY184+BY189+BY194+BY199+BY204+BY209+BY214</f>
        <v>0</v>
      </c>
      <c r="BZ218" s="1855"/>
      <c r="CA218" s="1850"/>
      <c r="CB218" s="1850"/>
      <c r="CC218" s="1855"/>
      <c r="CD218" s="1855"/>
      <c r="CE218" s="916">
        <f>CE159+CE164+CE169+CE174+CE179+CE184+CE189+CE194+CE199+CE204+CE209+CE214</f>
        <v>0</v>
      </c>
      <c r="CF218" s="905">
        <f>IF(CE218=0,0,CG218/CE218)</f>
        <v>0</v>
      </c>
      <c r="CG218" s="905">
        <f>CG159+CG164+CG169+CG174+CG179+CG184+CG189+CG194+CG199+CG204+CG209+CG214</f>
        <v>0</v>
      </c>
      <c r="CH218" s="1847"/>
      <c r="CI218" s="1848"/>
      <c r="CJ218" s="1848"/>
      <c r="CK218" s="1845"/>
      <c r="CL218" s="1845"/>
      <c r="CM218" s="917">
        <f>CM159+CM164+CM169+CM174+CM179+CM184+CM189+CM194+CM199+CM204+CM209+CM214</f>
        <v>0</v>
      </c>
      <c r="CN218" s="918">
        <f>IF(CM218=0,0,CO218/CM218)</f>
        <v>0</v>
      </c>
      <c r="CO218" s="918">
        <f>CO159+CO164+CO169+CO174+CO179+CO184+CO189+CO194+CO199+CO204+CO209+CO214</f>
        <v>0</v>
      </c>
      <c r="CP218" s="1855"/>
      <c r="CQ218" s="1850"/>
      <c r="CR218" s="1850"/>
      <c r="CS218" s="1855"/>
      <c r="CT218" s="1855"/>
      <c r="CU218" s="1852">
        <f>CU159+CU164+CU169+CU174+CU179+CU184+CU189+CU194+CU199+CU204+CU209+CU214</f>
        <v>0</v>
      </c>
      <c r="CV218" s="1852">
        <f>CV159+CV164+CV169+CV174+CV179+CV184+CV189+CV194+CV199+CV204+CV209+CV214</f>
        <v>0</v>
      </c>
      <c r="CW218" s="1856">
        <f>CW159+CW164+CW169+CW174+CW179+CW184+CW189+CW194+CW199+CW204+CW209+CW214</f>
        <v>0</v>
      </c>
      <c r="CX218" s="1856">
        <f>CX159+CX164+CX169+CX174+CX179+CX184+CX189+CX194+CX199+CX204+CX209+CX214</f>
        <v>0</v>
      </c>
      <c r="CY218" s="1856"/>
      <c r="CZ218" s="1856">
        <f>CZ159+CZ164+CZ169+CZ174+CZ179+CZ184+CZ189+CZ194+CZ199+CZ204+CZ209+CZ214</f>
        <v>0</v>
      </c>
      <c r="DA218" s="1856"/>
      <c r="DB218" s="935"/>
    </row>
    <row r="219" spans="1:106" x14ac:dyDescent="0.3">
      <c r="A219" s="1846"/>
      <c r="B219" s="915" t="s">
        <v>254</v>
      </c>
      <c r="C219" s="916">
        <f>C216+C217-C218</f>
        <v>0</v>
      </c>
      <c r="D219" s="905">
        <f>IF(C219=0,0,E219/C219)</f>
        <v>0</v>
      </c>
      <c r="E219" s="905">
        <f>E216+E217-E218</f>
        <v>0</v>
      </c>
      <c r="F219" s="1847"/>
      <c r="G219" s="1848"/>
      <c r="H219" s="1848"/>
      <c r="I219" s="1845"/>
      <c r="J219" s="1845"/>
      <c r="K219" s="917">
        <f>K216+K217-K218</f>
        <v>0</v>
      </c>
      <c r="L219" s="918">
        <f>IF(K219=0,0,M219/K219)</f>
        <v>0</v>
      </c>
      <c r="M219" s="918">
        <f>M216+M217-M218</f>
        <v>0</v>
      </c>
      <c r="N219" s="1855"/>
      <c r="O219" s="1850"/>
      <c r="P219" s="1850"/>
      <c r="Q219" s="1855"/>
      <c r="R219" s="1855"/>
      <c r="S219" s="916">
        <f>S216+S217-S218</f>
        <v>0</v>
      </c>
      <c r="T219" s="905">
        <f>IF(S219=0,0,U219/S219)</f>
        <v>0</v>
      </c>
      <c r="U219" s="905">
        <f>U216+U217-U218</f>
        <v>0</v>
      </c>
      <c r="V219" s="1847"/>
      <c r="W219" s="1848"/>
      <c r="X219" s="1848"/>
      <c r="Y219" s="1845"/>
      <c r="Z219" s="1845"/>
      <c r="AA219" s="917">
        <f>AA216+AA217-AA218</f>
        <v>0</v>
      </c>
      <c r="AB219" s="918">
        <f>IF(AA219=0,0,AC219/AA219)</f>
        <v>0</v>
      </c>
      <c r="AC219" s="918">
        <f>AC216+AC217-AC218</f>
        <v>0</v>
      </c>
      <c r="AD219" s="1855"/>
      <c r="AE219" s="1850"/>
      <c r="AF219" s="1850"/>
      <c r="AG219" s="1855"/>
      <c r="AH219" s="1855"/>
      <c r="AI219" s="916">
        <f>AI216+AI217-AI218</f>
        <v>0</v>
      </c>
      <c r="AJ219" s="905">
        <f>IF(AI219=0,0,AK219/AI219)</f>
        <v>0</v>
      </c>
      <c r="AK219" s="905">
        <f>AK216+AK217-AK218</f>
        <v>0</v>
      </c>
      <c r="AL219" s="1847"/>
      <c r="AM219" s="1848"/>
      <c r="AN219" s="1848"/>
      <c r="AO219" s="1845"/>
      <c r="AP219" s="1845"/>
      <c r="AQ219" s="917">
        <f>AQ216+AQ217-AQ218</f>
        <v>0</v>
      </c>
      <c r="AR219" s="918">
        <f>IF(AQ219=0,0,AS219/AQ219)</f>
        <v>0</v>
      </c>
      <c r="AS219" s="918">
        <f>AS216+AS217-AS218</f>
        <v>0</v>
      </c>
      <c r="AT219" s="1855"/>
      <c r="AU219" s="1850"/>
      <c r="AV219" s="1850"/>
      <c r="AW219" s="1855"/>
      <c r="AX219" s="1855"/>
      <c r="AY219" s="916">
        <f>AY216+AY217-AY218</f>
        <v>0</v>
      </c>
      <c r="AZ219" s="905">
        <f>IF(AY219=0,0,BA219/AY219)</f>
        <v>0</v>
      </c>
      <c r="BA219" s="905">
        <f>BA216+BA217-BA218</f>
        <v>0</v>
      </c>
      <c r="BB219" s="1847"/>
      <c r="BC219" s="1848"/>
      <c r="BD219" s="1848"/>
      <c r="BE219" s="1845"/>
      <c r="BF219" s="1845"/>
      <c r="BG219" s="917">
        <f>BG216+BG217-BG218</f>
        <v>0</v>
      </c>
      <c r="BH219" s="918">
        <f>IF(BG219=0,0,BI219/BG219)</f>
        <v>0</v>
      </c>
      <c r="BI219" s="918">
        <f>BI216+BI217-BI218</f>
        <v>0</v>
      </c>
      <c r="BJ219" s="1855"/>
      <c r="BK219" s="1850"/>
      <c r="BL219" s="1850"/>
      <c r="BM219" s="1855"/>
      <c r="BN219" s="1855"/>
      <c r="BO219" s="916">
        <f>BO216+BO217-BO218</f>
        <v>0</v>
      </c>
      <c r="BP219" s="905">
        <f>IF(BO219=0,0,BQ219/BO219)</f>
        <v>0</v>
      </c>
      <c r="BQ219" s="905">
        <f>BQ216+BQ217-BQ218</f>
        <v>0</v>
      </c>
      <c r="BR219" s="1847"/>
      <c r="BS219" s="1848"/>
      <c r="BT219" s="1848"/>
      <c r="BU219" s="1845"/>
      <c r="BV219" s="1845"/>
      <c r="BW219" s="917">
        <f>BW216+BW217-BW218</f>
        <v>0</v>
      </c>
      <c r="BX219" s="918">
        <f>IF(BW219=0,0,BY219/BW219)</f>
        <v>0</v>
      </c>
      <c r="BY219" s="918">
        <f>BY216+BY217-BY218</f>
        <v>0</v>
      </c>
      <c r="BZ219" s="1855"/>
      <c r="CA219" s="1850"/>
      <c r="CB219" s="1850"/>
      <c r="CC219" s="1855"/>
      <c r="CD219" s="1855"/>
      <c r="CE219" s="916">
        <f>CE216+CE217-CE218</f>
        <v>0</v>
      </c>
      <c r="CF219" s="905">
        <f>IF(CE219=0,0,CG219/CE219)</f>
        <v>0</v>
      </c>
      <c r="CG219" s="905">
        <f>CG216+CG217-CG218</f>
        <v>0</v>
      </c>
      <c r="CH219" s="1847"/>
      <c r="CI219" s="1848"/>
      <c r="CJ219" s="1848"/>
      <c r="CK219" s="1845"/>
      <c r="CL219" s="1845"/>
      <c r="CM219" s="917">
        <f>CM216+CM217-CM218</f>
        <v>0</v>
      </c>
      <c r="CN219" s="918">
        <f>IF(CM219=0,0,CO219/CM219)</f>
        <v>0</v>
      </c>
      <c r="CO219" s="918">
        <f>CO216+CO217-CO218</f>
        <v>0</v>
      </c>
      <c r="CP219" s="1855"/>
      <c r="CQ219" s="1850"/>
      <c r="CR219" s="1850"/>
      <c r="CS219" s="1855"/>
      <c r="CT219" s="1855"/>
      <c r="CU219" s="1852">
        <f>CU216+CU217-CU218</f>
        <v>0</v>
      </c>
      <c r="CV219" s="1852">
        <f>CV216+CV217-CV218</f>
        <v>0</v>
      </c>
      <c r="CW219" s="1856">
        <f>CW216+CW217-CW218</f>
        <v>0</v>
      </c>
      <c r="CX219" s="1856">
        <f>CX216+CX217-CX218</f>
        <v>0</v>
      </c>
      <c r="CY219" s="1856"/>
      <c r="CZ219" s="1856">
        <f>CZ216+CZ217-CZ218</f>
        <v>0</v>
      </c>
      <c r="DA219" s="1856"/>
      <c r="DB219" s="935"/>
    </row>
  </sheetData>
  <mergeCells count="2715">
    <mergeCell ref="CH216:CH219"/>
    <mergeCell ref="CI216:CI219"/>
    <mergeCell ref="CJ216:CJ219"/>
    <mergeCell ref="CK216:CK219"/>
    <mergeCell ref="CL216:CL219"/>
    <mergeCell ref="CP216:CP219"/>
    <mergeCell ref="CQ216:CQ219"/>
    <mergeCell ref="CR216:CR219"/>
    <mergeCell ref="CS216:CS219"/>
    <mergeCell ref="CT216:CT219"/>
    <mergeCell ref="CU216:CU219"/>
    <mergeCell ref="CV216:CV219"/>
    <mergeCell ref="DA216:DA219"/>
    <mergeCell ref="CW216:CW219"/>
    <mergeCell ref="CX216:CX219"/>
    <mergeCell ref="CY216:CY219"/>
    <mergeCell ref="CZ216:CZ219"/>
    <mergeCell ref="BE216:BE219"/>
    <mergeCell ref="BF216:BF219"/>
    <mergeCell ref="BJ216:BJ219"/>
    <mergeCell ref="BK216:BK219"/>
    <mergeCell ref="BL216:BL219"/>
    <mergeCell ref="BM216:BM219"/>
    <mergeCell ref="BN216:BN219"/>
    <mergeCell ref="BR216:BR219"/>
    <mergeCell ref="BS216:BS219"/>
    <mergeCell ref="BT216:BT219"/>
    <mergeCell ref="BU216:BU219"/>
    <mergeCell ref="BV216:BV219"/>
    <mergeCell ref="BZ216:BZ219"/>
    <mergeCell ref="CA216:CA219"/>
    <mergeCell ref="CB216:CB219"/>
    <mergeCell ref="CC216:CC219"/>
    <mergeCell ref="CD216:CD219"/>
    <mergeCell ref="AE216:AE219"/>
    <mergeCell ref="AF216:AF219"/>
    <mergeCell ref="AG216:AG219"/>
    <mergeCell ref="AH216:AH219"/>
    <mergeCell ref="AL216:AL219"/>
    <mergeCell ref="AM216:AM219"/>
    <mergeCell ref="AN216:AN219"/>
    <mergeCell ref="AO216:AO219"/>
    <mergeCell ref="AP216:AP219"/>
    <mergeCell ref="AT216:AT219"/>
    <mergeCell ref="AU216:AU219"/>
    <mergeCell ref="AV216:AV219"/>
    <mergeCell ref="AW216:AW219"/>
    <mergeCell ref="AX216:AX219"/>
    <mergeCell ref="BB216:BB219"/>
    <mergeCell ref="BC216:BC219"/>
    <mergeCell ref="BD216:BD219"/>
    <mergeCell ref="A216:A219"/>
    <mergeCell ref="F216:F219"/>
    <mergeCell ref="G216:G219"/>
    <mergeCell ref="H216:H219"/>
    <mergeCell ref="I216:I219"/>
    <mergeCell ref="J216:J219"/>
    <mergeCell ref="N216:N219"/>
    <mergeCell ref="O216:O219"/>
    <mergeCell ref="P216:P219"/>
    <mergeCell ref="Q216:Q219"/>
    <mergeCell ref="R216:R219"/>
    <mergeCell ref="V216:V219"/>
    <mergeCell ref="W216:W219"/>
    <mergeCell ref="X216:X219"/>
    <mergeCell ref="Y216:Y219"/>
    <mergeCell ref="Z216:Z219"/>
    <mergeCell ref="AD216:AD219"/>
    <mergeCell ref="CH211:CH215"/>
    <mergeCell ref="CI211:CI215"/>
    <mergeCell ref="CJ211:CJ215"/>
    <mergeCell ref="CK211:CK215"/>
    <mergeCell ref="CL211:CL215"/>
    <mergeCell ref="CP211:CP215"/>
    <mergeCell ref="CQ211:CQ215"/>
    <mergeCell ref="CR211:CR215"/>
    <mergeCell ref="CS211:CS215"/>
    <mergeCell ref="CT211:CT215"/>
    <mergeCell ref="CU211:CU215"/>
    <mergeCell ref="CV211:CV215"/>
    <mergeCell ref="CW211:CW215"/>
    <mergeCell ref="CX211:CX215"/>
    <mergeCell ref="CY211:CY215"/>
    <mergeCell ref="CZ211:CZ215"/>
    <mergeCell ref="DA211:DA215"/>
    <mergeCell ref="BE211:BE215"/>
    <mergeCell ref="BF211:BF215"/>
    <mergeCell ref="BJ211:BJ215"/>
    <mergeCell ref="BK211:BK215"/>
    <mergeCell ref="BL211:BL215"/>
    <mergeCell ref="BM211:BM215"/>
    <mergeCell ref="BN211:BN215"/>
    <mergeCell ref="BR211:BR215"/>
    <mergeCell ref="BS211:BS215"/>
    <mergeCell ref="BT211:BT215"/>
    <mergeCell ref="BU211:BU215"/>
    <mergeCell ref="BV211:BV215"/>
    <mergeCell ref="BZ211:BZ215"/>
    <mergeCell ref="CA211:CA215"/>
    <mergeCell ref="CB211:CB215"/>
    <mergeCell ref="CC211:CC215"/>
    <mergeCell ref="CD211:CD215"/>
    <mergeCell ref="AE211:AE215"/>
    <mergeCell ref="AF211:AF215"/>
    <mergeCell ref="AG211:AG215"/>
    <mergeCell ref="AH211:AH215"/>
    <mergeCell ref="AL211:AL215"/>
    <mergeCell ref="AM211:AM215"/>
    <mergeCell ref="AN211:AN215"/>
    <mergeCell ref="AO211:AO215"/>
    <mergeCell ref="AP211:AP215"/>
    <mergeCell ref="AT211:AT215"/>
    <mergeCell ref="AU211:AU215"/>
    <mergeCell ref="AV211:AV215"/>
    <mergeCell ref="AW211:AW215"/>
    <mergeCell ref="AX211:AX215"/>
    <mergeCell ref="BB211:BB215"/>
    <mergeCell ref="BC211:BC215"/>
    <mergeCell ref="BD211:BD215"/>
    <mergeCell ref="A211:A215"/>
    <mergeCell ref="F211:F215"/>
    <mergeCell ref="G211:G215"/>
    <mergeCell ref="H211:H215"/>
    <mergeCell ref="I211:I215"/>
    <mergeCell ref="J211:J215"/>
    <mergeCell ref="N211:N215"/>
    <mergeCell ref="O211:O215"/>
    <mergeCell ref="P211:P215"/>
    <mergeCell ref="Q211:Q215"/>
    <mergeCell ref="R211:R215"/>
    <mergeCell ref="V211:V215"/>
    <mergeCell ref="W211:W215"/>
    <mergeCell ref="X211:X215"/>
    <mergeCell ref="Y211:Y215"/>
    <mergeCell ref="Z211:Z215"/>
    <mergeCell ref="AD211:AD215"/>
    <mergeCell ref="CH206:CH210"/>
    <mergeCell ref="CI206:CI210"/>
    <mergeCell ref="CJ206:CJ210"/>
    <mergeCell ref="CK206:CK210"/>
    <mergeCell ref="CL206:CL210"/>
    <mergeCell ref="CP206:CP210"/>
    <mergeCell ref="CQ206:CQ210"/>
    <mergeCell ref="CR206:CR210"/>
    <mergeCell ref="CS206:CS210"/>
    <mergeCell ref="CT206:CT210"/>
    <mergeCell ref="CU206:CU210"/>
    <mergeCell ref="CV206:CV210"/>
    <mergeCell ref="CW206:CW210"/>
    <mergeCell ref="CX206:CX210"/>
    <mergeCell ref="CY206:CY210"/>
    <mergeCell ref="CZ206:CZ210"/>
    <mergeCell ref="DA206:DA210"/>
    <mergeCell ref="BE206:BE210"/>
    <mergeCell ref="BF206:BF210"/>
    <mergeCell ref="BJ206:BJ210"/>
    <mergeCell ref="BK206:BK210"/>
    <mergeCell ref="BL206:BL210"/>
    <mergeCell ref="BM206:BM210"/>
    <mergeCell ref="BN206:BN210"/>
    <mergeCell ref="BR206:BR210"/>
    <mergeCell ref="BS206:BS210"/>
    <mergeCell ref="BT206:BT210"/>
    <mergeCell ref="BU206:BU210"/>
    <mergeCell ref="BV206:BV210"/>
    <mergeCell ref="BZ206:BZ210"/>
    <mergeCell ref="CA206:CA210"/>
    <mergeCell ref="CB206:CB210"/>
    <mergeCell ref="CC206:CC210"/>
    <mergeCell ref="CD206:CD210"/>
    <mergeCell ref="AE206:AE210"/>
    <mergeCell ref="AF206:AF210"/>
    <mergeCell ref="AG206:AG210"/>
    <mergeCell ref="AH206:AH210"/>
    <mergeCell ref="AL206:AL210"/>
    <mergeCell ref="AM206:AM210"/>
    <mergeCell ref="AN206:AN210"/>
    <mergeCell ref="AO206:AO210"/>
    <mergeCell ref="AP206:AP210"/>
    <mergeCell ref="AT206:AT210"/>
    <mergeCell ref="AU206:AU210"/>
    <mergeCell ref="AV206:AV210"/>
    <mergeCell ref="AW206:AW210"/>
    <mergeCell ref="AX206:AX210"/>
    <mergeCell ref="BB206:BB210"/>
    <mergeCell ref="BC206:BC210"/>
    <mergeCell ref="BD206:BD210"/>
    <mergeCell ref="A206:A210"/>
    <mergeCell ref="F206:F210"/>
    <mergeCell ref="G206:G210"/>
    <mergeCell ref="H206:H210"/>
    <mergeCell ref="I206:I210"/>
    <mergeCell ref="J206:J210"/>
    <mergeCell ref="N206:N210"/>
    <mergeCell ref="O206:O210"/>
    <mergeCell ref="P206:P210"/>
    <mergeCell ref="Q206:Q210"/>
    <mergeCell ref="R206:R210"/>
    <mergeCell ref="V206:V210"/>
    <mergeCell ref="W206:W210"/>
    <mergeCell ref="X206:X210"/>
    <mergeCell ref="Y206:Y210"/>
    <mergeCell ref="Z206:Z210"/>
    <mergeCell ref="AD206:AD210"/>
    <mergeCell ref="CH201:CH205"/>
    <mergeCell ref="CI201:CI205"/>
    <mergeCell ref="CJ201:CJ205"/>
    <mergeCell ref="CK201:CK205"/>
    <mergeCell ref="CL201:CL205"/>
    <mergeCell ref="CP201:CP205"/>
    <mergeCell ref="CQ201:CQ205"/>
    <mergeCell ref="CR201:CR205"/>
    <mergeCell ref="CS201:CS205"/>
    <mergeCell ref="CT201:CT205"/>
    <mergeCell ref="CU201:CU205"/>
    <mergeCell ref="CV201:CV205"/>
    <mergeCell ref="CW201:CW205"/>
    <mergeCell ref="CX201:CX205"/>
    <mergeCell ref="CY201:CY205"/>
    <mergeCell ref="CZ201:CZ205"/>
    <mergeCell ref="DA201:DA205"/>
    <mergeCell ref="BE201:BE205"/>
    <mergeCell ref="BF201:BF205"/>
    <mergeCell ref="BJ201:BJ205"/>
    <mergeCell ref="BK201:BK205"/>
    <mergeCell ref="BL201:BL205"/>
    <mergeCell ref="BM201:BM205"/>
    <mergeCell ref="BN201:BN205"/>
    <mergeCell ref="BR201:BR205"/>
    <mergeCell ref="BS201:BS205"/>
    <mergeCell ref="BT201:BT205"/>
    <mergeCell ref="BU201:BU205"/>
    <mergeCell ref="BV201:BV205"/>
    <mergeCell ref="BZ201:BZ205"/>
    <mergeCell ref="CA201:CA205"/>
    <mergeCell ref="CB201:CB205"/>
    <mergeCell ref="CC201:CC205"/>
    <mergeCell ref="CD201:CD205"/>
    <mergeCell ref="AE201:AE205"/>
    <mergeCell ref="AF201:AF205"/>
    <mergeCell ref="AG201:AG205"/>
    <mergeCell ref="AH201:AH205"/>
    <mergeCell ref="AL201:AL205"/>
    <mergeCell ref="AM201:AM205"/>
    <mergeCell ref="AN201:AN205"/>
    <mergeCell ref="AO201:AO205"/>
    <mergeCell ref="AP201:AP205"/>
    <mergeCell ref="AT201:AT205"/>
    <mergeCell ref="AU201:AU205"/>
    <mergeCell ref="AV201:AV205"/>
    <mergeCell ref="AW201:AW205"/>
    <mergeCell ref="AX201:AX205"/>
    <mergeCell ref="BB201:BB205"/>
    <mergeCell ref="BC201:BC205"/>
    <mergeCell ref="BD201:BD205"/>
    <mergeCell ref="A201:A205"/>
    <mergeCell ref="F201:F205"/>
    <mergeCell ref="G201:G205"/>
    <mergeCell ref="H201:H205"/>
    <mergeCell ref="I201:I205"/>
    <mergeCell ref="J201:J205"/>
    <mergeCell ref="N201:N205"/>
    <mergeCell ref="O201:O205"/>
    <mergeCell ref="P201:P205"/>
    <mergeCell ref="Q201:Q205"/>
    <mergeCell ref="R201:R205"/>
    <mergeCell ref="V201:V205"/>
    <mergeCell ref="W201:W205"/>
    <mergeCell ref="X201:X205"/>
    <mergeCell ref="Y201:Y205"/>
    <mergeCell ref="Z201:Z205"/>
    <mergeCell ref="AD201:AD205"/>
    <mergeCell ref="CH196:CH200"/>
    <mergeCell ref="CI196:CI200"/>
    <mergeCell ref="CJ196:CJ200"/>
    <mergeCell ref="CK196:CK200"/>
    <mergeCell ref="CL196:CL200"/>
    <mergeCell ref="CP196:CP200"/>
    <mergeCell ref="CQ196:CQ200"/>
    <mergeCell ref="CR196:CR200"/>
    <mergeCell ref="CS196:CS200"/>
    <mergeCell ref="CT196:CT200"/>
    <mergeCell ref="CU196:CU200"/>
    <mergeCell ref="CV196:CV200"/>
    <mergeCell ref="CW196:CW200"/>
    <mergeCell ref="CX196:CX200"/>
    <mergeCell ref="CY196:CY200"/>
    <mergeCell ref="CZ196:CZ200"/>
    <mergeCell ref="DA196:DA200"/>
    <mergeCell ref="BE196:BE200"/>
    <mergeCell ref="BF196:BF200"/>
    <mergeCell ref="BJ196:BJ200"/>
    <mergeCell ref="BK196:BK200"/>
    <mergeCell ref="BL196:BL200"/>
    <mergeCell ref="BM196:BM200"/>
    <mergeCell ref="BN196:BN200"/>
    <mergeCell ref="BR196:BR200"/>
    <mergeCell ref="BS196:BS200"/>
    <mergeCell ref="BT196:BT200"/>
    <mergeCell ref="BU196:BU200"/>
    <mergeCell ref="BV196:BV200"/>
    <mergeCell ref="BZ196:BZ200"/>
    <mergeCell ref="CA196:CA200"/>
    <mergeCell ref="CB196:CB200"/>
    <mergeCell ref="CC196:CC200"/>
    <mergeCell ref="CD196:CD200"/>
    <mergeCell ref="AE196:AE200"/>
    <mergeCell ref="AF196:AF200"/>
    <mergeCell ref="AG196:AG200"/>
    <mergeCell ref="AH196:AH200"/>
    <mergeCell ref="AL196:AL200"/>
    <mergeCell ref="AM196:AM200"/>
    <mergeCell ref="AN196:AN200"/>
    <mergeCell ref="AO196:AO200"/>
    <mergeCell ref="AP196:AP200"/>
    <mergeCell ref="AT196:AT200"/>
    <mergeCell ref="AU196:AU200"/>
    <mergeCell ref="AV196:AV200"/>
    <mergeCell ref="AW196:AW200"/>
    <mergeCell ref="AX196:AX200"/>
    <mergeCell ref="BB196:BB200"/>
    <mergeCell ref="BC196:BC200"/>
    <mergeCell ref="BD196:BD200"/>
    <mergeCell ref="A196:A200"/>
    <mergeCell ref="F196:F200"/>
    <mergeCell ref="G196:G200"/>
    <mergeCell ref="H196:H200"/>
    <mergeCell ref="I196:I200"/>
    <mergeCell ref="J196:J200"/>
    <mergeCell ref="N196:N200"/>
    <mergeCell ref="O196:O200"/>
    <mergeCell ref="P196:P200"/>
    <mergeCell ref="Q196:Q200"/>
    <mergeCell ref="R196:R200"/>
    <mergeCell ref="V196:V200"/>
    <mergeCell ref="W196:W200"/>
    <mergeCell ref="X196:X200"/>
    <mergeCell ref="Y196:Y200"/>
    <mergeCell ref="Z196:Z200"/>
    <mergeCell ref="AD196:AD200"/>
    <mergeCell ref="CH191:CH195"/>
    <mergeCell ref="CI191:CI195"/>
    <mergeCell ref="CJ191:CJ195"/>
    <mergeCell ref="CK191:CK195"/>
    <mergeCell ref="CL191:CL195"/>
    <mergeCell ref="CP191:CP195"/>
    <mergeCell ref="CQ191:CQ195"/>
    <mergeCell ref="CR191:CR195"/>
    <mergeCell ref="CS191:CS195"/>
    <mergeCell ref="CT191:CT195"/>
    <mergeCell ref="CU191:CU195"/>
    <mergeCell ref="CV191:CV195"/>
    <mergeCell ref="CW191:CW195"/>
    <mergeCell ref="CX191:CX195"/>
    <mergeCell ref="CY191:CY195"/>
    <mergeCell ref="CZ191:CZ195"/>
    <mergeCell ref="DA191:DA195"/>
    <mergeCell ref="BE191:BE195"/>
    <mergeCell ref="BF191:BF195"/>
    <mergeCell ref="BJ191:BJ195"/>
    <mergeCell ref="BK191:BK195"/>
    <mergeCell ref="BL191:BL195"/>
    <mergeCell ref="BM191:BM195"/>
    <mergeCell ref="BN191:BN195"/>
    <mergeCell ref="BR191:BR195"/>
    <mergeCell ref="BS191:BS195"/>
    <mergeCell ref="BT191:BT195"/>
    <mergeCell ref="BU191:BU195"/>
    <mergeCell ref="BV191:BV195"/>
    <mergeCell ref="BZ191:BZ195"/>
    <mergeCell ref="CA191:CA195"/>
    <mergeCell ref="CB191:CB195"/>
    <mergeCell ref="CC191:CC195"/>
    <mergeCell ref="CD191:CD195"/>
    <mergeCell ref="AE191:AE195"/>
    <mergeCell ref="AF191:AF195"/>
    <mergeCell ref="AG191:AG195"/>
    <mergeCell ref="AH191:AH195"/>
    <mergeCell ref="AL191:AL195"/>
    <mergeCell ref="AM191:AM195"/>
    <mergeCell ref="AN191:AN195"/>
    <mergeCell ref="AO191:AO195"/>
    <mergeCell ref="AP191:AP195"/>
    <mergeCell ref="AT191:AT195"/>
    <mergeCell ref="AU191:AU195"/>
    <mergeCell ref="AV191:AV195"/>
    <mergeCell ref="AW191:AW195"/>
    <mergeCell ref="AX191:AX195"/>
    <mergeCell ref="BB191:BB195"/>
    <mergeCell ref="BC191:BC195"/>
    <mergeCell ref="BD191:BD195"/>
    <mergeCell ref="A191:A195"/>
    <mergeCell ref="F191:F195"/>
    <mergeCell ref="G191:G195"/>
    <mergeCell ref="H191:H195"/>
    <mergeCell ref="I191:I195"/>
    <mergeCell ref="J191:J195"/>
    <mergeCell ref="N191:N195"/>
    <mergeCell ref="O191:O195"/>
    <mergeCell ref="P191:P195"/>
    <mergeCell ref="Q191:Q195"/>
    <mergeCell ref="R191:R195"/>
    <mergeCell ref="V191:V195"/>
    <mergeCell ref="W191:W195"/>
    <mergeCell ref="X191:X195"/>
    <mergeCell ref="Y191:Y195"/>
    <mergeCell ref="Z191:Z195"/>
    <mergeCell ref="AD191:AD195"/>
    <mergeCell ref="CH186:CH190"/>
    <mergeCell ref="CI186:CI190"/>
    <mergeCell ref="CJ186:CJ190"/>
    <mergeCell ref="CK186:CK190"/>
    <mergeCell ref="CL186:CL190"/>
    <mergeCell ref="CP186:CP190"/>
    <mergeCell ref="CQ186:CQ190"/>
    <mergeCell ref="CR186:CR190"/>
    <mergeCell ref="CS186:CS190"/>
    <mergeCell ref="CT186:CT190"/>
    <mergeCell ref="CU186:CU190"/>
    <mergeCell ref="CV186:CV190"/>
    <mergeCell ref="CW186:CW190"/>
    <mergeCell ref="CX186:CX190"/>
    <mergeCell ref="CY186:CY190"/>
    <mergeCell ref="CZ186:CZ190"/>
    <mergeCell ref="DA186:DA190"/>
    <mergeCell ref="BE186:BE190"/>
    <mergeCell ref="BF186:BF190"/>
    <mergeCell ref="BJ186:BJ190"/>
    <mergeCell ref="BK186:BK190"/>
    <mergeCell ref="BL186:BL190"/>
    <mergeCell ref="BM186:BM190"/>
    <mergeCell ref="BN186:BN190"/>
    <mergeCell ref="BR186:BR190"/>
    <mergeCell ref="BS186:BS190"/>
    <mergeCell ref="BT186:BT190"/>
    <mergeCell ref="BU186:BU190"/>
    <mergeCell ref="BV186:BV190"/>
    <mergeCell ref="BZ186:BZ190"/>
    <mergeCell ref="CA186:CA190"/>
    <mergeCell ref="CB186:CB190"/>
    <mergeCell ref="CC186:CC190"/>
    <mergeCell ref="CD186:CD190"/>
    <mergeCell ref="AE186:AE190"/>
    <mergeCell ref="AF186:AF190"/>
    <mergeCell ref="AG186:AG190"/>
    <mergeCell ref="AH186:AH190"/>
    <mergeCell ref="AL186:AL190"/>
    <mergeCell ref="AM186:AM190"/>
    <mergeCell ref="AN186:AN190"/>
    <mergeCell ref="AO186:AO190"/>
    <mergeCell ref="AP186:AP190"/>
    <mergeCell ref="AT186:AT190"/>
    <mergeCell ref="AU186:AU190"/>
    <mergeCell ref="AV186:AV190"/>
    <mergeCell ref="AW186:AW190"/>
    <mergeCell ref="AX186:AX190"/>
    <mergeCell ref="BB186:BB190"/>
    <mergeCell ref="BC186:BC190"/>
    <mergeCell ref="BD186:BD190"/>
    <mergeCell ref="A186:A190"/>
    <mergeCell ref="F186:F190"/>
    <mergeCell ref="G186:G190"/>
    <mergeCell ref="H186:H190"/>
    <mergeCell ref="I186:I190"/>
    <mergeCell ref="J186:J190"/>
    <mergeCell ref="N186:N190"/>
    <mergeCell ref="O186:O190"/>
    <mergeCell ref="P186:P190"/>
    <mergeCell ref="Q186:Q190"/>
    <mergeCell ref="R186:R190"/>
    <mergeCell ref="V186:V190"/>
    <mergeCell ref="W186:W190"/>
    <mergeCell ref="X186:X190"/>
    <mergeCell ref="Y186:Y190"/>
    <mergeCell ref="Z186:Z190"/>
    <mergeCell ref="AD186:AD190"/>
    <mergeCell ref="CH181:CH185"/>
    <mergeCell ref="CI181:CI185"/>
    <mergeCell ref="CJ181:CJ185"/>
    <mergeCell ref="CK181:CK185"/>
    <mergeCell ref="CL181:CL185"/>
    <mergeCell ref="CP181:CP185"/>
    <mergeCell ref="CQ181:CQ185"/>
    <mergeCell ref="CR181:CR185"/>
    <mergeCell ref="CS181:CS185"/>
    <mergeCell ref="CT181:CT185"/>
    <mergeCell ref="CU181:CU185"/>
    <mergeCell ref="CV181:CV185"/>
    <mergeCell ref="CW181:CW185"/>
    <mergeCell ref="CX181:CX185"/>
    <mergeCell ref="CY181:CY185"/>
    <mergeCell ref="CZ181:CZ185"/>
    <mergeCell ref="DA181:DA185"/>
    <mergeCell ref="BE181:BE185"/>
    <mergeCell ref="BF181:BF185"/>
    <mergeCell ref="BJ181:BJ185"/>
    <mergeCell ref="BK181:BK185"/>
    <mergeCell ref="BL181:BL185"/>
    <mergeCell ref="BM181:BM185"/>
    <mergeCell ref="BN181:BN185"/>
    <mergeCell ref="BR181:BR185"/>
    <mergeCell ref="BS181:BS185"/>
    <mergeCell ref="BT181:BT185"/>
    <mergeCell ref="BU181:BU185"/>
    <mergeCell ref="BV181:BV185"/>
    <mergeCell ref="BZ181:BZ185"/>
    <mergeCell ref="CA181:CA185"/>
    <mergeCell ref="CB181:CB185"/>
    <mergeCell ref="CC181:CC185"/>
    <mergeCell ref="CD181:CD185"/>
    <mergeCell ref="AE181:AE185"/>
    <mergeCell ref="AF181:AF185"/>
    <mergeCell ref="AG181:AG185"/>
    <mergeCell ref="AH181:AH185"/>
    <mergeCell ref="AL181:AL185"/>
    <mergeCell ref="AM181:AM185"/>
    <mergeCell ref="AN181:AN185"/>
    <mergeCell ref="AO181:AO185"/>
    <mergeCell ref="AP181:AP185"/>
    <mergeCell ref="AT181:AT185"/>
    <mergeCell ref="AU181:AU185"/>
    <mergeCell ref="AV181:AV185"/>
    <mergeCell ref="AW181:AW185"/>
    <mergeCell ref="AX181:AX185"/>
    <mergeCell ref="BB181:BB185"/>
    <mergeCell ref="BC181:BC185"/>
    <mergeCell ref="BD181:BD185"/>
    <mergeCell ref="A181:A185"/>
    <mergeCell ref="F181:F185"/>
    <mergeCell ref="G181:G185"/>
    <mergeCell ref="H181:H185"/>
    <mergeCell ref="I181:I185"/>
    <mergeCell ref="J181:J185"/>
    <mergeCell ref="N181:N185"/>
    <mergeCell ref="O181:O185"/>
    <mergeCell ref="P181:P185"/>
    <mergeCell ref="Q181:Q185"/>
    <mergeCell ref="R181:R185"/>
    <mergeCell ref="V181:V185"/>
    <mergeCell ref="W181:W185"/>
    <mergeCell ref="X181:X185"/>
    <mergeCell ref="Y181:Y185"/>
    <mergeCell ref="Z181:Z185"/>
    <mergeCell ref="AD181:AD185"/>
    <mergeCell ref="CH176:CH180"/>
    <mergeCell ref="CI176:CI180"/>
    <mergeCell ref="CJ176:CJ180"/>
    <mergeCell ref="CK176:CK180"/>
    <mergeCell ref="CL176:CL180"/>
    <mergeCell ref="CP176:CP180"/>
    <mergeCell ref="CQ176:CQ180"/>
    <mergeCell ref="CR176:CR180"/>
    <mergeCell ref="CS176:CS180"/>
    <mergeCell ref="CT176:CT180"/>
    <mergeCell ref="CU176:CU180"/>
    <mergeCell ref="CV176:CV180"/>
    <mergeCell ref="CW176:CW180"/>
    <mergeCell ref="CX176:CX180"/>
    <mergeCell ref="CY176:CY180"/>
    <mergeCell ref="CZ176:CZ180"/>
    <mergeCell ref="DA176:DA180"/>
    <mergeCell ref="BE176:BE180"/>
    <mergeCell ref="BF176:BF180"/>
    <mergeCell ref="BJ176:BJ180"/>
    <mergeCell ref="BK176:BK180"/>
    <mergeCell ref="BL176:BL180"/>
    <mergeCell ref="BM176:BM180"/>
    <mergeCell ref="BN176:BN180"/>
    <mergeCell ref="BR176:BR180"/>
    <mergeCell ref="BS176:BS180"/>
    <mergeCell ref="BT176:BT180"/>
    <mergeCell ref="BU176:BU180"/>
    <mergeCell ref="BV176:BV180"/>
    <mergeCell ref="BZ176:BZ180"/>
    <mergeCell ref="CA176:CA180"/>
    <mergeCell ref="CB176:CB180"/>
    <mergeCell ref="CC176:CC180"/>
    <mergeCell ref="CD176:CD180"/>
    <mergeCell ref="AE176:AE180"/>
    <mergeCell ref="AF176:AF180"/>
    <mergeCell ref="AG176:AG180"/>
    <mergeCell ref="AH176:AH180"/>
    <mergeCell ref="AL176:AL180"/>
    <mergeCell ref="AM176:AM180"/>
    <mergeCell ref="AN176:AN180"/>
    <mergeCell ref="AO176:AO180"/>
    <mergeCell ref="AP176:AP180"/>
    <mergeCell ref="AT176:AT180"/>
    <mergeCell ref="AU176:AU180"/>
    <mergeCell ref="AV176:AV180"/>
    <mergeCell ref="AW176:AW180"/>
    <mergeCell ref="AX176:AX180"/>
    <mergeCell ref="BB176:BB180"/>
    <mergeCell ref="BC176:BC180"/>
    <mergeCell ref="BD176:BD180"/>
    <mergeCell ref="A176:A180"/>
    <mergeCell ref="F176:F180"/>
    <mergeCell ref="G176:G180"/>
    <mergeCell ref="H176:H180"/>
    <mergeCell ref="I176:I180"/>
    <mergeCell ref="J176:J180"/>
    <mergeCell ref="N176:N180"/>
    <mergeCell ref="O176:O180"/>
    <mergeCell ref="P176:P180"/>
    <mergeCell ref="Q176:Q180"/>
    <mergeCell ref="R176:R180"/>
    <mergeCell ref="V176:V180"/>
    <mergeCell ref="W176:W180"/>
    <mergeCell ref="X176:X180"/>
    <mergeCell ref="Y176:Y180"/>
    <mergeCell ref="Z176:Z180"/>
    <mergeCell ref="AD176:AD180"/>
    <mergeCell ref="CH171:CH175"/>
    <mergeCell ref="CI171:CI175"/>
    <mergeCell ref="CJ171:CJ175"/>
    <mergeCell ref="CK171:CK175"/>
    <mergeCell ref="CL171:CL175"/>
    <mergeCell ref="CP171:CP175"/>
    <mergeCell ref="CQ171:CQ175"/>
    <mergeCell ref="CR171:CR175"/>
    <mergeCell ref="CS171:CS175"/>
    <mergeCell ref="CT171:CT175"/>
    <mergeCell ref="CU171:CU175"/>
    <mergeCell ref="CV171:CV175"/>
    <mergeCell ref="CW171:CW175"/>
    <mergeCell ref="CX171:CX175"/>
    <mergeCell ref="CY171:CY175"/>
    <mergeCell ref="CZ171:CZ175"/>
    <mergeCell ref="DA171:DA175"/>
    <mergeCell ref="BE171:BE175"/>
    <mergeCell ref="BF171:BF175"/>
    <mergeCell ref="BJ171:BJ175"/>
    <mergeCell ref="BK171:BK175"/>
    <mergeCell ref="BL171:BL175"/>
    <mergeCell ref="BM171:BM175"/>
    <mergeCell ref="BN171:BN175"/>
    <mergeCell ref="BR171:BR175"/>
    <mergeCell ref="BS171:BS175"/>
    <mergeCell ref="BT171:BT175"/>
    <mergeCell ref="BU171:BU175"/>
    <mergeCell ref="BV171:BV175"/>
    <mergeCell ref="BZ171:BZ175"/>
    <mergeCell ref="CA171:CA175"/>
    <mergeCell ref="CB171:CB175"/>
    <mergeCell ref="CC171:CC175"/>
    <mergeCell ref="CD171:CD175"/>
    <mergeCell ref="AE171:AE175"/>
    <mergeCell ref="AF171:AF175"/>
    <mergeCell ref="AG171:AG175"/>
    <mergeCell ref="AH171:AH175"/>
    <mergeCell ref="AL171:AL175"/>
    <mergeCell ref="AM171:AM175"/>
    <mergeCell ref="AN171:AN175"/>
    <mergeCell ref="AO171:AO175"/>
    <mergeCell ref="AP171:AP175"/>
    <mergeCell ref="AT171:AT175"/>
    <mergeCell ref="AU171:AU175"/>
    <mergeCell ref="AV171:AV175"/>
    <mergeCell ref="AW171:AW175"/>
    <mergeCell ref="AX171:AX175"/>
    <mergeCell ref="BB171:BB175"/>
    <mergeCell ref="BC171:BC175"/>
    <mergeCell ref="BD171:BD175"/>
    <mergeCell ref="A171:A175"/>
    <mergeCell ref="F171:F175"/>
    <mergeCell ref="G171:G175"/>
    <mergeCell ref="H171:H175"/>
    <mergeCell ref="I171:I175"/>
    <mergeCell ref="J171:J175"/>
    <mergeCell ref="N171:N175"/>
    <mergeCell ref="O171:O175"/>
    <mergeCell ref="P171:P175"/>
    <mergeCell ref="Q171:Q175"/>
    <mergeCell ref="R171:R175"/>
    <mergeCell ref="V171:V175"/>
    <mergeCell ref="W171:W175"/>
    <mergeCell ref="X171:X175"/>
    <mergeCell ref="Y171:Y175"/>
    <mergeCell ref="Z171:Z175"/>
    <mergeCell ref="AD171:AD175"/>
    <mergeCell ref="CH166:CH170"/>
    <mergeCell ref="CI166:CI170"/>
    <mergeCell ref="CJ166:CJ170"/>
    <mergeCell ref="CK166:CK170"/>
    <mergeCell ref="CL166:CL170"/>
    <mergeCell ref="CP166:CP170"/>
    <mergeCell ref="CQ166:CQ170"/>
    <mergeCell ref="CR166:CR170"/>
    <mergeCell ref="CS166:CS170"/>
    <mergeCell ref="CT166:CT170"/>
    <mergeCell ref="CU166:CU170"/>
    <mergeCell ref="CV166:CV170"/>
    <mergeCell ref="CW166:CW170"/>
    <mergeCell ref="CX166:CX170"/>
    <mergeCell ref="CY166:CY170"/>
    <mergeCell ref="CZ166:CZ170"/>
    <mergeCell ref="DA166:DA170"/>
    <mergeCell ref="BE166:BE170"/>
    <mergeCell ref="BF166:BF170"/>
    <mergeCell ref="BJ166:BJ170"/>
    <mergeCell ref="BK166:BK170"/>
    <mergeCell ref="BL166:BL170"/>
    <mergeCell ref="BM166:BM170"/>
    <mergeCell ref="BN166:BN170"/>
    <mergeCell ref="BR166:BR170"/>
    <mergeCell ref="BS166:BS170"/>
    <mergeCell ref="BT166:BT170"/>
    <mergeCell ref="BU166:BU170"/>
    <mergeCell ref="BV166:BV170"/>
    <mergeCell ref="BZ166:BZ170"/>
    <mergeCell ref="CA166:CA170"/>
    <mergeCell ref="CB166:CB170"/>
    <mergeCell ref="CC166:CC170"/>
    <mergeCell ref="CD166:CD170"/>
    <mergeCell ref="AE166:AE170"/>
    <mergeCell ref="AF166:AF170"/>
    <mergeCell ref="AG166:AG170"/>
    <mergeCell ref="AH166:AH170"/>
    <mergeCell ref="AL166:AL170"/>
    <mergeCell ref="AM166:AM170"/>
    <mergeCell ref="AN166:AN170"/>
    <mergeCell ref="AO166:AO170"/>
    <mergeCell ref="AP166:AP170"/>
    <mergeCell ref="AT166:AT170"/>
    <mergeCell ref="AU166:AU170"/>
    <mergeCell ref="AV166:AV170"/>
    <mergeCell ref="AW166:AW170"/>
    <mergeCell ref="AX166:AX170"/>
    <mergeCell ref="BB166:BB170"/>
    <mergeCell ref="BC166:BC170"/>
    <mergeCell ref="BD166:BD170"/>
    <mergeCell ref="A166:A170"/>
    <mergeCell ref="F166:F170"/>
    <mergeCell ref="G166:G170"/>
    <mergeCell ref="H166:H170"/>
    <mergeCell ref="I166:I170"/>
    <mergeCell ref="J166:J170"/>
    <mergeCell ref="N166:N170"/>
    <mergeCell ref="O166:O170"/>
    <mergeCell ref="P166:P170"/>
    <mergeCell ref="Q166:Q170"/>
    <mergeCell ref="R166:R170"/>
    <mergeCell ref="V166:V170"/>
    <mergeCell ref="W166:W170"/>
    <mergeCell ref="X166:X170"/>
    <mergeCell ref="Y166:Y170"/>
    <mergeCell ref="Z166:Z170"/>
    <mergeCell ref="AD166:AD170"/>
    <mergeCell ref="CH161:CH165"/>
    <mergeCell ref="CI161:CI165"/>
    <mergeCell ref="CJ161:CJ165"/>
    <mergeCell ref="CK161:CK165"/>
    <mergeCell ref="CL161:CL165"/>
    <mergeCell ref="CP161:CP165"/>
    <mergeCell ref="CQ161:CQ165"/>
    <mergeCell ref="CR161:CR165"/>
    <mergeCell ref="CS161:CS165"/>
    <mergeCell ref="CT161:CT165"/>
    <mergeCell ref="CU161:CU165"/>
    <mergeCell ref="CV161:CV165"/>
    <mergeCell ref="CW161:CW165"/>
    <mergeCell ref="CX161:CX165"/>
    <mergeCell ref="CY161:CY165"/>
    <mergeCell ref="CZ161:CZ165"/>
    <mergeCell ref="DA161:DA165"/>
    <mergeCell ref="BE161:BE165"/>
    <mergeCell ref="BF161:BF165"/>
    <mergeCell ref="BJ161:BJ165"/>
    <mergeCell ref="BK161:BK165"/>
    <mergeCell ref="BL161:BL165"/>
    <mergeCell ref="BM161:BM165"/>
    <mergeCell ref="BN161:BN165"/>
    <mergeCell ref="BR161:BR165"/>
    <mergeCell ref="BS161:BS165"/>
    <mergeCell ref="BT161:BT165"/>
    <mergeCell ref="BU161:BU165"/>
    <mergeCell ref="BV161:BV165"/>
    <mergeCell ref="BZ161:BZ165"/>
    <mergeCell ref="CA161:CA165"/>
    <mergeCell ref="CB161:CB165"/>
    <mergeCell ref="CC161:CC165"/>
    <mergeCell ref="CD161:CD165"/>
    <mergeCell ref="AE161:AE165"/>
    <mergeCell ref="AF161:AF165"/>
    <mergeCell ref="AG161:AG165"/>
    <mergeCell ref="AH161:AH165"/>
    <mergeCell ref="AL161:AL165"/>
    <mergeCell ref="AM161:AM165"/>
    <mergeCell ref="AN161:AN165"/>
    <mergeCell ref="AO161:AO165"/>
    <mergeCell ref="AP161:AP165"/>
    <mergeCell ref="AT161:AT165"/>
    <mergeCell ref="AU161:AU165"/>
    <mergeCell ref="AV161:AV165"/>
    <mergeCell ref="AW161:AW165"/>
    <mergeCell ref="AX161:AX165"/>
    <mergeCell ref="BB161:BB165"/>
    <mergeCell ref="BC161:BC165"/>
    <mergeCell ref="BD161:BD165"/>
    <mergeCell ref="A161:A165"/>
    <mergeCell ref="F161:F165"/>
    <mergeCell ref="G161:G165"/>
    <mergeCell ref="H161:H165"/>
    <mergeCell ref="I161:I165"/>
    <mergeCell ref="J161:J165"/>
    <mergeCell ref="N161:N165"/>
    <mergeCell ref="O161:O165"/>
    <mergeCell ref="P161:P165"/>
    <mergeCell ref="Q161:Q165"/>
    <mergeCell ref="R161:R165"/>
    <mergeCell ref="V161:V165"/>
    <mergeCell ref="W161:W165"/>
    <mergeCell ref="X161:X165"/>
    <mergeCell ref="Y161:Y165"/>
    <mergeCell ref="Z161:Z165"/>
    <mergeCell ref="AD161:AD165"/>
    <mergeCell ref="CH158:CH160"/>
    <mergeCell ref="CI158:CI160"/>
    <mergeCell ref="CJ158:CJ160"/>
    <mergeCell ref="CK158:CK160"/>
    <mergeCell ref="CL158:CL160"/>
    <mergeCell ref="CP158:CP160"/>
    <mergeCell ref="CQ158:CQ160"/>
    <mergeCell ref="CR158:CR160"/>
    <mergeCell ref="CS158:CS160"/>
    <mergeCell ref="CT158:CT160"/>
    <mergeCell ref="CU158:CU160"/>
    <mergeCell ref="CV158:CV160"/>
    <mergeCell ref="CW158:CW160"/>
    <mergeCell ref="CX158:CX160"/>
    <mergeCell ref="CY158:CY160"/>
    <mergeCell ref="CZ158:CZ160"/>
    <mergeCell ref="DA158:DA160"/>
    <mergeCell ref="BE158:BE160"/>
    <mergeCell ref="BF158:BF160"/>
    <mergeCell ref="BJ158:BJ160"/>
    <mergeCell ref="BK158:BK160"/>
    <mergeCell ref="BL158:BL160"/>
    <mergeCell ref="BM158:BM160"/>
    <mergeCell ref="BN158:BN160"/>
    <mergeCell ref="BR158:BR160"/>
    <mergeCell ref="BS158:BS160"/>
    <mergeCell ref="BT158:BT160"/>
    <mergeCell ref="BU158:BU160"/>
    <mergeCell ref="BV158:BV160"/>
    <mergeCell ref="BZ158:BZ160"/>
    <mergeCell ref="CA158:CA160"/>
    <mergeCell ref="CB158:CB160"/>
    <mergeCell ref="CC158:CC160"/>
    <mergeCell ref="CD158:CD160"/>
    <mergeCell ref="AE158:AE160"/>
    <mergeCell ref="AF158:AF160"/>
    <mergeCell ref="AG158:AG160"/>
    <mergeCell ref="AH158:AH160"/>
    <mergeCell ref="AL158:AL160"/>
    <mergeCell ref="AM158:AM160"/>
    <mergeCell ref="AN158:AN160"/>
    <mergeCell ref="AO158:AO160"/>
    <mergeCell ref="AP158:AP160"/>
    <mergeCell ref="AT158:AT160"/>
    <mergeCell ref="AU158:AU160"/>
    <mergeCell ref="AV158:AV160"/>
    <mergeCell ref="AW158:AW160"/>
    <mergeCell ref="AX158:AX160"/>
    <mergeCell ref="BB158:BB160"/>
    <mergeCell ref="BC158:BC160"/>
    <mergeCell ref="BD158:BD160"/>
    <mergeCell ref="C154:J154"/>
    <mergeCell ref="K154:R154"/>
    <mergeCell ref="S154:Z154"/>
    <mergeCell ref="AA154:AH154"/>
    <mergeCell ref="AI154:AP154"/>
    <mergeCell ref="AQ154:AX154"/>
    <mergeCell ref="AY154:BF154"/>
    <mergeCell ref="BG154:BN154"/>
    <mergeCell ref="BO154:BV154"/>
    <mergeCell ref="BW154:CD154"/>
    <mergeCell ref="CE154:CL154"/>
    <mergeCell ref="CM154:CT154"/>
    <mergeCell ref="CU154:DA154"/>
    <mergeCell ref="A156:B156"/>
    <mergeCell ref="A157:B157"/>
    <mergeCell ref="A158:A160"/>
    <mergeCell ref="F158:F160"/>
    <mergeCell ref="G158:G160"/>
    <mergeCell ref="H158:H160"/>
    <mergeCell ref="I158:I160"/>
    <mergeCell ref="J158:J160"/>
    <mergeCell ref="N158:N160"/>
    <mergeCell ref="O158:O160"/>
    <mergeCell ref="P158:P160"/>
    <mergeCell ref="Q158:Q160"/>
    <mergeCell ref="R158:R160"/>
    <mergeCell ref="V158:V160"/>
    <mergeCell ref="W158:W160"/>
    <mergeCell ref="X158:X160"/>
    <mergeCell ref="Y158:Y160"/>
    <mergeCell ref="Z158:Z160"/>
    <mergeCell ref="AD158:AD160"/>
    <mergeCell ref="CH147:CH150"/>
    <mergeCell ref="CI147:CI150"/>
    <mergeCell ref="CJ147:CJ150"/>
    <mergeCell ref="CK147:CK150"/>
    <mergeCell ref="CL147:CL150"/>
    <mergeCell ref="CP147:CP150"/>
    <mergeCell ref="CQ147:CQ150"/>
    <mergeCell ref="CR147:CR150"/>
    <mergeCell ref="CS147:CS150"/>
    <mergeCell ref="CT147:CT150"/>
    <mergeCell ref="CU147:CU150"/>
    <mergeCell ref="CV147:CV150"/>
    <mergeCell ref="CW147:CW150"/>
    <mergeCell ref="CX147:CX150"/>
    <mergeCell ref="CY147:CY150"/>
    <mergeCell ref="CZ147:CZ150"/>
    <mergeCell ref="DA147:DA150"/>
    <mergeCell ref="BE147:BE150"/>
    <mergeCell ref="BF147:BF150"/>
    <mergeCell ref="BJ147:BJ150"/>
    <mergeCell ref="BK147:BK150"/>
    <mergeCell ref="BL147:BL150"/>
    <mergeCell ref="BM147:BM150"/>
    <mergeCell ref="BN147:BN150"/>
    <mergeCell ref="BR147:BR150"/>
    <mergeCell ref="BS147:BS150"/>
    <mergeCell ref="BT147:BT150"/>
    <mergeCell ref="BU147:BU150"/>
    <mergeCell ref="BV147:BV150"/>
    <mergeCell ref="BZ147:BZ150"/>
    <mergeCell ref="CA147:CA150"/>
    <mergeCell ref="CB147:CB150"/>
    <mergeCell ref="CC147:CC150"/>
    <mergeCell ref="CD147:CD150"/>
    <mergeCell ref="AE147:AE150"/>
    <mergeCell ref="AF147:AF150"/>
    <mergeCell ref="AG147:AG150"/>
    <mergeCell ref="AH147:AH150"/>
    <mergeCell ref="AL147:AL150"/>
    <mergeCell ref="AM147:AM150"/>
    <mergeCell ref="AN147:AN150"/>
    <mergeCell ref="AO147:AO150"/>
    <mergeCell ref="AP147:AP150"/>
    <mergeCell ref="AT147:AT150"/>
    <mergeCell ref="AU147:AU150"/>
    <mergeCell ref="AV147:AV150"/>
    <mergeCell ref="AW147:AW150"/>
    <mergeCell ref="AX147:AX150"/>
    <mergeCell ref="BB147:BB150"/>
    <mergeCell ref="BC147:BC150"/>
    <mergeCell ref="BD147:BD150"/>
    <mergeCell ref="A147:A150"/>
    <mergeCell ref="F147:F150"/>
    <mergeCell ref="G147:G150"/>
    <mergeCell ref="H147:H150"/>
    <mergeCell ref="I147:I150"/>
    <mergeCell ref="J147:J150"/>
    <mergeCell ref="N147:N150"/>
    <mergeCell ref="O147:O150"/>
    <mergeCell ref="P147:P150"/>
    <mergeCell ref="Q147:Q150"/>
    <mergeCell ref="R147:R150"/>
    <mergeCell ref="V147:V150"/>
    <mergeCell ref="W147:W150"/>
    <mergeCell ref="X147:X150"/>
    <mergeCell ref="Y147:Y150"/>
    <mergeCell ref="Z147:Z150"/>
    <mergeCell ref="AD147:AD150"/>
    <mergeCell ref="CH142:CH146"/>
    <mergeCell ref="CI142:CI146"/>
    <mergeCell ref="CJ142:CJ146"/>
    <mergeCell ref="CK142:CK146"/>
    <mergeCell ref="CL142:CL146"/>
    <mergeCell ref="CP142:CP146"/>
    <mergeCell ref="CQ142:CQ146"/>
    <mergeCell ref="CR142:CR146"/>
    <mergeCell ref="CS142:CS146"/>
    <mergeCell ref="CT142:CT146"/>
    <mergeCell ref="CU142:CU146"/>
    <mergeCell ref="CV142:CV146"/>
    <mergeCell ref="CW142:CW146"/>
    <mergeCell ref="CX142:CX146"/>
    <mergeCell ref="CY142:CY146"/>
    <mergeCell ref="CZ142:CZ146"/>
    <mergeCell ref="DA142:DA146"/>
    <mergeCell ref="BE142:BE146"/>
    <mergeCell ref="BF142:BF146"/>
    <mergeCell ref="BJ142:BJ146"/>
    <mergeCell ref="BK142:BK146"/>
    <mergeCell ref="BL142:BL146"/>
    <mergeCell ref="BM142:BM146"/>
    <mergeCell ref="BN142:BN146"/>
    <mergeCell ref="BR142:BR146"/>
    <mergeCell ref="BS142:BS146"/>
    <mergeCell ref="BT142:BT146"/>
    <mergeCell ref="BU142:BU146"/>
    <mergeCell ref="BV142:BV146"/>
    <mergeCell ref="BZ142:BZ146"/>
    <mergeCell ref="CA142:CA146"/>
    <mergeCell ref="CB142:CB146"/>
    <mergeCell ref="CC142:CC146"/>
    <mergeCell ref="CD142:CD146"/>
    <mergeCell ref="AE142:AE146"/>
    <mergeCell ref="AF142:AF146"/>
    <mergeCell ref="AG142:AG146"/>
    <mergeCell ref="AH142:AH146"/>
    <mergeCell ref="AL142:AL146"/>
    <mergeCell ref="AM142:AM146"/>
    <mergeCell ref="AN142:AN146"/>
    <mergeCell ref="AO142:AO146"/>
    <mergeCell ref="AP142:AP146"/>
    <mergeCell ref="AT142:AT146"/>
    <mergeCell ref="AU142:AU146"/>
    <mergeCell ref="AV142:AV146"/>
    <mergeCell ref="AW142:AW146"/>
    <mergeCell ref="AX142:AX146"/>
    <mergeCell ref="BB142:BB146"/>
    <mergeCell ref="BC142:BC146"/>
    <mergeCell ref="BD142:BD146"/>
    <mergeCell ref="A142:A146"/>
    <mergeCell ref="F142:F146"/>
    <mergeCell ref="G142:G146"/>
    <mergeCell ref="H142:H146"/>
    <mergeCell ref="I142:I146"/>
    <mergeCell ref="J142:J146"/>
    <mergeCell ref="N142:N146"/>
    <mergeCell ref="O142:O146"/>
    <mergeCell ref="P142:P146"/>
    <mergeCell ref="Q142:Q146"/>
    <mergeCell ref="R142:R146"/>
    <mergeCell ref="V142:V146"/>
    <mergeCell ref="W142:W146"/>
    <mergeCell ref="X142:X146"/>
    <mergeCell ref="Y142:Y146"/>
    <mergeCell ref="Z142:Z146"/>
    <mergeCell ref="AD142:AD146"/>
    <mergeCell ref="CH137:CH141"/>
    <mergeCell ref="CI137:CI141"/>
    <mergeCell ref="CJ137:CJ141"/>
    <mergeCell ref="CK137:CK141"/>
    <mergeCell ref="CL137:CL141"/>
    <mergeCell ref="CP137:CP141"/>
    <mergeCell ref="CQ137:CQ141"/>
    <mergeCell ref="CR137:CR141"/>
    <mergeCell ref="CS137:CS141"/>
    <mergeCell ref="CT137:CT141"/>
    <mergeCell ref="CU137:CU141"/>
    <mergeCell ref="CV137:CV141"/>
    <mergeCell ref="CW137:CW141"/>
    <mergeCell ref="CX137:CX141"/>
    <mergeCell ref="CY137:CY141"/>
    <mergeCell ref="CZ137:CZ141"/>
    <mergeCell ref="DA137:DA141"/>
    <mergeCell ref="BE137:BE141"/>
    <mergeCell ref="BF137:BF141"/>
    <mergeCell ref="BJ137:BJ141"/>
    <mergeCell ref="BK137:BK141"/>
    <mergeCell ref="BL137:BL141"/>
    <mergeCell ref="BM137:BM141"/>
    <mergeCell ref="BN137:BN141"/>
    <mergeCell ref="BR137:BR141"/>
    <mergeCell ref="BS137:BS141"/>
    <mergeCell ref="BT137:BT141"/>
    <mergeCell ref="BU137:BU141"/>
    <mergeCell ref="BV137:BV141"/>
    <mergeCell ref="BZ137:BZ141"/>
    <mergeCell ref="CA137:CA141"/>
    <mergeCell ref="CB137:CB141"/>
    <mergeCell ref="CC137:CC141"/>
    <mergeCell ref="CD137:CD141"/>
    <mergeCell ref="AE137:AE141"/>
    <mergeCell ref="AF137:AF141"/>
    <mergeCell ref="AG137:AG141"/>
    <mergeCell ref="AH137:AH141"/>
    <mergeCell ref="AL137:AL141"/>
    <mergeCell ref="AM137:AM141"/>
    <mergeCell ref="AN137:AN141"/>
    <mergeCell ref="AO137:AO141"/>
    <mergeCell ref="AP137:AP141"/>
    <mergeCell ref="AT137:AT141"/>
    <mergeCell ref="AU137:AU141"/>
    <mergeCell ref="AV137:AV141"/>
    <mergeCell ref="AW137:AW141"/>
    <mergeCell ref="AX137:AX141"/>
    <mergeCell ref="BB137:BB141"/>
    <mergeCell ref="BC137:BC141"/>
    <mergeCell ref="BD137:BD141"/>
    <mergeCell ref="A137:A141"/>
    <mergeCell ref="F137:F141"/>
    <mergeCell ref="G137:G141"/>
    <mergeCell ref="H137:H141"/>
    <mergeCell ref="I137:I141"/>
    <mergeCell ref="J137:J141"/>
    <mergeCell ref="N137:N141"/>
    <mergeCell ref="O137:O141"/>
    <mergeCell ref="P137:P141"/>
    <mergeCell ref="Q137:Q141"/>
    <mergeCell ref="R137:R141"/>
    <mergeCell ref="V137:V141"/>
    <mergeCell ref="W137:W141"/>
    <mergeCell ref="X137:X141"/>
    <mergeCell ref="Y137:Y141"/>
    <mergeCell ref="Z137:Z141"/>
    <mergeCell ref="AD137:AD141"/>
    <mergeCell ref="CH132:CH136"/>
    <mergeCell ref="CI132:CI136"/>
    <mergeCell ref="CJ132:CJ136"/>
    <mergeCell ref="CK132:CK136"/>
    <mergeCell ref="CL132:CL136"/>
    <mergeCell ref="CP132:CP136"/>
    <mergeCell ref="CQ132:CQ136"/>
    <mergeCell ref="CR132:CR136"/>
    <mergeCell ref="CS132:CS136"/>
    <mergeCell ref="CT132:CT136"/>
    <mergeCell ref="CU132:CU136"/>
    <mergeCell ref="CV132:CV136"/>
    <mergeCell ref="CW132:CW136"/>
    <mergeCell ref="CX132:CX136"/>
    <mergeCell ref="CY132:CY136"/>
    <mergeCell ref="CZ132:CZ136"/>
    <mergeCell ref="DA132:DA136"/>
    <mergeCell ref="BE132:BE136"/>
    <mergeCell ref="BF132:BF136"/>
    <mergeCell ref="BJ132:BJ136"/>
    <mergeCell ref="BK132:BK136"/>
    <mergeCell ref="BL132:BL136"/>
    <mergeCell ref="BM132:BM136"/>
    <mergeCell ref="BN132:BN136"/>
    <mergeCell ref="BR132:BR136"/>
    <mergeCell ref="BS132:BS136"/>
    <mergeCell ref="BT132:BT136"/>
    <mergeCell ref="BU132:BU136"/>
    <mergeCell ref="BV132:BV136"/>
    <mergeCell ref="BZ132:BZ136"/>
    <mergeCell ref="CA132:CA136"/>
    <mergeCell ref="CB132:CB136"/>
    <mergeCell ref="CC132:CC136"/>
    <mergeCell ref="CD132:CD136"/>
    <mergeCell ref="AE132:AE136"/>
    <mergeCell ref="AF132:AF136"/>
    <mergeCell ref="AG132:AG136"/>
    <mergeCell ref="AH132:AH136"/>
    <mergeCell ref="AL132:AL136"/>
    <mergeCell ref="AM132:AM136"/>
    <mergeCell ref="AN132:AN136"/>
    <mergeCell ref="AO132:AO136"/>
    <mergeCell ref="AP132:AP136"/>
    <mergeCell ref="AT132:AT136"/>
    <mergeCell ref="AU132:AU136"/>
    <mergeCell ref="AV132:AV136"/>
    <mergeCell ref="AW132:AW136"/>
    <mergeCell ref="AX132:AX136"/>
    <mergeCell ref="BB132:BB136"/>
    <mergeCell ref="BC132:BC136"/>
    <mergeCell ref="BD132:BD136"/>
    <mergeCell ref="A132:A136"/>
    <mergeCell ref="F132:F136"/>
    <mergeCell ref="G132:G136"/>
    <mergeCell ref="H132:H136"/>
    <mergeCell ref="I132:I136"/>
    <mergeCell ref="J132:J136"/>
    <mergeCell ref="N132:N136"/>
    <mergeCell ref="O132:O136"/>
    <mergeCell ref="P132:P136"/>
    <mergeCell ref="Q132:Q136"/>
    <mergeCell ref="R132:R136"/>
    <mergeCell ref="V132:V136"/>
    <mergeCell ref="W132:W136"/>
    <mergeCell ref="X132:X136"/>
    <mergeCell ref="Y132:Y136"/>
    <mergeCell ref="Z132:Z136"/>
    <mergeCell ref="AD132:AD136"/>
    <mergeCell ref="CH127:CH131"/>
    <mergeCell ref="CI127:CI131"/>
    <mergeCell ref="CJ127:CJ131"/>
    <mergeCell ref="CK127:CK131"/>
    <mergeCell ref="CL127:CL131"/>
    <mergeCell ref="CP127:CP131"/>
    <mergeCell ref="CQ127:CQ131"/>
    <mergeCell ref="CR127:CR131"/>
    <mergeCell ref="CS127:CS131"/>
    <mergeCell ref="CT127:CT131"/>
    <mergeCell ref="CU127:CU131"/>
    <mergeCell ref="CV127:CV131"/>
    <mergeCell ref="CW127:CW131"/>
    <mergeCell ref="CX127:CX131"/>
    <mergeCell ref="CY127:CY131"/>
    <mergeCell ref="CZ127:CZ131"/>
    <mergeCell ref="DA127:DA131"/>
    <mergeCell ref="BE127:BE131"/>
    <mergeCell ref="BF127:BF131"/>
    <mergeCell ref="BJ127:BJ131"/>
    <mergeCell ref="BK127:BK131"/>
    <mergeCell ref="BL127:BL131"/>
    <mergeCell ref="BM127:BM131"/>
    <mergeCell ref="BN127:BN131"/>
    <mergeCell ref="BR127:BR131"/>
    <mergeCell ref="BS127:BS131"/>
    <mergeCell ref="BT127:BT131"/>
    <mergeCell ref="BU127:BU131"/>
    <mergeCell ref="BV127:BV131"/>
    <mergeCell ref="BZ127:BZ131"/>
    <mergeCell ref="CA127:CA131"/>
    <mergeCell ref="CB127:CB131"/>
    <mergeCell ref="CC127:CC131"/>
    <mergeCell ref="CD127:CD131"/>
    <mergeCell ref="AE127:AE131"/>
    <mergeCell ref="AF127:AF131"/>
    <mergeCell ref="AG127:AG131"/>
    <mergeCell ref="AH127:AH131"/>
    <mergeCell ref="AL127:AL131"/>
    <mergeCell ref="AM127:AM131"/>
    <mergeCell ref="AN127:AN131"/>
    <mergeCell ref="AO127:AO131"/>
    <mergeCell ref="AP127:AP131"/>
    <mergeCell ref="AT127:AT131"/>
    <mergeCell ref="AU127:AU131"/>
    <mergeCell ref="AV127:AV131"/>
    <mergeCell ref="AW127:AW131"/>
    <mergeCell ref="AX127:AX131"/>
    <mergeCell ref="BB127:BB131"/>
    <mergeCell ref="BC127:BC131"/>
    <mergeCell ref="BD127:BD131"/>
    <mergeCell ref="A127:A131"/>
    <mergeCell ref="F127:F131"/>
    <mergeCell ref="G127:G131"/>
    <mergeCell ref="H127:H131"/>
    <mergeCell ref="I127:I131"/>
    <mergeCell ref="J127:J131"/>
    <mergeCell ref="N127:N131"/>
    <mergeCell ref="O127:O131"/>
    <mergeCell ref="P127:P131"/>
    <mergeCell ref="Q127:Q131"/>
    <mergeCell ref="R127:R131"/>
    <mergeCell ref="V127:V131"/>
    <mergeCell ref="W127:W131"/>
    <mergeCell ref="X127:X131"/>
    <mergeCell ref="Y127:Y131"/>
    <mergeCell ref="Z127:Z131"/>
    <mergeCell ref="AD127:AD131"/>
    <mergeCell ref="CH122:CH126"/>
    <mergeCell ref="CI122:CI126"/>
    <mergeCell ref="CJ122:CJ126"/>
    <mergeCell ref="CK122:CK126"/>
    <mergeCell ref="CL122:CL126"/>
    <mergeCell ref="CP122:CP126"/>
    <mergeCell ref="CQ122:CQ126"/>
    <mergeCell ref="CR122:CR126"/>
    <mergeCell ref="CS122:CS126"/>
    <mergeCell ref="CT122:CT126"/>
    <mergeCell ref="CU122:CU126"/>
    <mergeCell ref="CV122:CV126"/>
    <mergeCell ref="CW122:CW126"/>
    <mergeCell ref="CX122:CX126"/>
    <mergeCell ref="CY122:CY126"/>
    <mergeCell ref="CZ122:CZ126"/>
    <mergeCell ref="DA122:DA126"/>
    <mergeCell ref="BE122:BE126"/>
    <mergeCell ref="BF122:BF126"/>
    <mergeCell ref="BJ122:BJ126"/>
    <mergeCell ref="BK122:BK126"/>
    <mergeCell ref="BL122:BL126"/>
    <mergeCell ref="BM122:BM126"/>
    <mergeCell ref="BN122:BN126"/>
    <mergeCell ref="BR122:BR126"/>
    <mergeCell ref="BS122:BS126"/>
    <mergeCell ref="BT122:BT126"/>
    <mergeCell ref="BU122:BU126"/>
    <mergeCell ref="BV122:BV126"/>
    <mergeCell ref="BZ122:BZ126"/>
    <mergeCell ref="CA122:CA126"/>
    <mergeCell ref="CB122:CB126"/>
    <mergeCell ref="CC122:CC126"/>
    <mergeCell ref="CD122:CD126"/>
    <mergeCell ref="AE122:AE126"/>
    <mergeCell ref="AF122:AF126"/>
    <mergeCell ref="AG122:AG126"/>
    <mergeCell ref="AH122:AH126"/>
    <mergeCell ref="AL122:AL126"/>
    <mergeCell ref="AM122:AM126"/>
    <mergeCell ref="AN122:AN126"/>
    <mergeCell ref="AO122:AO126"/>
    <mergeCell ref="AP122:AP126"/>
    <mergeCell ref="AT122:AT126"/>
    <mergeCell ref="AU122:AU126"/>
    <mergeCell ref="AV122:AV126"/>
    <mergeCell ref="AW122:AW126"/>
    <mergeCell ref="AX122:AX126"/>
    <mergeCell ref="BB122:BB126"/>
    <mergeCell ref="BC122:BC126"/>
    <mergeCell ref="BD122:BD126"/>
    <mergeCell ref="A122:A126"/>
    <mergeCell ref="F122:F126"/>
    <mergeCell ref="G122:G126"/>
    <mergeCell ref="H122:H126"/>
    <mergeCell ref="I122:I126"/>
    <mergeCell ref="J122:J126"/>
    <mergeCell ref="N122:N126"/>
    <mergeCell ref="O122:O126"/>
    <mergeCell ref="P122:P126"/>
    <mergeCell ref="Q122:Q126"/>
    <mergeCell ref="R122:R126"/>
    <mergeCell ref="V122:V126"/>
    <mergeCell ref="W122:W126"/>
    <mergeCell ref="X122:X126"/>
    <mergeCell ref="Y122:Y126"/>
    <mergeCell ref="Z122:Z126"/>
    <mergeCell ref="AD122:AD126"/>
    <mergeCell ref="CH117:CH121"/>
    <mergeCell ref="CI117:CI121"/>
    <mergeCell ref="CJ117:CJ121"/>
    <mergeCell ref="CK117:CK121"/>
    <mergeCell ref="CL117:CL121"/>
    <mergeCell ref="CP117:CP121"/>
    <mergeCell ref="CQ117:CQ121"/>
    <mergeCell ref="CR117:CR121"/>
    <mergeCell ref="CS117:CS121"/>
    <mergeCell ref="CT117:CT121"/>
    <mergeCell ref="CU117:CU121"/>
    <mergeCell ref="CV117:CV121"/>
    <mergeCell ref="CW117:CW121"/>
    <mergeCell ref="CX117:CX121"/>
    <mergeCell ref="CY117:CY121"/>
    <mergeCell ref="CZ117:CZ121"/>
    <mergeCell ref="DA117:DA121"/>
    <mergeCell ref="BE117:BE121"/>
    <mergeCell ref="BF117:BF121"/>
    <mergeCell ref="BJ117:BJ121"/>
    <mergeCell ref="BK117:BK121"/>
    <mergeCell ref="BL117:BL121"/>
    <mergeCell ref="BM117:BM121"/>
    <mergeCell ref="BN117:BN121"/>
    <mergeCell ref="BR117:BR121"/>
    <mergeCell ref="BS117:BS121"/>
    <mergeCell ref="BT117:BT121"/>
    <mergeCell ref="BU117:BU121"/>
    <mergeCell ref="BV117:BV121"/>
    <mergeCell ref="BZ117:BZ121"/>
    <mergeCell ref="CA117:CA121"/>
    <mergeCell ref="CB117:CB121"/>
    <mergeCell ref="CC117:CC121"/>
    <mergeCell ref="CD117:CD121"/>
    <mergeCell ref="AE117:AE121"/>
    <mergeCell ref="AF117:AF121"/>
    <mergeCell ref="AG117:AG121"/>
    <mergeCell ref="AH117:AH121"/>
    <mergeCell ref="AL117:AL121"/>
    <mergeCell ref="AM117:AM121"/>
    <mergeCell ref="AN117:AN121"/>
    <mergeCell ref="AO117:AO121"/>
    <mergeCell ref="AP117:AP121"/>
    <mergeCell ref="AT117:AT121"/>
    <mergeCell ref="AU117:AU121"/>
    <mergeCell ref="AV117:AV121"/>
    <mergeCell ref="AW117:AW121"/>
    <mergeCell ref="AX117:AX121"/>
    <mergeCell ref="BB117:BB121"/>
    <mergeCell ref="BC117:BC121"/>
    <mergeCell ref="BD117:BD121"/>
    <mergeCell ref="A117:A121"/>
    <mergeCell ref="F117:F121"/>
    <mergeCell ref="G117:G121"/>
    <mergeCell ref="H117:H121"/>
    <mergeCell ref="I117:I121"/>
    <mergeCell ref="J117:J121"/>
    <mergeCell ref="N117:N121"/>
    <mergeCell ref="O117:O121"/>
    <mergeCell ref="P117:P121"/>
    <mergeCell ref="Q117:Q121"/>
    <mergeCell ref="R117:R121"/>
    <mergeCell ref="V117:V121"/>
    <mergeCell ref="W117:W121"/>
    <mergeCell ref="X117:X121"/>
    <mergeCell ref="Y117:Y121"/>
    <mergeCell ref="Z117:Z121"/>
    <mergeCell ref="AD117:AD121"/>
    <mergeCell ref="CH112:CH116"/>
    <mergeCell ref="CI112:CI116"/>
    <mergeCell ref="CJ112:CJ116"/>
    <mergeCell ref="CK112:CK116"/>
    <mergeCell ref="CL112:CL116"/>
    <mergeCell ref="CP112:CP116"/>
    <mergeCell ref="CQ112:CQ116"/>
    <mergeCell ref="CR112:CR116"/>
    <mergeCell ref="CS112:CS116"/>
    <mergeCell ref="CT112:CT116"/>
    <mergeCell ref="CU112:CU116"/>
    <mergeCell ref="CV112:CV116"/>
    <mergeCell ref="CW112:CW116"/>
    <mergeCell ref="CX112:CX116"/>
    <mergeCell ref="CY112:CY116"/>
    <mergeCell ref="CZ112:CZ116"/>
    <mergeCell ref="DA112:DA116"/>
    <mergeCell ref="BE112:BE116"/>
    <mergeCell ref="BF112:BF116"/>
    <mergeCell ref="BJ112:BJ116"/>
    <mergeCell ref="BK112:BK116"/>
    <mergeCell ref="BL112:BL116"/>
    <mergeCell ref="BM112:BM116"/>
    <mergeCell ref="BN112:BN116"/>
    <mergeCell ref="BR112:BR116"/>
    <mergeCell ref="BS112:BS116"/>
    <mergeCell ref="BT112:BT116"/>
    <mergeCell ref="BU112:BU116"/>
    <mergeCell ref="BV112:BV116"/>
    <mergeCell ref="BZ112:BZ116"/>
    <mergeCell ref="CA112:CA116"/>
    <mergeCell ref="CB112:CB116"/>
    <mergeCell ref="CC112:CC116"/>
    <mergeCell ref="CD112:CD116"/>
    <mergeCell ref="AE112:AE116"/>
    <mergeCell ref="AF112:AF116"/>
    <mergeCell ref="AG112:AG116"/>
    <mergeCell ref="AH112:AH116"/>
    <mergeCell ref="AL112:AL116"/>
    <mergeCell ref="AM112:AM116"/>
    <mergeCell ref="AN112:AN116"/>
    <mergeCell ref="AO112:AO116"/>
    <mergeCell ref="AP112:AP116"/>
    <mergeCell ref="AT112:AT116"/>
    <mergeCell ref="AU112:AU116"/>
    <mergeCell ref="AV112:AV116"/>
    <mergeCell ref="AW112:AW116"/>
    <mergeCell ref="AX112:AX116"/>
    <mergeCell ref="BB112:BB116"/>
    <mergeCell ref="BC112:BC116"/>
    <mergeCell ref="BD112:BD116"/>
    <mergeCell ref="A112:A116"/>
    <mergeCell ref="F112:F116"/>
    <mergeCell ref="G112:G116"/>
    <mergeCell ref="H112:H116"/>
    <mergeCell ref="I112:I116"/>
    <mergeCell ref="J112:J116"/>
    <mergeCell ref="N112:N116"/>
    <mergeCell ref="O112:O116"/>
    <mergeCell ref="P112:P116"/>
    <mergeCell ref="Q112:Q116"/>
    <mergeCell ref="R112:R116"/>
    <mergeCell ref="V112:V116"/>
    <mergeCell ref="W112:W116"/>
    <mergeCell ref="X112:X116"/>
    <mergeCell ref="Y112:Y116"/>
    <mergeCell ref="Z112:Z116"/>
    <mergeCell ref="AD112:AD116"/>
    <mergeCell ref="CH107:CH111"/>
    <mergeCell ref="CI107:CI111"/>
    <mergeCell ref="CJ107:CJ111"/>
    <mergeCell ref="CK107:CK111"/>
    <mergeCell ref="CL107:CL111"/>
    <mergeCell ref="CP107:CP111"/>
    <mergeCell ref="CQ107:CQ111"/>
    <mergeCell ref="CR107:CR111"/>
    <mergeCell ref="CS107:CS111"/>
    <mergeCell ref="CT107:CT111"/>
    <mergeCell ref="CU107:CU111"/>
    <mergeCell ref="CV107:CV111"/>
    <mergeCell ref="CW107:CW111"/>
    <mergeCell ref="CX107:CX111"/>
    <mergeCell ref="CY107:CY111"/>
    <mergeCell ref="CZ107:CZ111"/>
    <mergeCell ref="DA107:DA111"/>
    <mergeCell ref="BE107:BE111"/>
    <mergeCell ref="BF107:BF111"/>
    <mergeCell ref="BJ107:BJ111"/>
    <mergeCell ref="BK107:BK111"/>
    <mergeCell ref="BL107:BL111"/>
    <mergeCell ref="BM107:BM111"/>
    <mergeCell ref="BN107:BN111"/>
    <mergeCell ref="BR107:BR111"/>
    <mergeCell ref="BS107:BS111"/>
    <mergeCell ref="BT107:BT111"/>
    <mergeCell ref="BU107:BU111"/>
    <mergeCell ref="BV107:BV111"/>
    <mergeCell ref="BZ107:BZ111"/>
    <mergeCell ref="CA107:CA111"/>
    <mergeCell ref="CB107:CB111"/>
    <mergeCell ref="CC107:CC111"/>
    <mergeCell ref="CD107:CD111"/>
    <mergeCell ref="AE107:AE111"/>
    <mergeCell ref="AF107:AF111"/>
    <mergeCell ref="AG107:AG111"/>
    <mergeCell ref="AH107:AH111"/>
    <mergeCell ref="AL107:AL111"/>
    <mergeCell ref="AM107:AM111"/>
    <mergeCell ref="AN107:AN111"/>
    <mergeCell ref="AO107:AO111"/>
    <mergeCell ref="AP107:AP111"/>
    <mergeCell ref="AT107:AT111"/>
    <mergeCell ref="AU107:AU111"/>
    <mergeCell ref="AV107:AV111"/>
    <mergeCell ref="AW107:AW111"/>
    <mergeCell ref="AX107:AX111"/>
    <mergeCell ref="BB107:BB111"/>
    <mergeCell ref="BC107:BC111"/>
    <mergeCell ref="BD107:BD111"/>
    <mergeCell ref="A107:A111"/>
    <mergeCell ref="F107:F111"/>
    <mergeCell ref="G107:G111"/>
    <mergeCell ref="H107:H111"/>
    <mergeCell ref="I107:I111"/>
    <mergeCell ref="J107:J111"/>
    <mergeCell ref="N107:N111"/>
    <mergeCell ref="O107:O111"/>
    <mergeCell ref="P107:P111"/>
    <mergeCell ref="Q107:Q111"/>
    <mergeCell ref="R107:R111"/>
    <mergeCell ref="V107:V111"/>
    <mergeCell ref="W107:W111"/>
    <mergeCell ref="X107:X111"/>
    <mergeCell ref="Y107:Y111"/>
    <mergeCell ref="Z107:Z111"/>
    <mergeCell ref="AD107:AD111"/>
    <mergeCell ref="CH102:CH106"/>
    <mergeCell ref="CI102:CI106"/>
    <mergeCell ref="CJ102:CJ106"/>
    <mergeCell ref="CK102:CK106"/>
    <mergeCell ref="CL102:CL106"/>
    <mergeCell ref="CP102:CP106"/>
    <mergeCell ref="CQ102:CQ106"/>
    <mergeCell ref="CR102:CR106"/>
    <mergeCell ref="CS102:CS106"/>
    <mergeCell ref="CT102:CT106"/>
    <mergeCell ref="CU102:CU106"/>
    <mergeCell ref="CV102:CV106"/>
    <mergeCell ref="CW102:CW106"/>
    <mergeCell ref="CX102:CX106"/>
    <mergeCell ref="CY102:CY106"/>
    <mergeCell ref="CZ102:CZ106"/>
    <mergeCell ref="DA102:DA106"/>
    <mergeCell ref="BE102:BE106"/>
    <mergeCell ref="BF102:BF106"/>
    <mergeCell ref="BJ102:BJ106"/>
    <mergeCell ref="BK102:BK106"/>
    <mergeCell ref="BL102:BL106"/>
    <mergeCell ref="BM102:BM106"/>
    <mergeCell ref="BN102:BN106"/>
    <mergeCell ref="BR102:BR106"/>
    <mergeCell ref="BS102:BS106"/>
    <mergeCell ref="BT102:BT106"/>
    <mergeCell ref="BU102:BU106"/>
    <mergeCell ref="BV102:BV106"/>
    <mergeCell ref="BZ102:BZ106"/>
    <mergeCell ref="CA102:CA106"/>
    <mergeCell ref="CB102:CB106"/>
    <mergeCell ref="CC102:CC106"/>
    <mergeCell ref="CD102:CD106"/>
    <mergeCell ref="AE102:AE106"/>
    <mergeCell ref="AF102:AF106"/>
    <mergeCell ref="AG102:AG106"/>
    <mergeCell ref="AH102:AH106"/>
    <mergeCell ref="AL102:AL106"/>
    <mergeCell ref="AM102:AM106"/>
    <mergeCell ref="AN102:AN106"/>
    <mergeCell ref="AO102:AO106"/>
    <mergeCell ref="AP102:AP106"/>
    <mergeCell ref="AT102:AT106"/>
    <mergeCell ref="AU102:AU106"/>
    <mergeCell ref="AV102:AV106"/>
    <mergeCell ref="AW102:AW106"/>
    <mergeCell ref="AX102:AX106"/>
    <mergeCell ref="BB102:BB106"/>
    <mergeCell ref="BC102:BC106"/>
    <mergeCell ref="BD102:BD106"/>
    <mergeCell ref="A102:A106"/>
    <mergeCell ref="F102:F106"/>
    <mergeCell ref="G102:G106"/>
    <mergeCell ref="H102:H106"/>
    <mergeCell ref="I102:I106"/>
    <mergeCell ref="J102:J106"/>
    <mergeCell ref="N102:N106"/>
    <mergeCell ref="O102:O106"/>
    <mergeCell ref="P102:P106"/>
    <mergeCell ref="Q102:Q106"/>
    <mergeCell ref="R102:R106"/>
    <mergeCell ref="V102:V106"/>
    <mergeCell ref="W102:W106"/>
    <mergeCell ref="X102:X106"/>
    <mergeCell ref="Y102:Y106"/>
    <mergeCell ref="Z102:Z106"/>
    <mergeCell ref="AD102:AD106"/>
    <mergeCell ref="CH97:CH101"/>
    <mergeCell ref="CI97:CI101"/>
    <mergeCell ref="CJ97:CJ101"/>
    <mergeCell ref="CK97:CK101"/>
    <mergeCell ref="CL97:CL101"/>
    <mergeCell ref="CP97:CP101"/>
    <mergeCell ref="CQ97:CQ101"/>
    <mergeCell ref="CR97:CR101"/>
    <mergeCell ref="CS97:CS101"/>
    <mergeCell ref="CT97:CT101"/>
    <mergeCell ref="CU97:CU101"/>
    <mergeCell ref="CV97:CV101"/>
    <mergeCell ref="CW97:CW101"/>
    <mergeCell ref="CX97:CX101"/>
    <mergeCell ref="CY97:CY101"/>
    <mergeCell ref="CZ97:CZ101"/>
    <mergeCell ref="DA97:DA101"/>
    <mergeCell ref="BE97:BE101"/>
    <mergeCell ref="BF97:BF101"/>
    <mergeCell ref="BJ97:BJ101"/>
    <mergeCell ref="BK97:BK101"/>
    <mergeCell ref="BL97:BL101"/>
    <mergeCell ref="BM97:BM101"/>
    <mergeCell ref="BN97:BN101"/>
    <mergeCell ref="BR97:BR101"/>
    <mergeCell ref="BS97:BS101"/>
    <mergeCell ref="BT97:BT101"/>
    <mergeCell ref="BU97:BU101"/>
    <mergeCell ref="BV97:BV101"/>
    <mergeCell ref="BZ97:BZ101"/>
    <mergeCell ref="CA97:CA101"/>
    <mergeCell ref="CB97:CB101"/>
    <mergeCell ref="CC97:CC101"/>
    <mergeCell ref="CD97:CD101"/>
    <mergeCell ref="AE97:AE101"/>
    <mergeCell ref="AF97:AF101"/>
    <mergeCell ref="AG97:AG101"/>
    <mergeCell ref="AH97:AH101"/>
    <mergeCell ref="AL97:AL101"/>
    <mergeCell ref="AM97:AM101"/>
    <mergeCell ref="AN97:AN101"/>
    <mergeCell ref="AO97:AO101"/>
    <mergeCell ref="AP97:AP101"/>
    <mergeCell ref="AT97:AT101"/>
    <mergeCell ref="AU97:AU101"/>
    <mergeCell ref="AV97:AV101"/>
    <mergeCell ref="AW97:AW101"/>
    <mergeCell ref="AX97:AX101"/>
    <mergeCell ref="BB97:BB101"/>
    <mergeCell ref="BC97:BC101"/>
    <mergeCell ref="BD97:BD101"/>
    <mergeCell ref="A97:A101"/>
    <mergeCell ref="F97:F101"/>
    <mergeCell ref="G97:G101"/>
    <mergeCell ref="H97:H101"/>
    <mergeCell ref="I97:I101"/>
    <mergeCell ref="J97:J101"/>
    <mergeCell ref="N97:N101"/>
    <mergeCell ref="O97:O101"/>
    <mergeCell ref="P97:P101"/>
    <mergeCell ref="Q97:Q101"/>
    <mergeCell ref="R97:R101"/>
    <mergeCell ref="V97:V101"/>
    <mergeCell ref="W97:W101"/>
    <mergeCell ref="X97:X101"/>
    <mergeCell ref="Y97:Y101"/>
    <mergeCell ref="Z97:Z101"/>
    <mergeCell ref="AD97:AD101"/>
    <mergeCell ref="CH92:CH96"/>
    <mergeCell ref="CI92:CI96"/>
    <mergeCell ref="CJ92:CJ96"/>
    <mergeCell ref="CK92:CK96"/>
    <mergeCell ref="CL92:CL96"/>
    <mergeCell ref="CP92:CP96"/>
    <mergeCell ref="CQ92:CQ96"/>
    <mergeCell ref="CR92:CR96"/>
    <mergeCell ref="CS92:CS96"/>
    <mergeCell ref="CT92:CT96"/>
    <mergeCell ref="CU92:CU96"/>
    <mergeCell ref="CV92:CV96"/>
    <mergeCell ref="CW92:CW96"/>
    <mergeCell ref="CX92:CX96"/>
    <mergeCell ref="CY92:CY96"/>
    <mergeCell ref="CZ92:CZ96"/>
    <mergeCell ref="DA92:DA96"/>
    <mergeCell ref="BE92:BE96"/>
    <mergeCell ref="BF92:BF96"/>
    <mergeCell ref="BJ92:BJ96"/>
    <mergeCell ref="BK92:BK96"/>
    <mergeCell ref="BL92:BL96"/>
    <mergeCell ref="BM92:BM96"/>
    <mergeCell ref="BN92:BN96"/>
    <mergeCell ref="BR92:BR96"/>
    <mergeCell ref="BS92:BS96"/>
    <mergeCell ref="BT92:BT96"/>
    <mergeCell ref="BU92:BU96"/>
    <mergeCell ref="BV92:BV96"/>
    <mergeCell ref="BZ92:BZ96"/>
    <mergeCell ref="CA92:CA96"/>
    <mergeCell ref="CB92:CB96"/>
    <mergeCell ref="CC92:CC96"/>
    <mergeCell ref="CD92:CD96"/>
    <mergeCell ref="AE92:AE96"/>
    <mergeCell ref="AF92:AF96"/>
    <mergeCell ref="AG92:AG96"/>
    <mergeCell ref="AH92:AH96"/>
    <mergeCell ref="AL92:AL96"/>
    <mergeCell ref="AM92:AM96"/>
    <mergeCell ref="AN92:AN96"/>
    <mergeCell ref="AO92:AO96"/>
    <mergeCell ref="AP92:AP96"/>
    <mergeCell ref="AT92:AT96"/>
    <mergeCell ref="AU92:AU96"/>
    <mergeCell ref="AV92:AV96"/>
    <mergeCell ref="AW92:AW96"/>
    <mergeCell ref="AX92:AX96"/>
    <mergeCell ref="BB92:BB96"/>
    <mergeCell ref="BC92:BC96"/>
    <mergeCell ref="BD92:BD96"/>
    <mergeCell ref="A92:A96"/>
    <mergeCell ref="F92:F96"/>
    <mergeCell ref="G92:G96"/>
    <mergeCell ref="H92:H96"/>
    <mergeCell ref="I92:I96"/>
    <mergeCell ref="J92:J96"/>
    <mergeCell ref="N92:N96"/>
    <mergeCell ref="O92:O96"/>
    <mergeCell ref="P92:P96"/>
    <mergeCell ref="Q92:Q96"/>
    <mergeCell ref="R92:R96"/>
    <mergeCell ref="V92:V96"/>
    <mergeCell ref="W92:W96"/>
    <mergeCell ref="X92:X96"/>
    <mergeCell ref="Y92:Y96"/>
    <mergeCell ref="Z92:Z96"/>
    <mergeCell ref="AD92:AD96"/>
    <mergeCell ref="CH89:CH91"/>
    <mergeCell ref="CI89:CI91"/>
    <mergeCell ref="CJ89:CJ91"/>
    <mergeCell ref="CK89:CK91"/>
    <mergeCell ref="CL89:CL91"/>
    <mergeCell ref="CP89:CP91"/>
    <mergeCell ref="CQ89:CQ91"/>
    <mergeCell ref="CR89:CR91"/>
    <mergeCell ref="CS89:CS91"/>
    <mergeCell ref="CT89:CT91"/>
    <mergeCell ref="CU89:CU91"/>
    <mergeCell ref="CV89:CV91"/>
    <mergeCell ref="CW89:CW91"/>
    <mergeCell ref="CX89:CX91"/>
    <mergeCell ref="CY89:CY91"/>
    <mergeCell ref="CZ89:CZ91"/>
    <mergeCell ref="DA89:DA91"/>
    <mergeCell ref="BE89:BE91"/>
    <mergeCell ref="BF89:BF91"/>
    <mergeCell ref="BJ89:BJ91"/>
    <mergeCell ref="BK89:BK91"/>
    <mergeCell ref="BL89:BL91"/>
    <mergeCell ref="BM89:BM91"/>
    <mergeCell ref="BN89:BN91"/>
    <mergeCell ref="BR89:BR91"/>
    <mergeCell ref="BS89:BS91"/>
    <mergeCell ref="BT89:BT91"/>
    <mergeCell ref="BU89:BU91"/>
    <mergeCell ref="BV89:BV91"/>
    <mergeCell ref="BZ89:BZ91"/>
    <mergeCell ref="CA89:CA91"/>
    <mergeCell ref="CB89:CB91"/>
    <mergeCell ref="CC89:CC91"/>
    <mergeCell ref="CD89:CD91"/>
    <mergeCell ref="AE89:AE91"/>
    <mergeCell ref="AF89:AF91"/>
    <mergeCell ref="AG89:AG91"/>
    <mergeCell ref="AH89:AH91"/>
    <mergeCell ref="AL89:AL91"/>
    <mergeCell ref="AM89:AM91"/>
    <mergeCell ref="AN89:AN91"/>
    <mergeCell ref="AO89:AO91"/>
    <mergeCell ref="AP89:AP91"/>
    <mergeCell ref="AT89:AT91"/>
    <mergeCell ref="AU89:AU91"/>
    <mergeCell ref="AV89:AV91"/>
    <mergeCell ref="AW89:AW91"/>
    <mergeCell ref="AX89:AX91"/>
    <mergeCell ref="BB89:BB91"/>
    <mergeCell ref="BC89:BC91"/>
    <mergeCell ref="BD89:BD91"/>
    <mergeCell ref="C85:J85"/>
    <mergeCell ref="K85:R85"/>
    <mergeCell ref="S85:Z85"/>
    <mergeCell ref="AA85:AH85"/>
    <mergeCell ref="AI85:AP85"/>
    <mergeCell ref="AQ85:AX85"/>
    <mergeCell ref="AY85:BF85"/>
    <mergeCell ref="BG85:BN85"/>
    <mergeCell ref="BO85:BV85"/>
    <mergeCell ref="BW85:CD85"/>
    <mergeCell ref="CE85:CL85"/>
    <mergeCell ref="CM85:CT85"/>
    <mergeCell ref="CU85:DA85"/>
    <mergeCell ref="A87:B87"/>
    <mergeCell ref="A88:B88"/>
    <mergeCell ref="A89:A91"/>
    <mergeCell ref="F89:F91"/>
    <mergeCell ref="G89:G91"/>
    <mergeCell ref="H89:H91"/>
    <mergeCell ref="I89:I91"/>
    <mergeCell ref="J89:J91"/>
    <mergeCell ref="N89:N91"/>
    <mergeCell ref="O89:O91"/>
    <mergeCell ref="P89:P91"/>
    <mergeCell ref="Q89:Q91"/>
    <mergeCell ref="R89:R91"/>
    <mergeCell ref="V89:V91"/>
    <mergeCell ref="W89:W91"/>
    <mergeCell ref="X89:X91"/>
    <mergeCell ref="Y89:Y91"/>
    <mergeCell ref="Z89:Z91"/>
    <mergeCell ref="AD89:AD91"/>
    <mergeCell ref="CH79:CH81"/>
    <mergeCell ref="CI79:CI81"/>
    <mergeCell ref="CJ79:CJ81"/>
    <mergeCell ref="CK79:CK81"/>
    <mergeCell ref="CL79:CL81"/>
    <mergeCell ref="CP79:CP81"/>
    <mergeCell ref="CQ79:CQ81"/>
    <mergeCell ref="CR79:CR81"/>
    <mergeCell ref="CS79:CS81"/>
    <mergeCell ref="CT79:CT81"/>
    <mergeCell ref="CU79:CU81"/>
    <mergeCell ref="CV79:CV81"/>
    <mergeCell ref="CW79:CW81"/>
    <mergeCell ref="CX79:CX81"/>
    <mergeCell ref="CY79:CY81"/>
    <mergeCell ref="CZ79:CZ81"/>
    <mergeCell ref="DA79:DA81"/>
    <mergeCell ref="BE79:BE81"/>
    <mergeCell ref="BF79:BF81"/>
    <mergeCell ref="BJ79:BJ81"/>
    <mergeCell ref="BK79:BK81"/>
    <mergeCell ref="BL79:BL81"/>
    <mergeCell ref="BM79:BM81"/>
    <mergeCell ref="BN79:BN81"/>
    <mergeCell ref="BR79:BR81"/>
    <mergeCell ref="BS79:BS81"/>
    <mergeCell ref="BT79:BT81"/>
    <mergeCell ref="BU79:BU81"/>
    <mergeCell ref="BV79:BV81"/>
    <mergeCell ref="BZ79:BZ81"/>
    <mergeCell ref="CA79:CA81"/>
    <mergeCell ref="CB79:CB81"/>
    <mergeCell ref="CC79:CC81"/>
    <mergeCell ref="CD79:CD81"/>
    <mergeCell ref="AE79:AE81"/>
    <mergeCell ref="AF79:AF81"/>
    <mergeCell ref="AG79:AG81"/>
    <mergeCell ref="AH79:AH81"/>
    <mergeCell ref="AL79:AL81"/>
    <mergeCell ref="AM79:AM81"/>
    <mergeCell ref="AN79:AN81"/>
    <mergeCell ref="AO79:AO81"/>
    <mergeCell ref="AP79:AP81"/>
    <mergeCell ref="AT79:AT81"/>
    <mergeCell ref="AU79:AU81"/>
    <mergeCell ref="AV79:AV81"/>
    <mergeCell ref="AW79:AW81"/>
    <mergeCell ref="AX79:AX81"/>
    <mergeCell ref="BB79:BB81"/>
    <mergeCell ref="BC79:BC81"/>
    <mergeCell ref="BD79:BD81"/>
    <mergeCell ref="A79:A81"/>
    <mergeCell ref="F79:F81"/>
    <mergeCell ref="G79:G81"/>
    <mergeCell ref="H79:H81"/>
    <mergeCell ref="I79:I81"/>
    <mergeCell ref="J79:J81"/>
    <mergeCell ref="N79:N81"/>
    <mergeCell ref="O79:O81"/>
    <mergeCell ref="P79:P81"/>
    <mergeCell ref="Q79:Q81"/>
    <mergeCell ref="R79:R81"/>
    <mergeCell ref="V79:V81"/>
    <mergeCell ref="W79:W81"/>
    <mergeCell ref="X79:X81"/>
    <mergeCell ref="Y79:Y81"/>
    <mergeCell ref="Z79:Z81"/>
    <mergeCell ref="AD79:AD81"/>
    <mergeCell ref="CH74:CH78"/>
    <mergeCell ref="CI74:CI78"/>
    <mergeCell ref="CJ74:CJ78"/>
    <mergeCell ref="CK74:CK78"/>
    <mergeCell ref="CL74:CL78"/>
    <mergeCell ref="CP74:CP78"/>
    <mergeCell ref="CQ74:CQ78"/>
    <mergeCell ref="CR74:CR78"/>
    <mergeCell ref="CS74:CS78"/>
    <mergeCell ref="CT74:CT78"/>
    <mergeCell ref="CU74:CU78"/>
    <mergeCell ref="CV74:CV78"/>
    <mergeCell ref="CW74:CW78"/>
    <mergeCell ref="CX74:CX78"/>
    <mergeCell ref="CY74:CY78"/>
    <mergeCell ref="CZ74:CZ78"/>
    <mergeCell ref="DA74:DA78"/>
    <mergeCell ref="BE74:BE78"/>
    <mergeCell ref="BF74:BF78"/>
    <mergeCell ref="BJ74:BJ78"/>
    <mergeCell ref="BK74:BK78"/>
    <mergeCell ref="BL74:BL78"/>
    <mergeCell ref="BM74:BM78"/>
    <mergeCell ref="BN74:BN78"/>
    <mergeCell ref="BR74:BR78"/>
    <mergeCell ref="BS74:BS78"/>
    <mergeCell ref="BT74:BT78"/>
    <mergeCell ref="BU74:BU78"/>
    <mergeCell ref="BV74:BV78"/>
    <mergeCell ref="BZ74:BZ78"/>
    <mergeCell ref="CA74:CA78"/>
    <mergeCell ref="CB74:CB78"/>
    <mergeCell ref="CC74:CC78"/>
    <mergeCell ref="CD74:CD78"/>
    <mergeCell ref="AE74:AE78"/>
    <mergeCell ref="AF74:AF78"/>
    <mergeCell ref="AG74:AG78"/>
    <mergeCell ref="AH74:AH78"/>
    <mergeCell ref="AL74:AL78"/>
    <mergeCell ref="AM74:AM78"/>
    <mergeCell ref="AN74:AN78"/>
    <mergeCell ref="AO74:AO78"/>
    <mergeCell ref="AP74:AP78"/>
    <mergeCell ref="AT74:AT78"/>
    <mergeCell ref="AU74:AU78"/>
    <mergeCell ref="AV74:AV78"/>
    <mergeCell ref="AW74:AW78"/>
    <mergeCell ref="AX74:AX78"/>
    <mergeCell ref="BB74:BB78"/>
    <mergeCell ref="BC74:BC78"/>
    <mergeCell ref="BD74:BD78"/>
    <mergeCell ref="A74:A78"/>
    <mergeCell ref="F74:F78"/>
    <mergeCell ref="G74:G78"/>
    <mergeCell ref="H74:H78"/>
    <mergeCell ref="I74:I78"/>
    <mergeCell ref="J74:J78"/>
    <mergeCell ref="N74:N78"/>
    <mergeCell ref="O74:O78"/>
    <mergeCell ref="P74:P78"/>
    <mergeCell ref="Q74:Q78"/>
    <mergeCell ref="R74:R78"/>
    <mergeCell ref="V74:V78"/>
    <mergeCell ref="W74:W78"/>
    <mergeCell ref="X74:X78"/>
    <mergeCell ref="Y74:Y78"/>
    <mergeCell ref="Z74:Z78"/>
    <mergeCell ref="AD74:AD78"/>
    <mergeCell ref="CH69:CH73"/>
    <mergeCell ref="CI69:CI73"/>
    <mergeCell ref="CJ69:CJ73"/>
    <mergeCell ref="CK69:CK73"/>
    <mergeCell ref="CL69:CL73"/>
    <mergeCell ref="CP69:CP73"/>
    <mergeCell ref="CQ69:CQ73"/>
    <mergeCell ref="CR69:CR73"/>
    <mergeCell ref="CS69:CS73"/>
    <mergeCell ref="CT69:CT73"/>
    <mergeCell ref="CU69:CU73"/>
    <mergeCell ref="CV69:CV73"/>
    <mergeCell ref="CW69:CW73"/>
    <mergeCell ref="CX69:CX73"/>
    <mergeCell ref="CY69:CY73"/>
    <mergeCell ref="CZ69:CZ73"/>
    <mergeCell ref="DA69:DA73"/>
    <mergeCell ref="BE69:BE73"/>
    <mergeCell ref="BF69:BF73"/>
    <mergeCell ref="BJ69:BJ73"/>
    <mergeCell ref="BK69:BK73"/>
    <mergeCell ref="BL69:BL73"/>
    <mergeCell ref="BM69:BM73"/>
    <mergeCell ref="BN69:BN73"/>
    <mergeCell ref="BR69:BR73"/>
    <mergeCell ref="BS69:BS73"/>
    <mergeCell ref="BT69:BT73"/>
    <mergeCell ref="BU69:BU73"/>
    <mergeCell ref="BV69:BV73"/>
    <mergeCell ref="BZ69:BZ73"/>
    <mergeCell ref="CA69:CA73"/>
    <mergeCell ref="CB69:CB73"/>
    <mergeCell ref="CC69:CC73"/>
    <mergeCell ref="CD69:CD73"/>
    <mergeCell ref="AE69:AE73"/>
    <mergeCell ref="AF69:AF73"/>
    <mergeCell ref="AG69:AG73"/>
    <mergeCell ref="AH69:AH73"/>
    <mergeCell ref="AL69:AL73"/>
    <mergeCell ref="AM69:AM73"/>
    <mergeCell ref="AN69:AN73"/>
    <mergeCell ref="AO69:AO73"/>
    <mergeCell ref="AP69:AP73"/>
    <mergeCell ref="AT69:AT73"/>
    <mergeCell ref="AU69:AU73"/>
    <mergeCell ref="AV69:AV73"/>
    <mergeCell ref="AW69:AW73"/>
    <mergeCell ref="AX69:AX73"/>
    <mergeCell ref="BB69:BB73"/>
    <mergeCell ref="BC69:BC73"/>
    <mergeCell ref="BD69:BD73"/>
    <mergeCell ref="A69:A73"/>
    <mergeCell ref="F69:F73"/>
    <mergeCell ref="G69:G73"/>
    <mergeCell ref="H69:H73"/>
    <mergeCell ref="I69:I73"/>
    <mergeCell ref="J69:J73"/>
    <mergeCell ref="N69:N73"/>
    <mergeCell ref="O69:O73"/>
    <mergeCell ref="P69:P73"/>
    <mergeCell ref="Q69:Q73"/>
    <mergeCell ref="R69:R73"/>
    <mergeCell ref="V69:V73"/>
    <mergeCell ref="W69:W73"/>
    <mergeCell ref="X69:X73"/>
    <mergeCell ref="Y69:Y73"/>
    <mergeCell ref="Z69:Z73"/>
    <mergeCell ref="AD69:AD73"/>
    <mergeCell ref="CH64:CH68"/>
    <mergeCell ref="CI64:CI68"/>
    <mergeCell ref="CJ64:CJ68"/>
    <mergeCell ref="CK64:CK68"/>
    <mergeCell ref="CL64:CL68"/>
    <mergeCell ref="CP64:CP68"/>
    <mergeCell ref="CQ64:CQ68"/>
    <mergeCell ref="CR64:CR68"/>
    <mergeCell ref="CS64:CS68"/>
    <mergeCell ref="CT64:CT68"/>
    <mergeCell ref="CU64:CU68"/>
    <mergeCell ref="CV64:CV68"/>
    <mergeCell ref="CW64:CW68"/>
    <mergeCell ref="CX64:CX68"/>
    <mergeCell ref="CY64:CY68"/>
    <mergeCell ref="CZ64:CZ68"/>
    <mergeCell ref="DA64:DA68"/>
    <mergeCell ref="BE64:BE68"/>
    <mergeCell ref="BF64:BF68"/>
    <mergeCell ref="BJ64:BJ68"/>
    <mergeCell ref="BK64:BK68"/>
    <mergeCell ref="BL64:BL68"/>
    <mergeCell ref="BM64:BM68"/>
    <mergeCell ref="BN64:BN68"/>
    <mergeCell ref="BR64:BR68"/>
    <mergeCell ref="BS64:BS68"/>
    <mergeCell ref="BT64:BT68"/>
    <mergeCell ref="BU64:BU68"/>
    <mergeCell ref="BV64:BV68"/>
    <mergeCell ref="BZ64:BZ68"/>
    <mergeCell ref="CA64:CA68"/>
    <mergeCell ref="CB64:CB68"/>
    <mergeCell ref="CC64:CC68"/>
    <mergeCell ref="CD64:CD68"/>
    <mergeCell ref="AE64:AE68"/>
    <mergeCell ref="AF64:AF68"/>
    <mergeCell ref="AG64:AG68"/>
    <mergeCell ref="AH64:AH68"/>
    <mergeCell ref="AL64:AL68"/>
    <mergeCell ref="AM64:AM68"/>
    <mergeCell ref="AN64:AN68"/>
    <mergeCell ref="AO64:AO68"/>
    <mergeCell ref="AP64:AP68"/>
    <mergeCell ref="AT64:AT68"/>
    <mergeCell ref="AU64:AU68"/>
    <mergeCell ref="AV64:AV68"/>
    <mergeCell ref="AW64:AW68"/>
    <mergeCell ref="AX64:AX68"/>
    <mergeCell ref="BB64:BB68"/>
    <mergeCell ref="BC64:BC68"/>
    <mergeCell ref="BD64:BD68"/>
    <mergeCell ref="A64:A68"/>
    <mergeCell ref="F64:F68"/>
    <mergeCell ref="G64:G68"/>
    <mergeCell ref="H64:H68"/>
    <mergeCell ref="I64:I68"/>
    <mergeCell ref="J64:J68"/>
    <mergeCell ref="N64:N68"/>
    <mergeCell ref="O64:O68"/>
    <mergeCell ref="P64:P68"/>
    <mergeCell ref="Q64:Q68"/>
    <mergeCell ref="R64:R68"/>
    <mergeCell ref="V64:V68"/>
    <mergeCell ref="W64:W68"/>
    <mergeCell ref="X64:X68"/>
    <mergeCell ref="Y64:Y68"/>
    <mergeCell ref="Z64:Z68"/>
    <mergeCell ref="AD64:AD68"/>
    <mergeCell ref="CH59:CH63"/>
    <mergeCell ref="CI59:CI63"/>
    <mergeCell ref="CJ59:CJ63"/>
    <mergeCell ref="CK59:CK63"/>
    <mergeCell ref="CL59:CL63"/>
    <mergeCell ref="CP59:CP63"/>
    <mergeCell ref="CQ59:CQ63"/>
    <mergeCell ref="CR59:CR63"/>
    <mergeCell ref="CS59:CS63"/>
    <mergeCell ref="CT59:CT63"/>
    <mergeCell ref="CU59:CU63"/>
    <mergeCell ref="CV59:CV63"/>
    <mergeCell ref="CW59:CW63"/>
    <mergeCell ref="CX59:CX63"/>
    <mergeCell ref="CY59:CY63"/>
    <mergeCell ref="CZ59:CZ63"/>
    <mergeCell ref="DA59:DA63"/>
    <mergeCell ref="BE59:BE63"/>
    <mergeCell ref="BF59:BF63"/>
    <mergeCell ref="BJ59:BJ63"/>
    <mergeCell ref="BK59:BK63"/>
    <mergeCell ref="BL59:BL63"/>
    <mergeCell ref="BM59:BM63"/>
    <mergeCell ref="BN59:BN63"/>
    <mergeCell ref="BR59:BR63"/>
    <mergeCell ref="BS59:BS63"/>
    <mergeCell ref="BT59:BT63"/>
    <mergeCell ref="BU59:BU63"/>
    <mergeCell ref="BV59:BV63"/>
    <mergeCell ref="BZ59:BZ63"/>
    <mergeCell ref="CA59:CA63"/>
    <mergeCell ref="CB59:CB63"/>
    <mergeCell ref="CC59:CC63"/>
    <mergeCell ref="CD59:CD63"/>
    <mergeCell ref="AE59:AE63"/>
    <mergeCell ref="AF59:AF63"/>
    <mergeCell ref="AG59:AG63"/>
    <mergeCell ref="AH59:AH63"/>
    <mergeCell ref="AL59:AL63"/>
    <mergeCell ref="AM59:AM63"/>
    <mergeCell ref="AN59:AN63"/>
    <mergeCell ref="AO59:AO63"/>
    <mergeCell ref="AP59:AP63"/>
    <mergeCell ref="AT59:AT63"/>
    <mergeCell ref="AU59:AU63"/>
    <mergeCell ref="AV59:AV63"/>
    <mergeCell ref="AW59:AW63"/>
    <mergeCell ref="AX59:AX63"/>
    <mergeCell ref="BB59:BB63"/>
    <mergeCell ref="BC59:BC63"/>
    <mergeCell ref="BD59:BD63"/>
    <mergeCell ref="CJ54:CJ58"/>
    <mergeCell ref="CK54:CK58"/>
    <mergeCell ref="CL54:CL58"/>
    <mergeCell ref="CP54:CP58"/>
    <mergeCell ref="CQ54:CQ58"/>
    <mergeCell ref="CR54:CR58"/>
    <mergeCell ref="CS54:CS58"/>
    <mergeCell ref="CT54:CT58"/>
    <mergeCell ref="CU54:CU58"/>
    <mergeCell ref="CV54:CV58"/>
    <mergeCell ref="CW54:CW58"/>
    <mergeCell ref="CX54:CX58"/>
    <mergeCell ref="CY54:CY58"/>
    <mergeCell ref="CZ54:CZ58"/>
    <mergeCell ref="DA54:DA58"/>
    <mergeCell ref="A59:A63"/>
    <mergeCell ref="F59:F63"/>
    <mergeCell ref="G59:G63"/>
    <mergeCell ref="H59:H63"/>
    <mergeCell ref="I59:I63"/>
    <mergeCell ref="J59:J63"/>
    <mergeCell ref="N59:N63"/>
    <mergeCell ref="O59:O63"/>
    <mergeCell ref="P59:P63"/>
    <mergeCell ref="Q59:Q63"/>
    <mergeCell ref="R59:R63"/>
    <mergeCell ref="V59:V63"/>
    <mergeCell ref="W59:W63"/>
    <mergeCell ref="X59:X63"/>
    <mergeCell ref="Y59:Y63"/>
    <mergeCell ref="Z59:Z63"/>
    <mergeCell ref="AD59:AD63"/>
    <mergeCell ref="BJ54:BJ58"/>
    <mergeCell ref="BK54:BK58"/>
    <mergeCell ref="BL54:BL58"/>
    <mergeCell ref="BM54:BM58"/>
    <mergeCell ref="BN54:BN58"/>
    <mergeCell ref="BR54:BR58"/>
    <mergeCell ref="BS54:BS58"/>
    <mergeCell ref="BT54:BT58"/>
    <mergeCell ref="BU54:BU58"/>
    <mergeCell ref="BV54:BV58"/>
    <mergeCell ref="BZ54:BZ58"/>
    <mergeCell ref="CA54:CA58"/>
    <mergeCell ref="CB54:CB58"/>
    <mergeCell ref="CC54:CC58"/>
    <mergeCell ref="CD54:CD58"/>
    <mergeCell ref="CH54:CH58"/>
    <mergeCell ref="CI54:CI58"/>
    <mergeCell ref="AG54:AG58"/>
    <mergeCell ref="AH54:AH58"/>
    <mergeCell ref="AL54:AL58"/>
    <mergeCell ref="AM54:AM58"/>
    <mergeCell ref="AN54:AN58"/>
    <mergeCell ref="AO54:AO58"/>
    <mergeCell ref="AP54:AP58"/>
    <mergeCell ref="AT54:AT58"/>
    <mergeCell ref="AU54:AU58"/>
    <mergeCell ref="AV54:AV58"/>
    <mergeCell ref="AW54:AW58"/>
    <mergeCell ref="AX54:AX58"/>
    <mergeCell ref="BB54:BB58"/>
    <mergeCell ref="BC54:BC58"/>
    <mergeCell ref="BD54:BD58"/>
    <mergeCell ref="BE54:BE58"/>
    <mergeCell ref="BF54:BF58"/>
    <mergeCell ref="CL49:CL53"/>
    <mergeCell ref="CP49:CP53"/>
    <mergeCell ref="CQ49:CQ53"/>
    <mergeCell ref="CR49:CR53"/>
    <mergeCell ref="CS49:CS53"/>
    <mergeCell ref="CT49:CT53"/>
    <mergeCell ref="CU49:CU53"/>
    <mergeCell ref="CV49:CV53"/>
    <mergeCell ref="CW49:CW53"/>
    <mergeCell ref="CX49:CX53"/>
    <mergeCell ref="CY49:CY53"/>
    <mergeCell ref="CZ49:CZ53"/>
    <mergeCell ref="DA49:DA53"/>
    <mergeCell ref="A54:A58"/>
    <mergeCell ref="F54:F58"/>
    <mergeCell ref="G54:G58"/>
    <mergeCell ref="H54:H58"/>
    <mergeCell ref="I54:I58"/>
    <mergeCell ref="J54:J58"/>
    <mergeCell ref="N54:N58"/>
    <mergeCell ref="O54:O58"/>
    <mergeCell ref="P54:P58"/>
    <mergeCell ref="Q54:Q58"/>
    <mergeCell ref="R54:R58"/>
    <mergeCell ref="V54:V58"/>
    <mergeCell ref="W54:W58"/>
    <mergeCell ref="X54:X58"/>
    <mergeCell ref="Y54:Y58"/>
    <mergeCell ref="Z54:Z58"/>
    <mergeCell ref="AD54:AD58"/>
    <mergeCell ref="AE54:AE58"/>
    <mergeCell ref="AF54:AF58"/>
    <mergeCell ref="BL49:BL53"/>
    <mergeCell ref="BM49:BM53"/>
    <mergeCell ref="BN49:BN53"/>
    <mergeCell ref="BR49:BR53"/>
    <mergeCell ref="BS49:BS53"/>
    <mergeCell ref="BT49:BT53"/>
    <mergeCell ref="BU49:BU53"/>
    <mergeCell ref="BV49:BV53"/>
    <mergeCell ref="BZ49:BZ53"/>
    <mergeCell ref="CA49:CA53"/>
    <mergeCell ref="CB49:CB53"/>
    <mergeCell ref="CC49:CC53"/>
    <mergeCell ref="CD49:CD53"/>
    <mergeCell ref="CH49:CH53"/>
    <mergeCell ref="CI49:CI53"/>
    <mergeCell ref="CJ49:CJ53"/>
    <mergeCell ref="CK49:CK53"/>
    <mergeCell ref="AL49:AL53"/>
    <mergeCell ref="AM49:AM53"/>
    <mergeCell ref="AN49:AN53"/>
    <mergeCell ref="AO49:AO53"/>
    <mergeCell ref="AP49:AP53"/>
    <mergeCell ref="AT49:AT53"/>
    <mergeCell ref="AU49:AU53"/>
    <mergeCell ref="AV49:AV53"/>
    <mergeCell ref="AW49:AW53"/>
    <mergeCell ref="AX49:AX53"/>
    <mergeCell ref="BB49:BB53"/>
    <mergeCell ref="BC49:BC53"/>
    <mergeCell ref="BD49:BD53"/>
    <mergeCell ref="BE49:BE53"/>
    <mergeCell ref="BF49:BF53"/>
    <mergeCell ref="BJ49:BJ53"/>
    <mergeCell ref="BK49:BK53"/>
    <mergeCell ref="CQ44:CQ48"/>
    <mergeCell ref="CR44:CR48"/>
    <mergeCell ref="CS44:CS48"/>
    <mergeCell ref="CT44:CT48"/>
    <mergeCell ref="CU44:CU48"/>
    <mergeCell ref="CV44:CV48"/>
    <mergeCell ref="CW44:CW48"/>
    <mergeCell ref="CX44:CX48"/>
    <mergeCell ref="CY44:CY48"/>
    <mergeCell ref="CZ44:CZ48"/>
    <mergeCell ref="DA44:DA48"/>
    <mergeCell ref="A49:A53"/>
    <mergeCell ref="F49:F53"/>
    <mergeCell ref="G49:G53"/>
    <mergeCell ref="H49:H53"/>
    <mergeCell ref="I49:I53"/>
    <mergeCell ref="J49:J53"/>
    <mergeCell ref="N49:N53"/>
    <mergeCell ref="O49:O53"/>
    <mergeCell ref="P49:P53"/>
    <mergeCell ref="Q49:Q53"/>
    <mergeCell ref="R49:R53"/>
    <mergeCell ref="V49:V53"/>
    <mergeCell ref="W49:W53"/>
    <mergeCell ref="X49:X53"/>
    <mergeCell ref="Y49:Y53"/>
    <mergeCell ref="Z49:Z53"/>
    <mergeCell ref="AD49:AD53"/>
    <mergeCell ref="AE49:AE53"/>
    <mergeCell ref="AF49:AF53"/>
    <mergeCell ref="AG49:AG53"/>
    <mergeCell ref="AH49:AH53"/>
    <mergeCell ref="BN44:BN48"/>
    <mergeCell ref="BR44:BR48"/>
    <mergeCell ref="BS44:BS48"/>
    <mergeCell ref="BT44:BT48"/>
    <mergeCell ref="BU44:BU48"/>
    <mergeCell ref="BV44:BV48"/>
    <mergeCell ref="BZ44:BZ48"/>
    <mergeCell ref="CA44:CA48"/>
    <mergeCell ref="CB44:CB48"/>
    <mergeCell ref="CC44:CC48"/>
    <mergeCell ref="CD44:CD48"/>
    <mergeCell ref="CH44:CH48"/>
    <mergeCell ref="CI44:CI48"/>
    <mergeCell ref="CJ44:CJ48"/>
    <mergeCell ref="CK44:CK48"/>
    <mergeCell ref="CL44:CL48"/>
    <mergeCell ref="CP44:CP48"/>
    <mergeCell ref="AN44:AN48"/>
    <mergeCell ref="AO44:AO48"/>
    <mergeCell ref="AP44:AP48"/>
    <mergeCell ref="AT44:AT48"/>
    <mergeCell ref="AU44:AU48"/>
    <mergeCell ref="AV44:AV48"/>
    <mergeCell ref="AW44:AW48"/>
    <mergeCell ref="AX44:AX48"/>
    <mergeCell ref="BB44:BB48"/>
    <mergeCell ref="BC44:BC48"/>
    <mergeCell ref="BD44:BD48"/>
    <mergeCell ref="BE44:BE48"/>
    <mergeCell ref="BF44:BF48"/>
    <mergeCell ref="BJ44:BJ48"/>
    <mergeCell ref="BK44:BK48"/>
    <mergeCell ref="BL44:BL48"/>
    <mergeCell ref="BM44:BM48"/>
    <mergeCell ref="CS39:CS43"/>
    <mergeCell ref="CT39:CT43"/>
    <mergeCell ref="CU39:CU43"/>
    <mergeCell ref="CV39:CV43"/>
    <mergeCell ref="CW39:CW43"/>
    <mergeCell ref="CX39:CX43"/>
    <mergeCell ref="CY39:CY43"/>
    <mergeCell ref="CZ39:CZ43"/>
    <mergeCell ref="DA39:DA43"/>
    <mergeCell ref="A44:A48"/>
    <mergeCell ref="F44:F48"/>
    <mergeCell ref="G44:G48"/>
    <mergeCell ref="H44:H48"/>
    <mergeCell ref="I44:I48"/>
    <mergeCell ref="J44:J48"/>
    <mergeCell ref="N44:N48"/>
    <mergeCell ref="O44:O48"/>
    <mergeCell ref="P44:P48"/>
    <mergeCell ref="Q44:Q48"/>
    <mergeCell ref="R44:R48"/>
    <mergeCell ref="V44:V48"/>
    <mergeCell ref="W44:W48"/>
    <mergeCell ref="X44:X48"/>
    <mergeCell ref="Y44:Y48"/>
    <mergeCell ref="Z44:Z48"/>
    <mergeCell ref="AD44:AD48"/>
    <mergeCell ref="AE44:AE48"/>
    <mergeCell ref="AF44:AF48"/>
    <mergeCell ref="AG44:AG48"/>
    <mergeCell ref="AH44:AH48"/>
    <mergeCell ref="AL44:AL48"/>
    <mergeCell ref="AM44:AM48"/>
    <mergeCell ref="BS39:BS43"/>
    <mergeCell ref="BT39:BT43"/>
    <mergeCell ref="BU39:BU43"/>
    <mergeCell ref="BV39:BV43"/>
    <mergeCell ref="BZ39:BZ43"/>
    <mergeCell ref="CA39:CA43"/>
    <mergeCell ref="CB39:CB43"/>
    <mergeCell ref="CC39:CC43"/>
    <mergeCell ref="CD39:CD43"/>
    <mergeCell ref="CH39:CH43"/>
    <mergeCell ref="CI39:CI43"/>
    <mergeCell ref="CJ39:CJ43"/>
    <mergeCell ref="CK39:CK43"/>
    <mergeCell ref="CL39:CL43"/>
    <mergeCell ref="CP39:CP43"/>
    <mergeCell ref="CQ39:CQ43"/>
    <mergeCell ref="CR39:CR43"/>
    <mergeCell ref="AP39:AP43"/>
    <mergeCell ref="AT39:AT43"/>
    <mergeCell ref="AU39:AU43"/>
    <mergeCell ref="AV39:AV43"/>
    <mergeCell ref="AW39:AW43"/>
    <mergeCell ref="AX39:AX43"/>
    <mergeCell ref="BB39:BB43"/>
    <mergeCell ref="BC39:BC43"/>
    <mergeCell ref="BD39:BD43"/>
    <mergeCell ref="BE39:BE43"/>
    <mergeCell ref="BF39:BF43"/>
    <mergeCell ref="BJ39:BJ43"/>
    <mergeCell ref="BK39:BK43"/>
    <mergeCell ref="BL39:BL43"/>
    <mergeCell ref="BM39:BM43"/>
    <mergeCell ref="BN39:BN43"/>
    <mergeCell ref="BR39:BR43"/>
    <mergeCell ref="CU34:CU38"/>
    <mergeCell ref="CV34:CV38"/>
    <mergeCell ref="CW34:CW38"/>
    <mergeCell ref="CX34:CX38"/>
    <mergeCell ref="CY34:CY38"/>
    <mergeCell ref="CZ34:CZ38"/>
    <mergeCell ref="DA34:DA38"/>
    <mergeCell ref="A39:A43"/>
    <mergeCell ref="F39:F43"/>
    <mergeCell ref="G39:G43"/>
    <mergeCell ref="H39:H43"/>
    <mergeCell ref="I39:I43"/>
    <mergeCell ref="J39:J43"/>
    <mergeCell ref="N39:N43"/>
    <mergeCell ref="O39:O43"/>
    <mergeCell ref="P39:P43"/>
    <mergeCell ref="Q39:Q43"/>
    <mergeCell ref="R39:R43"/>
    <mergeCell ref="V39:V43"/>
    <mergeCell ref="W39:W43"/>
    <mergeCell ref="X39:X43"/>
    <mergeCell ref="Y39:Y43"/>
    <mergeCell ref="Z39:Z43"/>
    <mergeCell ref="AD39:AD43"/>
    <mergeCell ref="AE39:AE43"/>
    <mergeCell ref="AF39:AF43"/>
    <mergeCell ref="AG39:AG43"/>
    <mergeCell ref="AH39:AH43"/>
    <mergeCell ref="AL39:AL43"/>
    <mergeCell ref="AM39:AM43"/>
    <mergeCell ref="AN39:AN43"/>
    <mergeCell ref="AO39:AO43"/>
    <mergeCell ref="BU34:BU38"/>
    <mergeCell ref="BV34:BV38"/>
    <mergeCell ref="BZ34:BZ38"/>
    <mergeCell ref="CA34:CA38"/>
    <mergeCell ref="CB34:CB38"/>
    <mergeCell ref="CC34:CC38"/>
    <mergeCell ref="CD34:CD38"/>
    <mergeCell ref="CH34:CH38"/>
    <mergeCell ref="CI34:CI38"/>
    <mergeCell ref="CJ34:CJ38"/>
    <mergeCell ref="CK34:CK38"/>
    <mergeCell ref="CL34:CL38"/>
    <mergeCell ref="CP34:CP38"/>
    <mergeCell ref="CQ34:CQ38"/>
    <mergeCell ref="CR34:CR38"/>
    <mergeCell ref="CS34:CS38"/>
    <mergeCell ref="CT34:CT38"/>
    <mergeCell ref="AU34:AU38"/>
    <mergeCell ref="AV34:AV38"/>
    <mergeCell ref="AW34:AW38"/>
    <mergeCell ref="AX34:AX38"/>
    <mergeCell ref="BB34:BB38"/>
    <mergeCell ref="BC34:BC38"/>
    <mergeCell ref="BD34:BD38"/>
    <mergeCell ref="BE34:BE38"/>
    <mergeCell ref="BF34:BF38"/>
    <mergeCell ref="BJ34:BJ38"/>
    <mergeCell ref="BK34:BK38"/>
    <mergeCell ref="BL34:BL38"/>
    <mergeCell ref="BM34:BM38"/>
    <mergeCell ref="BN34:BN38"/>
    <mergeCell ref="BR34:BR38"/>
    <mergeCell ref="BS34:BS38"/>
    <mergeCell ref="BT34:BT38"/>
    <mergeCell ref="CW29:CW33"/>
    <mergeCell ref="CX29:CX33"/>
    <mergeCell ref="CY29:CY33"/>
    <mergeCell ref="CZ29:CZ33"/>
    <mergeCell ref="DA29:DA33"/>
    <mergeCell ref="A34:A38"/>
    <mergeCell ref="F34:F38"/>
    <mergeCell ref="G34:G38"/>
    <mergeCell ref="H34:H38"/>
    <mergeCell ref="I34:I38"/>
    <mergeCell ref="J34:J38"/>
    <mergeCell ref="N34:N38"/>
    <mergeCell ref="O34:O38"/>
    <mergeCell ref="P34:P38"/>
    <mergeCell ref="Q34:Q38"/>
    <mergeCell ref="R34:R38"/>
    <mergeCell ref="V34:V38"/>
    <mergeCell ref="W34:W38"/>
    <mergeCell ref="X34:X38"/>
    <mergeCell ref="Y34:Y38"/>
    <mergeCell ref="Z34:Z38"/>
    <mergeCell ref="AD34:AD38"/>
    <mergeCell ref="AE34:AE38"/>
    <mergeCell ref="AF34:AF38"/>
    <mergeCell ref="AG34:AG38"/>
    <mergeCell ref="AH34:AH38"/>
    <mergeCell ref="AL34:AL38"/>
    <mergeCell ref="AM34:AM38"/>
    <mergeCell ref="AN34:AN38"/>
    <mergeCell ref="AO34:AO38"/>
    <mergeCell ref="AP34:AP38"/>
    <mergeCell ref="AT34:AT38"/>
    <mergeCell ref="BZ29:BZ33"/>
    <mergeCell ref="CA29:CA33"/>
    <mergeCell ref="CB29:CB33"/>
    <mergeCell ref="CC29:CC33"/>
    <mergeCell ref="CD29:CD33"/>
    <mergeCell ref="CH29:CH33"/>
    <mergeCell ref="CI29:CI33"/>
    <mergeCell ref="CJ29:CJ33"/>
    <mergeCell ref="CK29:CK33"/>
    <mergeCell ref="CL29:CL33"/>
    <mergeCell ref="CP29:CP33"/>
    <mergeCell ref="CQ29:CQ33"/>
    <mergeCell ref="CR29:CR33"/>
    <mergeCell ref="CS29:CS33"/>
    <mergeCell ref="CT29:CT33"/>
    <mergeCell ref="CU29:CU33"/>
    <mergeCell ref="CV29:CV33"/>
    <mergeCell ref="AW29:AW33"/>
    <mergeCell ref="AX29:AX33"/>
    <mergeCell ref="BB29:BB33"/>
    <mergeCell ref="BC29:BC33"/>
    <mergeCell ref="BD29:BD33"/>
    <mergeCell ref="BE29:BE33"/>
    <mergeCell ref="BF29:BF33"/>
    <mergeCell ref="BJ29:BJ33"/>
    <mergeCell ref="BK29:BK33"/>
    <mergeCell ref="BL29:BL33"/>
    <mergeCell ref="BM29:BM33"/>
    <mergeCell ref="BN29:BN33"/>
    <mergeCell ref="BR29:BR33"/>
    <mergeCell ref="BS29:BS33"/>
    <mergeCell ref="BT29:BT33"/>
    <mergeCell ref="BU29:BU33"/>
    <mergeCell ref="BV29:BV33"/>
    <mergeCell ref="CY24:CY28"/>
    <mergeCell ref="CZ24:CZ28"/>
    <mergeCell ref="DA24:DA28"/>
    <mergeCell ref="A29:A33"/>
    <mergeCell ref="F29:F33"/>
    <mergeCell ref="G29:G33"/>
    <mergeCell ref="H29:H33"/>
    <mergeCell ref="I29:I33"/>
    <mergeCell ref="J29:J33"/>
    <mergeCell ref="N29:N33"/>
    <mergeCell ref="O29:O33"/>
    <mergeCell ref="P29:P33"/>
    <mergeCell ref="Q29:Q33"/>
    <mergeCell ref="R29:R33"/>
    <mergeCell ref="V29:V33"/>
    <mergeCell ref="W29:W33"/>
    <mergeCell ref="X29:X33"/>
    <mergeCell ref="Y29:Y33"/>
    <mergeCell ref="Z29:Z33"/>
    <mergeCell ref="AD29:AD33"/>
    <mergeCell ref="AE29:AE33"/>
    <mergeCell ref="AF29:AF33"/>
    <mergeCell ref="AG29:AG33"/>
    <mergeCell ref="AH29:AH33"/>
    <mergeCell ref="AL29:AL33"/>
    <mergeCell ref="AM29:AM33"/>
    <mergeCell ref="AN29:AN33"/>
    <mergeCell ref="AO29:AO33"/>
    <mergeCell ref="AP29:AP33"/>
    <mergeCell ref="AT29:AT33"/>
    <mergeCell ref="AU29:AU33"/>
    <mergeCell ref="AV29:AV33"/>
    <mergeCell ref="CB24:CB28"/>
    <mergeCell ref="CC24:CC28"/>
    <mergeCell ref="CD24:CD28"/>
    <mergeCell ref="CH24:CH28"/>
    <mergeCell ref="CI24:CI28"/>
    <mergeCell ref="CJ24:CJ28"/>
    <mergeCell ref="CK24:CK28"/>
    <mergeCell ref="CL24:CL28"/>
    <mergeCell ref="CP24:CP28"/>
    <mergeCell ref="CQ24:CQ28"/>
    <mergeCell ref="CR24:CR28"/>
    <mergeCell ref="CS24:CS28"/>
    <mergeCell ref="CT24:CT28"/>
    <mergeCell ref="CU24:CU28"/>
    <mergeCell ref="CV24:CV28"/>
    <mergeCell ref="CW24:CW28"/>
    <mergeCell ref="CX24:CX28"/>
    <mergeCell ref="BB24:BB28"/>
    <mergeCell ref="BC24:BC28"/>
    <mergeCell ref="BD24:BD28"/>
    <mergeCell ref="BE24:BE28"/>
    <mergeCell ref="BF24:BF28"/>
    <mergeCell ref="BJ24:BJ28"/>
    <mergeCell ref="BK24:BK28"/>
    <mergeCell ref="BL24:BL28"/>
    <mergeCell ref="BM24:BM28"/>
    <mergeCell ref="BN24:BN28"/>
    <mergeCell ref="BR24:BR28"/>
    <mergeCell ref="BS24:BS28"/>
    <mergeCell ref="BT24:BT28"/>
    <mergeCell ref="BU24:BU28"/>
    <mergeCell ref="BV24:BV28"/>
    <mergeCell ref="BZ24:BZ28"/>
    <mergeCell ref="CA24:CA28"/>
    <mergeCell ref="DA21:DA23"/>
    <mergeCell ref="A24:A28"/>
    <mergeCell ref="F24:F28"/>
    <mergeCell ref="G24:G28"/>
    <mergeCell ref="H24:H28"/>
    <mergeCell ref="I24:I28"/>
    <mergeCell ref="J24:J28"/>
    <mergeCell ref="N24:N28"/>
    <mergeCell ref="O24:O28"/>
    <mergeCell ref="P24:P28"/>
    <mergeCell ref="Q24:Q28"/>
    <mergeCell ref="R24:R28"/>
    <mergeCell ref="V24:V28"/>
    <mergeCell ref="W24:W28"/>
    <mergeCell ref="X24:X28"/>
    <mergeCell ref="Y24:Y28"/>
    <mergeCell ref="Z24:Z28"/>
    <mergeCell ref="AD24:AD28"/>
    <mergeCell ref="AE24:AE28"/>
    <mergeCell ref="AF24:AF28"/>
    <mergeCell ref="AG24:AG28"/>
    <mergeCell ref="AH24:AH28"/>
    <mergeCell ref="AL24:AL28"/>
    <mergeCell ref="AM24:AM28"/>
    <mergeCell ref="AN24:AN28"/>
    <mergeCell ref="AO24:AO28"/>
    <mergeCell ref="AP24:AP28"/>
    <mergeCell ref="AT24:AT28"/>
    <mergeCell ref="AU24:AU28"/>
    <mergeCell ref="AV24:AV28"/>
    <mergeCell ref="AW24:AW28"/>
    <mergeCell ref="AX24:AX28"/>
    <mergeCell ref="CD21:CD23"/>
    <mergeCell ref="CH21:CH23"/>
    <mergeCell ref="CI21:CI23"/>
    <mergeCell ref="CJ21:CJ23"/>
    <mergeCell ref="CK21:CK23"/>
    <mergeCell ref="CL21:CL23"/>
    <mergeCell ref="CP21:CP23"/>
    <mergeCell ref="CQ21:CQ23"/>
    <mergeCell ref="CR21:CR23"/>
    <mergeCell ref="CS21:CS23"/>
    <mergeCell ref="CT21:CT23"/>
    <mergeCell ref="CU21:CU23"/>
    <mergeCell ref="CV21:CV23"/>
    <mergeCell ref="CW21:CW23"/>
    <mergeCell ref="CX21:CX23"/>
    <mergeCell ref="CY21:CY23"/>
    <mergeCell ref="CZ21:CZ23"/>
    <mergeCell ref="BD21:BD23"/>
    <mergeCell ref="BE21:BE23"/>
    <mergeCell ref="BF21:BF23"/>
    <mergeCell ref="BJ21:BJ23"/>
    <mergeCell ref="BK21:BK23"/>
    <mergeCell ref="BL21:BL23"/>
    <mergeCell ref="BM21:BM23"/>
    <mergeCell ref="BN21:BN23"/>
    <mergeCell ref="BR21:BR23"/>
    <mergeCell ref="BS21:BS23"/>
    <mergeCell ref="BT21:BT23"/>
    <mergeCell ref="BU21:BU23"/>
    <mergeCell ref="BV21:BV23"/>
    <mergeCell ref="BZ21:BZ23"/>
    <mergeCell ref="CA21:CA23"/>
    <mergeCell ref="CB21:CB23"/>
    <mergeCell ref="CC21:CC23"/>
    <mergeCell ref="AD21:AD23"/>
    <mergeCell ref="AE21:AE23"/>
    <mergeCell ref="AF21:AF23"/>
    <mergeCell ref="AG21:AG23"/>
    <mergeCell ref="AH21:AH23"/>
    <mergeCell ref="AL21:AL23"/>
    <mergeCell ref="AM21:AM23"/>
    <mergeCell ref="AN21:AN23"/>
    <mergeCell ref="AO21:AO23"/>
    <mergeCell ref="AP21:AP23"/>
    <mergeCell ref="AT21:AT23"/>
    <mergeCell ref="AU21:AU23"/>
    <mergeCell ref="AV21:AV23"/>
    <mergeCell ref="AW21:AW23"/>
    <mergeCell ref="AX21:AX23"/>
    <mergeCell ref="BB21:BB23"/>
    <mergeCell ref="BC21:BC23"/>
    <mergeCell ref="A17:A18"/>
    <mergeCell ref="B17:B18"/>
    <mergeCell ref="C18:J18"/>
    <mergeCell ref="K18:R18"/>
    <mergeCell ref="S18:Z18"/>
    <mergeCell ref="AA18:AH18"/>
    <mergeCell ref="AI18:AP18"/>
    <mergeCell ref="AQ18:AX18"/>
    <mergeCell ref="AY18:BF18"/>
    <mergeCell ref="BG18:BN18"/>
    <mergeCell ref="BO18:BV18"/>
    <mergeCell ref="BW18:CD18"/>
    <mergeCell ref="CE18:CL18"/>
    <mergeCell ref="CM18:CT18"/>
    <mergeCell ref="CU18:DA18"/>
    <mergeCell ref="A20:B20"/>
    <mergeCell ref="A21:A23"/>
    <mergeCell ref="F21:F23"/>
    <mergeCell ref="G21:G23"/>
    <mergeCell ref="H21:H23"/>
    <mergeCell ref="I21:I23"/>
    <mergeCell ref="J21:J23"/>
    <mergeCell ref="N21:N23"/>
    <mergeCell ref="O21:O23"/>
    <mergeCell ref="P21:P23"/>
    <mergeCell ref="Q21:Q23"/>
    <mergeCell ref="R21:R23"/>
    <mergeCell ref="V21:V23"/>
    <mergeCell ref="W21:W23"/>
    <mergeCell ref="X21:X23"/>
    <mergeCell ref="Y21:Y23"/>
    <mergeCell ref="Z21:Z23"/>
    <mergeCell ref="A1:G1"/>
    <mergeCell ref="H1:J1"/>
    <mergeCell ref="A2:B2"/>
    <mergeCell ref="A3:B3"/>
    <mergeCell ref="A4:B4"/>
    <mergeCell ref="A5:B5"/>
    <mergeCell ref="A6:B6"/>
    <mergeCell ref="A7:B7"/>
    <mergeCell ref="A8:B8"/>
    <mergeCell ref="A9:B9"/>
    <mergeCell ref="A10:B10"/>
    <mergeCell ref="A11:B11"/>
    <mergeCell ref="A12:B12"/>
    <mergeCell ref="A13:B13"/>
    <mergeCell ref="A14:B14"/>
    <mergeCell ref="B15:F15"/>
    <mergeCell ref="H15:I15"/>
  </mergeCells>
  <phoneticPr fontId="22" type="noConversion"/>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
  <dimension ref="A1:BL194"/>
  <sheetViews>
    <sheetView topLeftCell="A126" workbookViewId="0">
      <selection activeCell="E188" sqref="E188"/>
    </sheetView>
  </sheetViews>
  <sheetFormatPr defaultColWidth="11.453125" defaultRowHeight="12.5" x14ac:dyDescent="0.25"/>
  <cols>
    <col min="1" max="1" width="4.7265625" customWidth="1"/>
    <col min="2" max="7" width="14.7265625" customWidth="1"/>
    <col min="8" max="8" width="4.7265625" customWidth="1"/>
    <col min="9" max="9" width="10.1796875" customWidth="1"/>
    <col min="10" max="10" width="4.7265625" customWidth="1"/>
    <col min="11" max="16" width="14.7265625" customWidth="1"/>
    <col min="17" max="17" width="4.7265625" customWidth="1"/>
    <col min="18" max="18" width="10.1796875" customWidth="1"/>
    <col min="19" max="19" width="4.7265625" customWidth="1"/>
    <col min="20" max="25" width="14.7265625" customWidth="1"/>
    <col min="26" max="26" width="4.7265625" customWidth="1"/>
    <col min="28" max="28" width="16.453125" customWidth="1"/>
  </cols>
  <sheetData>
    <row r="1" spans="1:64" ht="13" x14ac:dyDescent="0.3">
      <c r="B1" s="1858" t="s">
        <v>17</v>
      </c>
      <c r="C1" s="1858"/>
      <c r="K1" s="1858" t="s">
        <v>47</v>
      </c>
      <c r="L1" s="1858"/>
      <c r="T1" s="1858" t="s">
        <v>57</v>
      </c>
      <c r="U1" s="1858"/>
    </row>
    <row r="2" spans="1:64" ht="13" x14ac:dyDescent="0.3">
      <c r="AC2" s="937" t="str">
        <f>VARIABLES!B12</f>
        <v>GENER</v>
      </c>
      <c r="AD2" s="937" t="str">
        <f>VARIABLES!C12</f>
        <v>FEBRER</v>
      </c>
      <c r="AE2" s="937" t="str">
        <f>VARIABLES!D12</f>
        <v>MARÇ</v>
      </c>
      <c r="AF2" s="937" t="str">
        <f>VARIABLES!E12</f>
        <v>ABRIL</v>
      </c>
      <c r="AG2" s="937" t="str">
        <f>VARIABLES!F12</f>
        <v>MAIG</v>
      </c>
      <c r="AH2" s="937" t="str">
        <f>VARIABLES!G12</f>
        <v>JUNY</v>
      </c>
      <c r="AI2" s="937" t="str">
        <f>VARIABLES!H12</f>
        <v>JULIOL</v>
      </c>
      <c r="AJ2" s="937" t="str">
        <f>VARIABLES!I12</f>
        <v>AGOST</v>
      </c>
      <c r="AK2" s="937" t="str">
        <f>VARIABLES!J12</f>
        <v>SETEMBRE</v>
      </c>
      <c r="AL2" s="937" t="str">
        <f>VARIABLES!K12</f>
        <v>OCTUBRE</v>
      </c>
      <c r="AM2" s="937" t="str">
        <f>VARIABLES!L12</f>
        <v>NOVEMBRE</v>
      </c>
      <c r="AN2" s="937" t="str">
        <f>VARIABLES!M12</f>
        <v>DESEMBRE</v>
      </c>
      <c r="AO2" s="938" t="str">
        <f>AC2</f>
        <v>GENER</v>
      </c>
      <c r="AP2" s="939" t="str">
        <f t="shared" ref="AP2:BH2" si="0">AD2</f>
        <v>FEBRER</v>
      </c>
      <c r="AQ2" s="939" t="str">
        <f t="shared" si="0"/>
        <v>MARÇ</v>
      </c>
      <c r="AR2" s="939" t="str">
        <f t="shared" si="0"/>
        <v>ABRIL</v>
      </c>
      <c r="AS2" s="939" t="str">
        <f t="shared" si="0"/>
        <v>MAIG</v>
      </c>
      <c r="AT2" s="939" t="str">
        <f t="shared" si="0"/>
        <v>JUNY</v>
      </c>
      <c r="AU2" s="939" t="str">
        <f t="shared" si="0"/>
        <v>JULIOL</v>
      </c>
      <c r="AV2" s="939" t="str">
        <f t="shared" si="0"/>
        <v>AGOST</v>
      </c>
      <c r="AW2" s="939" t="str">
        <f t="shared" si="0"/>
        <v>SETEMBRE</v>
      </c>
      <c r="AX2" s="939" t="str">
        <f t="shared" si="0"/>
        <v>OCTUBRE</v>
      </c>
      <c r="AY2" s="939" t="str">
        <f t="shared" si="0"/>
        <v>NOVEMBRE</v>
      </c>
      <c r="AZ2" s="940" t="str">
        <f t="shared" si="0"/>
        <v>DESEMBRE</v>
      </c>
      <c r="BA2" s="941" t="str">
        <f t="shared" si="0"/>
        <v>GENER</v>
      </c>
      <c r="BB2" s="942" t="str">
        <f t="shared" si="0"/>
        <v>FEBRER</v>
      </c>
      <c r="BC2" s="942" t="str">
        <f t="shared" si="0"/>
        <v>MARÇ</v>
      </c>
      <c r="BD2" s="942" t="str">
        <f t="shared" si="0"/>
        <v>ABRIL</v>
      </c>
      <c r="BE2" s="942" t="str">
        <f t="shared" si="0"/>
        <v>MAIG</v>
      </c>
      <c r="BF2" s="942" t="str">
        <f t="shared" si="0"/>
        <v>JUNY</v>
      </c>
      <c r="BG2" s="942" t="str">
        <f t="shared" si="0"/>
        <v>JULIOL</v>
      </c>
      <c r="BH2" s="942" t="str">
        <f t="shared" si="0"/>
        <v>AGOST</v>
      </c>
      <c r="BI2" s="942" t="str">
        <f>AW2</f>
        <v>SETEMBRE</v>
      </c>
      <c r="BJ2" s="942" t="str">
        <f>AX2</f>
        <v>OCTUBRE</v>
      </c>
      <c r="BK2" s="942" t="str">
        <f>AY2</f>
        <v>NOVEMBRE</v>
      </c>
      <c r="BL2" s="943" t="str">
        <f>AZ2</f>
        <v>DESEMBRE</v>
      </c>
    </row>
    <row r="3" spans="1:64" ht="13" x14ac:dyDescent="0.3">
      <c r="B3" s="944" t="s">
        <v>318</v>
      </c>
      <c r="C3" s="945">
        <f>FINANÇAMENT!B10</f>
        <v>0</v>
      </c>
      <c r="K3" s="944" t="s">
        <v>318</v>
      </c>
      <c r="L3" s="945">
        <f>FINANÇAMENT!C10</f>
        <v>0</v>
      </c>
      <c r="T3" s="944" t="s">
        <v>319</v>
      </c>
      <c r="U3" s="945">
        <f>FINANÇAMENT!D10</f>
        <v>0</v>
      </c>
      <c r="AB3" s="946" t="s">
        <v>268</v>
      </c>
      <c r="AC3" s="947">
        <f>$C14</f>
        <v>0</v>
      </c>
      <c r="AD3" s="948">
        <f>$C15</f>
        <v>0</v>
      </c>
      <c r="AE3" s="948">
        <f>$C16</f>
        <v>0</v>
      </c>
      <c r="AF3" s="948">
        <f>$C17</f>
        <v>0</v>
      </c>
      <c r="AG3" s="948">
        <f>$C18</f>
        <v>0</v>
      </c>
      <c r="AH3" s="948">
        <f>$C19</f>
        <v>0</v>
      </c>
      <c r="AI3" s="948">
        <f>$C20</f>
        <v>0</v>
      </c>
      <c r="AJ3" s="948">
        <f>$C21</f>
        <v>0</v>
      </c>
      <c r="AK3" s="948">
        <f>$C22</f>
        <v>0</v>
      </c>
      <c r="AL3" s="948">
        <f>$C23</f>
        <v>0</v>
      </c>
      <c r="AM3" s="948">
        <f>$C24</f>
        <v>0</v>
      </c>
      <c r="AN3" s="949">
        <f>$C25</f>
        <v>0</v>
      </c>
      <c r="AO3" s="947">
        <f>$C26</f>
        <v>0</v>
      </c>
      <c r="AP3" s="948">
        <f>$C27</f>
        <v>0</v>
      </c>
      <c r="AQ3" s="948">
        <f>$C28</f>
        <v>0</v>
      </c>
      <c r="AR3" s="948">
        <f>$C29</f>
        <v>0</v>
      </c>
      <c r="AS3" s="948">
        <f>$C30</f>
        <v>0</v>
      </c>
      <c r="AT3" s="948">
        <f>$C31</f>
        <v>0</v>
      </c>
      <c r="AU3" s="948">
        <f>$C32</f>
        <v>0</v>
      </c>
      <c r="AV3" s="948">
        <f>$C33</f>
        <v>0</v>
      </c>
      <c r="AW3" s="948">
        <f>$C34</f>
        <v>0</v>
      </c>
      <c r="AX3" s="948">
        <f>$C35</f>
        <v>0</v>
      </c>
      <c r="AY3" s="948">
        <f>$C36</f>
        <v>0</v>
      </c>
      <c r="AZ3" s="949">
        <f>$C37</f>
        <v>0</v>
      </c>
      <c r="BA3" s="947">
        <f>$C38</f>
        <v>0</v>
      </c>
      <c r="BB3" s="948">
        <f>$C39</f>
        <v>0</v>
      </c>
      <c r="BC3" s="948">
        <f>$C40</f>
        <v>0</v>
      </c>
      <c r="BD3" s="948">
        <f>$C41</f>
        <v>0</v>
      </c>
      <c r="BE3" s="948">
        <f>$C42</f>
        <v>0</v>
      </c>
      <c r="BF3" s="948">
        <f>$C43</f>
        <v>0</v>
      </c>
      <c r="BG3" s="948">
        <f>$C44</f>
        <v>0</v>
      </c>
      <c r="BH3" s="948">
        <f>$C45</f>
        <v>0</v>
      </c>
      <c r="BI3" s="948">
        <f>$C46</f>
        <v>0</v>
      </c>
      <c r="BJ3" s="948">
        <f>$C47</f>
        <v>0</v>
      </c>
      <c r="BK3" s="948">
        <f>$C48</f>
        <v>0</v>
      </c>
      <c r="BL3" s="949">
        <f>$C49</f>
        <v>0</v>
      </c>
    </row>
    <row r="4" spans="1:64" ht="13" x14ac:dyDescent="0.3">
      <c r="B4" s="950" t="s">
        <v>320</v>
      </c>
      <c r="C4" s="224">
        <f>'Introducció dades'!C139</f>
        <v>5.5E-2</v>
      </c>
      <c r="D4" s="951">
        <f>C4/D7</f>
        <v>4.5833333333333334E-3</v>
      </c>
      <c r="K4" s="950" t="s">
        <v>320</v>
      </c>
      <c r="L4" s="224">
        <f>'Introducció dades'!D139</f>
        <v>0.04</v>
      </c>
      <c r="M4" s="951">
        <f>L4/M7</f>
        <v>3.3333333333333335E-3</v>
      </c>
      <c r="T4" s="950" t="s">
        <v>320</v>
      </c>
      <c r="U4" s="224">
        <f>'Introducció dades'!E139</f>
        <v>0.04</v>
      </c>
      <c r="V4" s="951">
        <f>U4/V7</f>
        <v>3.3333333333333335E-3</v>
      </c>
      <c r="AB4" s="952" t="s">
        <v>321</v>
      </c>
      <c r="AC4" s="953">
        <f>$E14</f>
        <v>0</v>
      </c>
      <c r="AD4" s="948">
        <f>+$E15</f>
        <v>0</v>
      </c>
      <c r="AE4" s="954">
        <f>$E16</f>
        <v>0</v>
      </c>
      <c r="AF4" s="954">
        <f>$E17</f>
        <v>0</v>
      </c>
      <c r="AG4" s="954">
        <f>$E18</f>
        <v>0</v>
      </c>
      <c r="AH4" s="954">
        <f>$E19</f>
        <v>0</v>
      </c>
      <c r="AI4" s="954">
        <f>$E20</f>
        <v>0</v>
      </c>
      <c r="AJ4" s="954">
        <f>$E21</f>
        <v>0</v>
      </c>
      <c r="AK4" s="954">
        <f>$E22</f>
        <v>0</v>
      </c>
      <c r="AL4" s="954">
        <f>$E23</f>
        <v>0</v>
      </c>
      <c r="AM4" s="954">
        <f>$E24</f>
        <v>0</v>
      </c>
      <c r="AN4" s="955">
        <f>$E25</f>
        <v>0</v>
      </c>
      <c r="AO4" s="953">
        <f>$E26</f>
        <v>0</v>
      </c>
      <c r="AP4" s="954">
        <f>$E27</f>
        <v>0</v>
      </c>
      <c r="AQ4" s="954">
        <f>$E28</f>
        <v>0</v>
      </c>
      <c r="AR4" s="954">
        <f>$E29</f>
        <v>0</v>
      </c>
      <c r="AS4" s="954">
        <f>$E30</f>
        <v>0</v>
      </c>
      <c r="AT4" s="954">
        <f>$E31</f>
        <v>0</v>
      </c>
      <c r="AU4" s="954">
        <f>$E32</f>
        <v>0</v>
      </c>
      <c r="AV4" s="954">
        <f>$E33</f>
        <v>0</v>
      </c>
      <c r="AW4" s="954">
        <f>$E34</f>
        <v>0</v>
      </c>
      <c r="AX4" s="954">
        <f>$E35</f>
        <v>0</v>
      </c>
      <c r="AY4" s="954">
        <f>$E36</f>
        <v>0</v>
      </c>
      <c r="AZ4" s="955">
        <f>$E37</f>
        <v>0</v>
      </c>
      <c r="BA4" s="953">
        <f>$E38</f>
        <v>0</v>
      </c>
      <c r="BB4" s="954">
        <f>$E39</f>
        <v>0</v>
      </c>
      <c r="BC4" s="954">
        <f>$E40</f>
        <v>0</v>
      </c>
      <c r="BD4" s="954">
        <f>$E41</f>
        <v>0</v>
      </c>
      <c r="BE4" s="954">
        <f>$E42</f>
        <v>0</v>
      </c>
      <c r="BF4" s="954">
        <f>$E43</f>
        <v>0</v>
      </c>
      <c r="BG4" s="954">
        <f>$E44</f>
        <v>0</v>
      </c>
      <c r="BH4" s="954">
        <f>$E45</f>
        <v>0</v>
      </c>
      <c r="BI4" s="954">
        <f>$E46</f>
        <v>0</v>
      </c>
      <c r="BJ4" s="954">
        <f>$E47</f>
        <v>0</v>
      </c>
      <c r="BK4" s="954">
        <f>$E48</f>
        <v>0</v>
      </c>
      <c r="BL4" s="955">
        <f>$E49</f>
        <v>0</v>
      </c>
    </row>
    <row r="5" spans="1:64" ht="13" x14ac:dyDescent="0.3">
      <c r="B5" s="950" t="s">
        <v>322</v>
      </c>
      <c r="C5" s="226">
        <f>'Introducció dades'!C140</f>
        <v>5</v>
      </c>
      <c r="D5" s="956">
        <f>D$7*C5</f>
        <v>60</v>
      </c>
      <c r="K5" s="950" t="s">
        <v>322</v>
      </c>
      <c r="L5" s="226">
        <f>'Introducció dades'!D140</f>
        <v>5</v>
      </c>
      <c r="M5" s="956">
        <f>M$7*L5</f>
        <v>60</v>
      </c>
      <c r="T5" s="950" t="s">
        <v>322</v>
      </c>
      <c r="U5" s="226">
        <f>'Introducció dades'!E140</f>
        <v>5</v>
      </c>
      <c r="V5" s="956">
        <f>V$7*U5</f>
        <v>60</v>
      </c>
      <c r="AB5" s="952" t="s">
        <v>274</v>
      </c>
      <c r="AC5" s="953">
        <f>B14</f>
        <v>0</v>
      </c>
      <c r="AD5" s="954">
        <f>AC5-AD4</f>
        <v>0</v>
      </c>
      <c r="AE5" s="954">
        <f t="shared" ref="AE5:BL5" si="1">AD5-AE4</f>
        <v>0</v>
      </c>
      <c r="AF5" s="954">
        <f t="shared" si="1"/>
        <v>0</v>
      </c>
      <c r="AG5" s="954">
        <f t="shared" si="1"/>
        <v>0</v>
      </c>
      <c r="AH5" s="954">
        <f t="shared" si="1"/>
        <v>0</v>
      </c>
      <c r="AI5" s="954">
        <f t="shared" si="1"/>
        <v>0</v>
      </c>
      <c r="AJ5" s="954">
        <f t="shared" si="1"/>
        <v>0</v>
      </c>
      <c r="AK5" s="954">
        <f t="shared" si="1"/>
        <v>0</v>
      </c>
      <c r="AL5" s="954">
        <f t="shared" si="1"/>
        <v>0</v>
      </c>
      <c r="AM5" s="954">
        <f t="shared" si="1"/>
        <v>0</v>
      </c>
      <c r="AN5" s="955">
        <f t="shared" si="1"/>
        <v>0</v>
      </c>
      <c r="AO5" s="953">
        <f t="shared" si="1"/>
        <v>0</v>
      </c>
      <c r="AP5" s="954">
        <f t="shared" si="1"/>
        <v>0</v>
      </c>
      <c r="AQ5" s="954">
        <f t="shared" si="1"/>
        <v>0</v>
      </c>
      <c r="AR5" s="954">
        <f t="shared" si="1"/>
        <v>0</v>
      </c>
      <c r="AS5" s="954">
        <f t="shared" si="1"/>
        <v>0</v>
      </c>
      <c r="AT5" s="954">
        <f t="shared" si="1"/>
        <v>0</v>
      </c>
      <c r="AU5" s="954">
        <f t="shared" si="1"/>
        <v>0</v>
      </c>
      <c r="AV5" s="954">
        <f t="shared" si="1"/>
        <v>0</v>
      </c>
      <c r="AW5" s="954">
        <f t="shared" si="1"/>
        <v>0</v>
      </c>
      <c r="AX5" s="954">
        <f t="shared" si="1"/>
        <v>0</v>
      </c>
      <c r="AY5" s="954">
        <f t="shared" si="1"/>
        <v>0</v>
      </c>
      <c r="AZ5" s="955">
        <f t="shared" si="1"/>
        <v>0</v>
      </c>
      <c r="BA5" s="953">
        <f t="shared" si="1"/>
        <v>0</v>
      </c>
      <c r="BB5" s="954">
        <f t="shared" si="1"/>
        <v>0</v>
      </c>
      <c r="BC5" s="954">
        <f t="shared" si="1"/>
        <v>0</v>
      </c>
      <c r="BD5" s="954">
        <f t="shared" si="1"/>
        <v>0</v>
      </c>
      <c r="BE5" s="954">
        <f t="shared" si="1"/>
        <v>0</v>
      </c>
      <c r="BF5" s="954">
        <f t="shared" si="1"/>
        <v>0</v>
      </c>
      <c r="BG5" s="954">
        <f t="shared" si="1"/>
        <v>0</v>
      </c>
      <c r="BH5" s="954">
        <f t="shared" si="1"/>
        <v>0</v>
      </c>
      <c r="BI5" s="954">
        <f t="shared" si="1"/>
        <v>0</v>
      </c>
      <c r="BJ5" s="954">
        <f t="shared" si="1"/>
        <v>0</v>
      </c>
      <c r="BK5" s="954">
        <f t="shared" si="1"/>
        <v>0</v>
      </c>
      <c r="BL5" s="955">
        <f t="shared" si="1"/>
        <v>0</v>
      </c>
    </row>
    <row r="6" spans="1:64" ht="13" x14ac:dyDescent="0.3">
      <c r="B6" s="950" t="s">
        <v>323</v>
      </c>
      <c r="C6" s="226">
        <f>+D6/D7</f>
        <v>0</v>
      </c>
      <c r="D6" s="956">
        <f>+'Introducció dades'!C141</f>
        <v>0</v>
      </c>
      <c r="K6" s="950" t="s">
        <v>323</v>
      </c>
      <c r="L6" s="226">
        <f>+M6/M7</f>
        <v>0</v>
      </c>
      <c r="M6" s="956">
        <f>+'Introducció dades'!D141</f>
        <v>0</v>
      </c>
      <c r="T6" s="950" t="s">
        <v>323</v>
      </c>
      <c r="U6" s="226">
        <f>+V6/V7</f>
        <v>0</v>
      </c>
      <c r="V6" s="956">
        <f>+'Introducció dades'!E141</f>
        <v>0</v>
      </c>
      <c r="AB6" s="952" t="s">
        <v>273</v>
      </c>
      <c r="AC6" s="953">
        <f>$B26</f>
        <v>0</v>
      </c>
      <c r="AD6" s="954">
        <f>$B27</f>
        <v>0</v>
      </c>
      <c r="AE6" s="954">
        <f>$B28</f>
        <v>0</v>
      </c>
      <c r="AF6" s="954">
        <f>$B29</f>
        <v>0</v>
      </c>
      <c r="AG6" s="954">
        <f>$B30</f>
        <v>0</v>
      </c>
      <c r="AH6" s="954">
        <f>$B31</f>
        <v>0</v>
      </c>
      <c r="AI6" s="954">
        <f>$B32</f>
        <v>0</v>
      </c>
      <c r="AJ6" s="954">
        <f>$B33</f>
        <v>0</v>
      </c>
      <c r="AK6" s="954">
        <f>$B34</f>
        <v>0</v>
      </c>
      <c r="AL6" s="954">
        <f>$B35</f>
        <v>0</v>
      </c>
      <c r="AM6" s="954">
        <f>$B36</f>
        <v>0</v>
      </c>
      <c r="AN6" s="955">
        <f>$B37</f>
        <v>0</v>
      </c>
      <c r="AO6" s="953">
        <f>$B38</f>
        <v>0</v>
      </c>
      <c r="AP6" s="954">
        <f>$B39</f>
        <v>0</v>
      </c>
      <c r="AQ6" s="954">
        <f>$B40</f>
        <v>0</v>
      </c>
      <c r="AR6" s="954">
        <f>$B41</f>
        <v>0</v>
      </c>
      <c r="AS6" s="954">
        <f>$B42</f>
        <v>0</v>
      </c>
      <c r="AT6" s="954">
        <f>$B43</f>
        <v>0</v>
      </c>
      <c r="AU6" s="954">
        <f>$B44</f>
        <v>0</v>
      </c>
      <c r="AV6" s="954">
        <f>$B45</f>
        <v>0</v>
      </c>
      <c r="AW6" s="954">
        <f>$B46</f>
        <v>0</v>
      </c>
      <c r="AX6" s="954">
        <f>$B47</f>
        <v>0</v>
      </c>
      <c r="AY6" s="954">
        <f>$B48</f>
        <v>0</v>
      </c>
      <c r="AZ6" s="955">
        <f>$B49</f>
        <v>0</v>
      </c>
      <c r="BA6" s="953">
        <f>$B50</f>
        <v>0</v>
      </c>
      <c r="BB6" s="954">
        <f>$B51</f>
        <v>0</v>
      </c>
      <c r="BC6" s="954">
        <f>$B52</f>
        <v>0</v>
      </c>
      <c r="BD6" s="954">
        <f>$B53</f>
        <v>0</v>
      </c>
      <c r="BE6" s="954">
        <f>$B54</f>
        <v>0</v>
      </c>
      <c r="BF6" s="954">
        <f>$B55</f>
        <v>0</v>
      </c>
      <c r="BG6" s="954">
        <f>$B56</f>
        <v>0</v>
      </c>
      <c r="BH6" s="954">
        <f>$B57</f>
        <v>0</v>
      </c>
      <c r="BI6" s="954">
        <f>$B58</f>
        <v>0</v>
      </c>
      <c r="BJ6" s="954">
        <f>$B59</f>
        <v>0</v>
      </c>
      <c r="BK6" s="954">
        <f>$B60</f>
        <v>0</v>
      </c>
      <c r="BL6" s="955">
        <f>$B61</f>
        <v>0</v>
      </c>
    </row>
    <row r="7" spans="1:64" ht="13" x14ac:dyDescent="0.3">
      <c r="B7" s="950" t="s">
        <v>324</v>
      </c>
      <c r="C7" s="226" t="str">
        <f>'Introducció dades'!C142</f>
        <v>MENSUAL</v>
      </c>
      <c r="D7" s="957">
        <f>IF(C7="MENSUAL",12)+IF(C7="BIMENSUAL",6)+IF(C7="TRIMESTRAL",4)+IF(C7="CUATRIMESTRAL",3)+IF(C7="SEMESTRAL",2)+IF(C7="ANUAL",1)</f>
        <v>12</v>
      </c>
      <c r="K7" s="950" t="s">
        <v>324</v>
      </c>
      <c r="L7" s="226" t="str">
        <f>'Introducció dades'!D142</f>
        <v>MENSUAL</v>
      </c>
      <c r="M7" s="957">
        <f>IF(L7="MENSUAL",12)+IF(L7="BIMENSUAL",6)+IF(L7="TRIMESTRAL",4)+IF(L7="CUATRIMESTRAL",3)+IF(L7="SEMESTRAL",2)+IF(L7="ANUAL",1)</f>
        <v>12</v>
      </c>
      <c r="T7" s="950" t="s">
        <v>324</v>
      </c>
      <c r="U7" s="226" t="str">
        <f>'Introducció dades'!E142</f>
        <v>MENSUAL</v>
      </c>
      <c r="V7" s="957">
        <f>IF(U7="MENSUAL",12)+IF(U7="BIMENSUAL",6)+IF(U7="TRIMESTRAL",4)+IF(U7="CUATRIMESTRAL",3)+IF(U7="SEMESTRAL",2)+IF(U7="ANUAL",1)</f>
        <v>12</v>
      </c>
      <c r="AB7" s="958" t="s">
        <v>272</v>
      </c>
      <c r="AC7" s="959">
        <f>AC5-AC6</f>
        <v>0</v>
      </c>
      <c r="AD7" s="960">
        <f t="shared" ref="AD7:BL7" si="2">AD5-AD6</f>
        <v>0</v>
      </c>
      <c r="AE7" s="960">
        <f t="shared" si="2"/>
        <v>0</v>
      </c>
      <c r="AF7" s="960">
        <f t="shared" si="2"/>
        <v>0</v>
      </c>
      <c r="AG7" s="960">
        <f t="shared" si="2"/>
        <v>0</v>
      </c>
      <c r="AH7" s="960">
        <f t="shared" si="2"/>
        <v>0</v>
      </c>
      <c r="AI7" s="960">
        <f t="shared" si="2"/>
        <v>0</v>
      </c>
      <c r="AJ7" s="960">
        <f t="shared" si="2"/>
        <v>0</v>
      </c>
      <c r="AK7" s="960">
        <f t="shared" si="2"/>
        <v>0</v>
      </c>
      <c r="AL7" s="960">
        <f t="shared" si="2"/>
        <v>0</v>
      </c>
      <c r="AM7" s="960">
        <f t="shared" si="2"/>
        <v>0</v>
      </c>
      <c r="AN7" s="961">
        <f t="shared" si="2"/>
        <v>0</v>
      </c>
      <c r="AO7" s="959">
        <f t="shared" si="2"/>
        <v>0</v>
      </c>
      <c r="AP7" s="960">
        <f t="shared" si="2"/>
        <v>0</v>
      </c>
      <c r="AQ7" s="960">
        <f t="shared" si="2"/>
        <v>0</v>
      </c>
      <c r="AR7" s="960">
        <f t="shared" si="2"/>
        <v>0</v>
      </c>
      <c r="AS7" s="960">
        <f t="shared" si="2"/>
        <v>0</v>
      </c>
      <c r="AT7" s="960">
        <f t="shared" si="2"/>
        <v>0</v>
      </c>
      <c r="AU7" s="960">
        <f t="shared" si="2"/>
        <v>0</v>
      </c>
      <c r="AV7" s="960">
        <f t="shared" si="2"/>
        <v>0</v>
      </c>
      <c r="AW7" s="960">
        <f t="shared" si="2"/>
        <v>0</v>
      </c>
      <c r="AX7" s="960">
        <f t="shared" si="2"/>
        <v>0</v>
      </c>
      <c r="AY7" s="960">
        <f t="shared" si="2"/>
        <v>0</v>
      </c>
      <c r="AZ7" s="961">
        <f t="shared" si="2"/>
        <v>0</v>
      </c>
      <c r="BA7" s="959">
        <f t="shared" si="2"/>
        <v>0</v>
      </c>
      <c r="BB7" s="960">
        <f t="shared" si="2"/>
        <v>0</v>
      </c>
      <c r="BC7" s="960">
        <f t="shared" si="2"/>
        <v>0</v>
      </c>
      <c r="BD7" s="960">
        <f t="shared" si="2"/>
        <v>0</v>
      </c>
      <c r="BE7" s="960">
        <f t="shared" si="2"/>
        <v>0</v>
      </c>
      <c r="BF7" s="960">
        <f t="shared" si="2"/>
        <v>0</v>
      </c>
      <c r="BG7" s="960">
        <f t="shared" si="2"/>
        <v>0</v>
      </c>
      <c r="BH7" s="960">
        <f t="shared" si="2"/>
        <v>0</v>
      </c>
      <c r="BI7" s="960">
        <f t="shared" si="2"/>
        <v>0</v>
      </c>
      <c r="BJ7" s="960">
        <f t="shared" si="2"/>
        <v>0</v>
      </c>
      <c r="BK7" s="960">
        <f t="shared" si="2"/>
        <v>0</v>
      </c>
      <c r="BL7" s="961">
        <f t="shared" si="2"/>
        <v>0</v>
      </c>
    </row>
    <row r="8" spans="1:64" ht="13" x14ac:dyDescent="0.3">
      <c r="B8" s="962" t="s">
        <v>325</v>
      </c>
      <c r="C8" s="963">
        <f>-PMT(D4,D5,C3)</f>
        <v>0</v>
      </c>
      <c r="D8" s="964"/>
      <c r="K8" s="962" t="s">
        <v>325</v>
      </c>
      <c r="L8" s="963">
        <f>-PMT(M4,M5,L3)</f>
        <v>0</v>
      </c>
      <c r="M8" s="964"/>
      <c r="T8" s="962" t="s">
        <v>325</v>
      </c>
      <c r="U8" s="963">
        <f>-PMT(V4,V5,U3)</f>
        <v>0</v>
      </c>
      <c r="V8" s="964"/>
      <c r="AC8" s="12"/>
      <c r="AD8" s="12"/>
      <c r="AE8" s="12"/>
      <c r="AF8" s="12"/>
      <c r="AG8" s="12"/>
      <c r="AH8" s="12"/>
      <c r="AI8" s="12"/>
      <c r="AJ8" s="12"/>
      <c r="AK8" s="12"/>
      <c r="AL8" s="12"/>
      <c r="AM8" s="12"/>
      <c r="AN8" s="12"/>
      <c r="AO8" s="965">
        <f>$L14</f>
        <v>0</v>
      </c>
      <c r="AP8" s="966">
        <f>$L15</f>
        <v>0</v>
      </c>
      <c r="AQ8" s="966">
        <f>$L16</f>
        <v>0</v>
      </c>
      <c r="AR8" s="966">
        <f>$L17</f>
        <v>0</v>
      </c>
      <c r="AS8" s="966">
        <f>$L18</f>
        <v>0</v>
      </c>
      <c r="AT8" s="966">
        <f>$L19</f>
        <v>0</v>
      </c>
      <c r="AU8" s="966">
        <f>$L20</f>
        <v>0</v>
      </c>
      <c r="AV8" s="966">
        <f>$L21</f>
        <v>0</v>
      </c>
      <c r="AW8" s="966">
        <f>$L22</f>
        <v>0</v>
      </c>
      <c r="AX8" s="966">
        <f>$L23</f>
        <v>0</v>
      </c>
      <c r="AY8" s="966">
        <f>$L24</f>
        <v>0</v>
      </c>
      <c r="AZ8" s="967">
        <f>$L25</f>
        <v>0</v>
      </c>
      <c r="BA8" s="965">
        <f>$L26</f>
        <v>0</v>
      </c>
      <c r="BB8" s="966">
        <f>$L27</f>
        <v>0</v>
      </c>
      <c r="BC8" s="966">
        <f>$L28</f>
        <v>0</v>
      </c>
      <c r="BD8" s="966">
        <f>$L29</f>
        <v>0</v>
      </c>
      <c r="BE8" s="966">
        <f>$L30</f>
        <v>0</v>
      </c>
      <c r="BF8" s="966">
        <f>$L31</f>
        <v>0</v>
      </c>
      <c r="BG8" s="966">
        <f>$L32</f>
        <v>0</v>
      </c>
      <c r="BH8" s="966">
        <f>$L33</f>
        <v>0</v>
      </c>
      <c r="BI8" s="966">
        <f>$L34</f>
        <v>0</v>
      </c>
      <c r="BJ8" s="966">
        <f>$L35</f>
        <v>0</v>
      </c>
      <c r="BK8" s="966">
        <f>$L36</f>
        <v>0</v>
      </c>
      <c r="BL8" s="967">
        <f>$L37</f>
        <v>0</v>
      </c>
    </row>
    <row r="9" spans="1:64" ht="13" x14ac:dyDescent="0.3">
      <c r="B9" s="968"/>
      <c r="C9" s="226"/>
      <c r="AC9" s="12"/>
      <c r="AD9" s="12"/>
      <c r="AE9" s="12"/>
      <c r="AF9" s="12"/>
      <c r="AG9" s="12"/>
      <c r="AH9" s="12"/>
      <c r="AI9" s="12"/>
      <c r="AJ9" s="12"/>
      <c r="AK9" s="12"/>
      <c r="AL9" s="12"/>
      <c r="AM9" s="12"/>
      <c r="AN9" s="12"/>
      <c r="AO9" s="969">
        <f>$N14</f>
        <v>0</v>
      </c>
      <c r="AP9" s="970">
        <f>$N15</f>
        <v>0</v>
      </c>
      <c r="AQ9" s="970">
        <f>$N16</f>
        <v>0</v>
      </c>
      <c r="AR9" s="970">
        <f>$N17</f>
        <v>0</v>
      </c>
      <c r="AS9" s="970">
        <f>$N18</f>
        <v>0</v>
      </c>
      <c r="AT9" s="970">
        <f>$N19</f>
        <v>0</v>
      </c>
      <c r="AU9" s="970">
        <f>$N20</f>
        <v>0</v>
      </c>
      <c r="AV9" s="970">
        <f>$N21</f>
        <v>0</v>
      </c>
      <c r="AW9" s="970">
        <f>$N22</f>
        <v>0</v>
      </c>
      <c r="AX9" s="970">
        <f>$N23</f>
        <v>0</v>
      </c>
      <c r="AY9" s="970">
        <f>$N24</f>
        <v>0</v>
      </c>
      <c r="AZ9" s="971">
        <f>$N25</f>
        <v>0</v>
      </c>
      <c r="BA9" s="969">
        <f>$N26</f>
        <v>0</v>
      </c>
      <c r="BB9" s="970">
        <f>$N27</f>
        <v>0</v>
      </c>
      <c r="BC9" s="970">
        <f>$N28</f>
        <v>0</v>
      </c>
      <c r="BD9" s="970">
        <f>$N29</f>
        <v>0</v>
      </c>
      <c r="BE9" s="970">
        <f>$N30</f>
        <v>0</v>
      </c>
      <c r="BF9" s="970">
        <f>$N31</f>
        <v>0</v>
      </c>
      <c r="BG9" s="970">
        <f>$N32</f>
        <v>0</v>
      </c>
      <c r="BH9" s="970">
        <f>$N33</f>
        <v>0</v>
      </c>
      <c r="BI9" s="970">
        <f>$N34</f>
        <v>0</v>
      </c>
      <c r="BJ9" s="970">
        <f>$N35</f>
        <v>0</v>
      </c>
      <c r="BK9" s="970">
        <f>$N36</f>
        <v>0</v>
      </c>
      <c r="BL9" s="971">
        <f>$N37</f>
        <v>0</v>
      </c>
    </row>
    <row r="10" spans="1:64" ht="13" x14ac:dyDescent="0.3">
      <c r="AC10" s="12"/>
      <c r="AD10" s="12"/>
      <c r="AE10" s="12"/>
      <c r="AF10" s="12"/>
      <c r="AG10" s="12"/>
      <c r="AH10" s="12"/>
      <c r="AI10" s="12"/>
      <c r="AJ10" s="12"/>
      <c r="AK10" s="12"/>
      <c r="AL10" s="12"/>
      <c r="AM10" s="12"/>
      <c r="AN10" s="12"/>
      <c r="AO10" s="969">
        <f>K14</f>
        <v>0</v>
      </c>
      <c r="AP10" s="970">
        <f>AO10-AP9</f>
        <v>0</v>
      </c>
      <c r="AQ10" s="970">
        <f t="shared" ref="AQ10:BL10" si="3">AP10-AQ9</f>
        <v>0</v>
      </c>
      <c r="AR10" s="970">
        <f t="shared" si="3"/>
        <v>0</v>
      </c>
      <c r="AS10" s="970">
        <f t="shared" si="3"/>
        <v>0</v>
      </c>
      <c r="AT10" s="970">
        <f t="shared" si="3"/>
        <v>0</v>
      </c>
      <c r="AU10" s="970">
        <f t="shared" si="3"/>
        <v>0</v>
      </c>
      <c r="AV10" s="970">
        <f t="shared" si="3"/>
        <v>0</v>
      </c>
      <c r="AW10" s="970">
        <f t="shared" si="3"/>
        <v>0</v>
      </c>
      <c r="AX10" s="970">
        <f t="shared" si="3"/>
        <v>0</v>
      </c>
      <c r="AY10" s="970">
        <f t="shared" si="3"/>
        <v>0</v>
      </c>
      <c r="AZ10" s="971">
        <f t="shared" si="3"/>
        <v>0</v>
      </c>
      <c r="BA10" s="969">
        <f t="shared" si="3"/>
        <v>0</v>
      </c>
      <c r="BB10" s="970">
        <f t="shared" si="3"/>
        <v>0</v>
      </c>
      <c r="BC10" s="970">
        <f t="shared" si="3"/>
        <v>0</v>
      </c>
      <c r="BD10" s="970">
        <f t="shared" si="3"/>
        <v>0</v>
      </c>
      <c r="BE10" s="970">
        <f t="shared" si="3"/>
        <v>0</v>
      </c>
      <c r="BF10" s="970">
        <f t="shared" si="3"/>
        <v>0</v>
      </c>
      <c r="BG10" s="970">
        <f t="shared" si="3"/>
        <v>0</v>
      </c>
      <c r="BH10" s="970">
        <f t="shared" si="3"/>
        <v>0</v>
      </c>
      <c r="BI10" s="970">
        <f t="shared" si="3"/>
        <v>0</v>
      </c>
      <c r="BJ10" s="970">
        <f t="shared" si="3"/>
        <v>0</v>
      </c>
      <c r="BK10" s="970">
        <f t="shared" si="3"/>
        <v>0</v>
      </c>
      <c r="BL10" s="971">
        <f t="shared" si="3"/>
        <v>0</v>
      </c>
    </row>
    <row r="11" spans="1:64" ht="13" x14ac:dyDescent="0.3">
      <c r="AC11" s="12"/>
      <c r="AD11" s="12"/>
      <c r="AE11" s="12"/>
      <c r="AF11" s="12"/>
      <c r="AG11" s="12"/>
      <c r="AH11" s="12"/>
      <c r="AI11" s="12"/>
      <c r="AJ11" s="12"/>
      <c r="AK11" s="12"/>
      <c r="AL11" s="12"/>
      <c r="AM11" s="12"/>
      <c r="AN11" s="12"/>
      <c r="AO11" s="969">
        <f>$K26</f>
        <v>0</v>
      </c>
      <c r="AP11" s="970">
        <f>$K27</f>
        <v>0</v>
      </c>
      <c r="AQ11" s="970">
        <f>$K28</f>
        <v>0</v>
      </c>
      <c r="AR11" s="970">
        <f>$K29</f>
        <v>0</v>
      </c>
      <c r="AS11" s="970">
        <f>$K30</f>
        <v>0</v>
      </c>
      <c r="AT11" s="970">
        <f>$K31</f>
        <v>0</v>
      </c>
      <c r="AU11" s="970">
        <f>$K32</f>
        <v>0</v>
      </c>
      <c r="AV11" s="970">
        <f>$K33</f>
        <v>0</v>
      </c>
      <c r="AW11" s="970">
        <f>$K34</f>
        <v>0</v>
      </c>
      <c r="AX11" s="970">
        <f>$K35</f>
        <v>0</v>
      </c>
      <c r="AY11" s="970">
        <f>$K36</f>
        <v>0</v>
      </c>
      <c r="AZ11" s="971">
        <f>$K37</f>
        <v>0</v>
      </c>
      <c r="BA11" s="969">
        <f>$K38</f>
        <v>0</v>
      </c>
      <c r="BB11" s="970">
        <f>$K39</f>
        <v>0</v>
      </c>
      <c r="BC11" s="970">
        <f>$K40</f>
        <v>0</v>
      </c>
      <c r="BD11" s="970">
        <f>$K41</f>
        <v>0</v>
      </c>
      <c r="BE11" s="970">
        <f>$K42</f>
        <v>0</v>
      </c>
      <c r="BF11" s="970">
        <f>$K43</f>
        <v>0</v>
      </c>
      <c r="BG11" s="970">
        <f>$K44</f>
        <v>0</v>
      </c>
      <c r="BH11" s="970">
        <f>$K45</f>
        <v>0</v>
      </c>
      <c r="BI11" s="970">
        <f>$K46</f>
        <v>0</v>
      </c>
      <c r="BJ11" s="970">
        <f>$K47</f>
        <v>0</v>
      </c>
      <c r="BK11" s="970">
        <f>$K48</f>
        <v>0</v>
      </c>
      <c r="BL11" s="971">
        <f>$K49</f>
        <v>0</v>
      </c>
    </row>
    <row r="12" spans="1:64" ht="13" x14ac:dyDescent="0.3">
      <c r="A12" s="972" t="s">
        <v>267</v>
      </c>
      <c r="B12" s="973" t="s">
        <v>326</v>
      </c>
      <c r="C12" s="972" t="s">
        <v>327</v>
      </c>
      <c r="D12" s="974" t="s">
        <v>328</v>
      </c>
      <c r="E12" s="972" t="s">
        <v>329</v>
      </c>
      <c r="F12" s="974" t="s">
        <v>330</v>
      </c>
      <c r="G12" s="972" t="s">
        <v>331</v>
      </c>
      <c r="H12" s="972" t="s">
        <v>267</v>
      </c>
      <c r="J12" s="972" t="s">
        <v>267</v>
      </c>
      <c r="K12" s="973" t="s">
        <v>326</v>
      </c>
      <c r="L12" s="972" t="s">
        <v>327</v>
      </c>
      <c r="M12" s="974" t="s">
        <v>328</v>
      </c>
      <c r="N12" s="972" t="s">
        <v>329</v>
      </c>
      <c r="O12" s="974" t="s">
        <v>330</v>
      </c>
      <c r="P12" s="972" t="s">
        <v>331</v>
      </c>
      <c r="Q12" s="972" t="s">
        <v>267</v>
      </c>
      <c r="S12" s="972" t="s">
        <v>267</v>
      </c>
      <c r="T12" s="973" t="s">
        <v>326</v>
      </c>
      <c r="U12" s="972" t="s">
        <v>327</v>
      </c>
      <c r="V12" s="974" t="s">
        <v>328</v>
      </c>
      <c r="W12" s="972" t="s">
        <v>329</v>
      </c>
      <c r="X12" s="974" t="s">
        <v>330</v>
      </c>
      <c r="Y12" s="972" t="s">
        <v>331</v>
      </c>
      <c r="Z12" s="972" t="s">
        <v>267</v>
      </c>
      <c r="AC12" s="12"/>
      <c r="AD12" s="12"/>
      <c r="AE12" s="12"/>
      <c r="AF12" s="12"/>
      <c r="AG12" s="12"/>
      <c r="AH12" s="12"/>
      <c r="AI12" s="12"/>
      <c r="AJ12" s="12"/>
      <c r="AK12" s="12"/>
      <c r="AL12" s="12"/>
      <c r="AM12" s="12"/>
      <c r="AN12" s="12"/>
      <c r="AO12" s="975">
        <f>AO10-AO11</f>
        <v>0</v>
      </c>
      <c r="AP12" s="976">
        <f t="shared" ref="AP12:BL12" si="4">AP10-AP11</f>
        <v>0</v>
      </c>
      <c r="AQ12" s="976">
        <f t="shared" si="4"/>
        <v>0</v>
      </c>
      <c r="AR12" s="976">
        <f t="shared" si="4"/>
        <v>0</v>
      </c>
      <c r="AS12" s="976">
        <f t="shared" si="4"/>
        <v>0</v>
      </c>
      <c r="AT12" s="976">
        <f t="shared" si="4"/>
        <v>0</v>
      </c>
      <c r="AU12" s="976">
        <f t="shared" si="4"/>
        <v>0</v>
      </c>
      <c r="AV12" s="976">
        <f t="shared" si="4"/>
        <v>0</v>
      </c>
      <c r="AW12" s="976">
        <f t="shared" si="4"/>
        <v>0</v>
      </c>
      <c r="AX12" s="976">
        <f t="shared" si="4"/>
        <v>0</v>
      </c>
      <c r="AY12" s="976">
        <f t="shared" si="4"/>
        <v>0</v>
      </c>
      <c r="AZ12" s="977">
        <f t="shared" si="4"/>
        <v>0</v>
      </c>
      <c r="BA12" s="975">
        <f t="shared" si="4"/>
        <v>0</v>
      </c>
      <c r="BB12" s="976">
        <f t="shared" si="4"/>
        <v>0</v>
      </c>
      <c r="BC12" s="976">
        <f t="shared" si="4"/>
        <v>0</v>
      </c>
      <c r="BD12" s="976">
        <f t="shared" si="4"/>
        <v>0</v>
      </c>
      <c r="BE12" s="976">
        <f t="shared" si="4"/>
        <v>0</v>
      </c>
      <c r="BF12" s="976">
        <f t="shared" si="4"/>
        <v>0</v>
      </c>
      <c r="BG12" s="976">
        <f t="shared" si="4"/>
        <v>0</v>
      </c>
      <c r="BH12" s="976">
        <f t="shared" si="4"/>
        <v>0</v>
      </c>
      <c r="BI12" s="976">
        <f t="shared" si="4"/>
        <v>0</v>
      </c>
      <c r="BJ12" s="976">
        <f t="shared" si="4"/>
        <v>0</v>
      </c>
      <c r="BK12" s="976">
        <f t="shared" si="4"/>
        <v>0</v>
      </c>
      <c r="BL12" s="977">
        <f t="shared" si="4"/>
        <v>0</v>
      </c>
    </row>
    <row r="13" spans="1:64" ht="13" x14ac:dyDescent="0.3">
      <c r="A13" s="978">
        <v>0</v>
      </c>
      <c r="B13" s="979">
        <f>C3</f>
        <v>0</v>
      </c>
      <c r="C13" s="980"/>
      <c r="D13" s="981"/>
      <c r="E13" s="980"/>
      <c r="F13" s="981"/>
      <c r="G13" s="980"/>
      <c r="H13" s="978"/>
      <c r="J13" s="978">
        <v>0</v>
      </c>
      <c r="K13" s="979">
        <f>L3</f>
        <v>0</v>
      </c>
      <c r="L13" s="980"/>
      <c r="M13" s="981"/>
      <c r="N13" s="980"/>
      <c r="O13" s="981"/>
      <c r="P13" s="980"/>
      <c r="Q13" s="978"/>
      <c r="S13" s="978">
        <v>0</v>
      </c>
      <c r="T13" s="979">
        <f>U3</f>
        <v>0</v>
      </c>
      <c r="U13" s="980"/>
      <c r="V13" s="981"/>
      <c r="W13" s="980"/>
      <c r="X13" s="981"/>
      <c r="Y13" s="980"/>
      <c r="Z13" s="978"/>
      <c r="AC13" s="12"/>
      <c r="AD13" s="12"/>
      <c r="AE13" s="12"/>
      <c r="AF13" s="12"/>
      <c r="AG13" s="12"/>
      <c r="AH13" s="12"/>
      <c r="AI13" s="12"/>
      <c r="AJ13" s="12"/>
      <c r="AK13" s="12"/>
      <c r="AL13" s="12"/>
      <c r="AM13" s="12"/>
      <c r="AN13" s="12"/>
      <c r="AO13" s="982">
        <f>AO3+AO8</f>
        <v>0</v>
      </c>
      <c r="AP13" s="983">
        <f t="shared" ref="AP13:AZ13" si="5">AP3+AP8</f>
        <v>0</v>
      </c>
      <c r="AQ13" s="983">
        <f t="shared" si="5"/>
        <v>0</v>
      </c>
      <c r="AR13" s="983">
        <f t="shared" si="5"/>
        <v>0</v>
      </c>
      <c r="AS13" s="983">
        <f t="shared" si="5"/>
        <v>0</v>
      </c>
      <c r="AT13" s="983">
        <f t="shared" si="5"/>
        <v>0</v>
      </c>
      <c r="AU13" s="983">
        <f t="shared" si="5"/>
        <v>0</v>
      </c>
      <c r="AV13" s="983">
        <f t="shared" si="5"/>
        <v>0</v>
      </c>
      <c r="AW13" s="983">
        <f t="shared" si="5"/>
        <v>0</v>
      </c>
      <c r="AX13" s="983">
        <f t="shared" si="5"/>
        <v>0</v>
      </c>
      <c r="AY13" s="983">
        <f t="shared" si="5"/>
        <v>0</v>
      </c>
      <c r="AZ13" s="984">
        <f t="shared" si="5"/>
        <v>0</v>
      </c>
      <c r="BA13" s="985">
        <f>$U14</f>
        <v>0</v>
      </c>
      <c r="BB13" s="986">
        <f>$U15</f>
        <v>0</v>
      </c>
      <c r="BC13" s="986">
        <f>$U16</f>
        <v>0</v>
      </c>
      <c r="BD13" s="986">
        <f>$U17</f>
        <v>0</v>
      </c>
      <c r="BE13" s="986">
        <f>$U18</f>
        <v>0</v>
      </c>
      <c r="BF13" s="986">
        <f>$U19</f>
        <v>0</v>
      </c>
      <c r="BG13" s="986">
        <f>$U20</f>
        <v>0</v>
      </c>
      <c r="BH13" s="986">
        <f>$U21</f>
        <v>0</v>
      </c>
      <c r="BI13" s="986">
        <f>$U22</f>
        <v>0</v>
      </c>
      <c r="BJ13" s="986">
        <f>$U23</f>
        <v>0</v>
      </c>
      <c r="BK13" s="986">
        <f>$U24</f>
        <v>0</v>
      </c>
      <c r="BL13" s="987">
        <f>$U25</f>
        <v>0</v>
      </c>
    </row>
    <row r="14" spans="1:64" ht="13" x14ac:dyDescent="0.3">
      <c r="A14" s="988">
        <f>A13+1</f>
        <v>1</v>
      </c>
      <c r="B14" s="989">
        <f t="shared" ref="B14:B77" si="6">IF(B13&lt;1,0,B13-E14)</f>
        <v>0</v>
      </c>
      <c r="C14" s="785">
        <f>B13*$D$4</f>
        <v>0</v>
      </c>
      <c r="D14" s="990">
        <f t="shared" ref="D14:D77" si="7">IF(B14=0,0,D13+C14)</f>
        <v>0</v>
      </c>
      <c r="E14" s="785">
        <f t="shared" ref="E14:E19" si="8">IF(OR(C$6&gt;0,C14&lt;0.01),0,C$8-C14)</f>
        <v>0</v>
      </c>
      <c r="F14" s="990">
        <f t="shared" ref="F14:F45" si="9">IF(D14=0,0,F13+E14)</f>
        <v>0</v>
      </c>
      <c r="G14" s="785">
        <f>C$8*H14</f>
        <v>0</v>
      </c>
      <c r="H14" s="988">
        <f>IF(E14=0,0,A14-D$6)</f>
        <v>0</v>
      </c>
      <c r="J14" s="988">
        <f>J13+1</f>
        <v>1</v>
      </c>
      <c r="K14" s="989">
        <f t="shared" ref="K14:K77" si="10">IF(K13&lt;1,0,K13-N14)</f>
        <v>0</v>
      </c>
      <c r="L14" s="785">
        <f>K13*$M$4</f>
        <v>0</v>
      </c>
      <c r="M14" s="990">
        <f t="shared" ref="M14:M77" si="11">IF(K14=0,0,M13+L14)</f>
        <v>0</v>
      </c>
      <c r="N14" s="785">
        <f t="shared" ref="N14:N19" si="12">IF(OR(L$6&gt;0,L14&lt;1),0,L$8-L14)</f>
        <v>0</v>
      </c>
      <c r="O14" s="990">
        <f t="shared" ref="O14:O45" si="13">IF(M14=0,0,O13+N14)</f>
        <v>0</v>
      </c>
      <c r="P14" s="785">
        <f>L$8*Q14</f>
        <v>0</v>
      </c>
      <c r="Q14" s="988">
        <f>IF(N14=0,0,J14-M$6)</f>
        <v>0</v>
      </c>
      <c r="S14" s="988">
        <f>S13+1</f>
        <v>1</v>
      </c>
      <c r="T14" s="989">
        <f t="shared" ref="T14:T77" si="14">IF(T13&lt;1,0,T13-W14)</f>
        <v>0</v>
      </c>
      <c r="U14" s="785">
        <f>T13*$V$4</f>
        <v>0</v>
      </c>
      <c r="V14" s="990">
        <f t="shared" ref="V14:V77" si="15">IF(T14=0,0,V13+U14)</f>
        <v>0</v>
      </c>
      <c r="W14" s="785">
        <f t="shared" ref="W14:W19" si="16">IF(OR(U$6&gt;0,U14&lt;1),0,U$8-U14)</f>
        <v>0</v>
      </c>
      <c r="X14" s="990">
        <f t="shared" ref="X14:X45" si="17">IF(V14=0,0,X13+W14)</f>
        <v>0</v>
      </c>
      <c r="Y14" s="785">
        <f>U$8*Z14</f>
        <v>0</v>
      </c>
      <c r="Z14" s="988">
        <f>IF(W14=0,0,S14-V$6)</f>
        <v>0</v>
      </c>
      <c r="AC14" s="12"/>
      <c r="AD14" s="12"/>
      <c r="AE14" s="12"/>
      <c r="AF14" s="12"/>
      <c r="AG14" s="12"/>
      <c r="AH14" s="12"/>
      <c r="AI14" s="12"/>
      <c r="AJ14" s="12"/>
      <c r="AK14" s="12"/>
      <c r="AL14" s="12"/>
      <c r="AM14" s="12"/>
      <c r="AN14" s="12"/>
      <c r="AO14" s="991">
        <f t="shared" ref="AO14:AZ17" si="18">AO4+AO9</f>
        <v>0</v>
      </c>
      <c r="AP14" s="992">
        <f t="shared" si="18"/>
        <v>0</v>
      </c>
      <c r="AQ14" s="992">
        <f t="shared" si="18"/>
        <v>0</v>
      </c>
      <c r="AR14" s="992">
        <f t="shared" si="18"/>
        <v>0</v>
      </c>
      <c r="AS14" s="992">
        <f t="shared" si="18"/>
        <v>0</v>
      </c>
      <c r="AT14" s="992">
        <f t="shared" si="18"/>
        <v>0</v>
      </c>
      <c r="AU14" s="992">
        <f t="shared" si="18"/>
        <v>0</v>
      </c>
      <c r="AV14" s="992">
        <f t="shared" si="18"/>
        <v>0</v>
      </c>
      <c r="AW14" s="992">
        <f t="shared" si="18"/>
        <v>0</v>
      </c>
      <c r="AX14" s="992">
        <f t="shared" si="18"/>
        <v>0</v>
      </c>
      <c r="AY14" s="992">
        <f t="shared" si="18"/>
        <v>0</v>
      </c>
      <c r="AZ14" s="993">
        <f t="shared" si="18"/>
        <v>0</v>
      </c>
      <c r="BA14" s="994">
        <f>$W14</f>
        <v>0</v>
      </c>
      <c r="BB14" s="881">
        <f>$W15</f>
        <v>0</v>
      </c>
      <c r="BC14" s="881">
        <f>$W16</f>
        <v>0</v>
      </c>
      <c r="BD14" s="881">
        <f>$W17</f>
        <v>0</v>
      </c>
      <c r="BE14" s="881">
        <f>$W18</f>
        <v>0</v>
      </c>
      <c r="BF14" s="881">
        <f>$W19</f>
        <v>0</v>
      </c>
      <c r="BG14" s="881">
        <f>$W20</f>
        <v>0</v>
      </c>
      <c r="BH14" s="881">
        <f>$W21</f>
        <v>0</v>
      </c>
      <c r="BI14" s="881">
        <f>$W22</f>
        <v>0</v>
      </c>
      <c r="BJ14" s="881">
        <f>$W23</f>
        <v>0</v>
      </c>
      <c r="BK14" s="881">
        <f>$W24</f>
        <v>0</v>
      </c>
      <c r="BL14" s="995">
        <f>$W25</f>
        <v>0</v>
      </c>
    </row>
    <row r="15" spans="1:64" ht="13" x14ac:dyDescent="0.3">
      <c r="A15" s="988">
        <v>2</v>
      </c>
      <c r="B15" s="989">
        <f t="shared" si="6"/>
        <v>0</v>
      </c>
      <c r="C15" s="785">
        <f>IF(+$D$7=4,0,B14*$D$4)</f>
        <v>0</v>
      </c>
      <c r="D15" s="990">
        <f t="shared" si="7"/>
        <v>0</v>
      </c>
      <c r="E15" s="785">
        <f t="shared" si="8"/>
        <v>0</v>
      </c>
      <c r="F15" s="990">
        <f t="shared" si="9"/>
        <v>0</v>
      </c>
      <c r="G15" s="785">
        <f t="shared" ref="G15:G78" si="19">C$8*H15</f>
        <v>0</v>
      </c>
      <c r="H15" s="988">
        <f t="shared" ref="H15:H78" si="20">IF(E15=0,0,A15-D$6)</f>
        <v>0</v>
      </c>
      <c r="J15" s="988">
        <v>2</v>
      </c>
      <c r="K15" s="989">
        <f t="shared" si="10"/>
        <v>0</v>
      </c>
      <c r="L15" s="785">
        <f>IF(+$M$7=4,0,K14*$M$4)</f>
        <v>0</v>
      </c>
      <c r="M15" s="990">
        <f t="shared" si="11"/>
        <v>0</v>
      </c>
      <c r="N15" s="785">
        <f t="shared" si="12"/>
        <v>0</v>
      </c>
      <c r="O15" s="990">
        <f t="shared" si="13"/>
        <v>0</v>
      </c>
      <c r="P15" s="785">
        <f t="shared" ref="P15:P78" si="21">L$8*Q15</f>
        <v>0</v>
      </c>
      <c r="Q15" s="988">
        <f t="shared" ref="Q15:Q78" si="22">IF(N15=0,0,J15-M$6)</f>
        <v>0</v>
      </c>
      <c r="S15" s="988">
        <v>2</v>
      </c>
      <c r="T15" s="989">
        <f t="shared" si="14"/>
        <v>0</v>
      </c>
      <c r="U15" s="785">
        <f>IF(+$V$7=4,0,T14*$V$4)</f>
        <v>0</v>
      </c>
      <c r="V15" s="990">
        <f t="shared" si="15"/>
        <v>0</v>
      </c>
      <c r="W15" s="785">
        <f t="shared" si="16"/>
        <v>0</v>
      </c>
      <c r="X15" s="990">
        <f t="shared" si="17"/>
        <v>0</v>
      </c>
      <c r="Y15" s="785">
        <f t="shared" ref="Y15:Y78" si="23">U$8*Z15</f>
        <v>0</v>
      </c>
      <c r="Z15" s="988">
        <f t="shared" ref="Z15:Z78" si="24">IF(W15=0,0,S15-V$6)</f>
        <v>0</v>
      </c>
      <c r="AC15" s="12"/>
      <c r="AD15" s="12"/>
      <c r="AE15" s="12"/>
      <c r="AF15" s="12"/>
      <c r="AG15" s="12"/>
      <c r="AH15" s="12"/>
      <c r="AI15" s="12"/>
      <c r="AJ15" s="12"/>
      <c r="AK15" s="12"/>
      <c r="AL15" s="12"/>
      <c r="AM15" s="12"/>
      <c r="AN15" s="12"/>
      <c r="AO15" s="991">
        <f t="shared" si="18"/>
        <v>0</v>
      </c>
      <c r="AP15" s="992">
        <f t="shared" si="18"/>
        <v>0</v>
      </c>
      <c r="AQ15" s="992">
        <f t="shared" si="18"/>
        <v>0</v>
      </c>
      <c r="AR15" s="992">
        <f t="shared" si="18"/>
        <v>0</v>
      </c>
      <c r="AS15" s="992">
        <f t="shared" si="18"/>
        <v>0</v>
      </c>
      <c r="AT15" s="992">
        <f t="shared" si="18"/>
        <v>0</v>
      </c>
      <c r="AU15" s="992">
        <f t="shared" si="18"/>
        <v>0</v>
      </c>
      <c r="AV15" s="992">
        <f t="shared" si="18"/>
        <v>0</v>
      </c>
      <c r="AW15" s="992">
        <f t="shared" si="18"/>
        <v>0</v>
      </c>
      <c r="AX15" s="992">
        <f t="shared" si="18"/>
        <v>0</v>
      </c>
      <c r="AY15" s="992">
        <f t="shared" si="18"/>
        <v>0</v>
      </c>
      <c r="AZ15" s="993">
        <f t="shared" si="18"/>
        <v>0</v>
      </c>
      <c r="BA15" s="994">
        <f>T14</f>
        <v>0</v>
      </c>
      <c r="BB15" s="881">
        <f>BA15-BB14</f>
        <v>0</v>
      </c>
      <c r="BC15" s="881">
        <f t="shared" ref="BC15:BL15" si="25">BB15-BC14</f>
        <v>0</v>
      </c>
      <c r="BD15" s="881">
        <f t="shared" si="25"/>
        <v>0</v>
      </c>
      <c r="BE15" s="881">
        <f t="shared" si="25"/>
        <v>0</v>
      </c>
      <c r="BF15" s="881">
        <f t="shared" si="25"/>
        <v>0</v>
      </c>
      <c r="BG15" s="881">
        <f t="shared" si="25"/>
        <v>0</v>
      </c>
      <c r="BH15" s="881">
        <f t="shared" si="25"/>
        <v>0</v>
      </c>
      <c r="BI15" s="881">
        <f t="shared" si="25"/>
        <v>0</v>
      </c>
      <c r="BJ15" s="881">
        <f t="shared" si="25"/>
        <v>0</v>
      </c>
      <c r="BK15" s="881">
        <f t="shared" si="25"/>
        <v>0</v>
      </c>
      <c r="BL15" s="995">
        <f t="shared" si="25"/>
        <v>0</v>
      </c>
    </row>
    <row r="16" spans="1:64" ht="13" x14ac:dyDescent="0.3">
      <c r="A16" s="988">
        <v>3</v>
      </c>
      <c r="B16" s="989">
        <f t="shared" si="6"/>
        <v>0</v>
      </c>
      <c r="C16" s="785">
        <f>IF(+$D$7=4,0,B15*$D$4)</f>
        <v>0</v>
      </c>
      <c r="D16" s="990">
        <f t="shared" si="7"/>
        <v>0</v>
      </c>
      <c r="E16" s="785">
        <f t="shared" si="8"/>
        <v>0</v>
      </c>
      <c r="F16" s="990">
        <f t="shared" si="9"/>
        <v>0</v>
      </c>
      <c r="G16" s="785">
        <f t="shared" si="19"/>
        <v>0</v>
      </c>
      <c r="H16" s="988">
        <f t="shared" si="20"/>
        <v>0</v>
      </c>
      <c r="J16" s="988">
        <v>3</v>
      </c>
      <c r="K16" s="989">
        <f t="shared" si="10"/>
        <v>0</v>
      </c>
      <c r="L16" s="785">
        <f>IF(+$M$7=4,0,K15*$M$4)</f>
        <v>0</v>
      </c>
      <c r="M16" s="990">
        <f t="shared" si="11"/>
        <v>0</v>
      </c>
      <c r="N16" s="785">
        <f t="shared" si="12"/>
        <v>0</v>
      </c>
      <c r="O16" s="990">
        <f t="shared" si="13"/>
        <v>0</v>
      </c>
      <c r="P16" s="785">
        <f t="shared" si="21"/>
        <v>0</v>
      </c>
      <c r="Q16" s="988">
        <f t="shared" si="22"/>
        <v>0</v>
      </c>
      <c r="S16" s="988">
        <v>3</v>
      </c>
      <c r="T16" s="989">
        <f t="shared" si="14"/>
        <v>0</v>
      </c>
      <c r="U16" s="785">
        <f>IF(+$V$7=4,0,T15*$V$4)</f>
        <v>0</v>
      </c>
      <c r="V16" s="990">
        <f t="shared" si="15"/>
        <v>0</v>
      </c>
      <c r="W16" s="785">
        <f t="shared" si="16"/>
        <v>0</v>
      </c>
      <c r="X16" s="990">
        <f t="shared" si="17"/>
        <v>0</v>
      </c>
      <c r="Y16" s="785">
        <f t="shared" si="23"/>
        <v>0</v>
      </c>
      <c r="Z16" s="988">
        <f t="shared" si="24"/>
        <v>0</v>
      </c>
      <c r="AC16" s="12"/>
      <c r="AD16" s="12"/>
      <c r="AE16" s="12"/>
      <c r="AF16" s="12"/>
      <c r="AG16" s="12"/>
      <c r="AH16" s="12"/>
      <c r="AI16" s="12"/>
      <c r="AJ16" s="12"/>
      <c r="AK16" s="12"/>
      <c r="AL16" s="12"/>
      <c r="AM16" s="12"/>
      <c r="AN16" s="12"/>
      <c r="AO16" s="991">
        <f t="shared" si="18"/>
        <v>0</v>
      </c>
      <c r="AP16" s="992">
        <f t="shared" si="18"/>
        <v>0</v>
      </c>
      <c r="AQ16" s="992">
        <f t="shared" si="18"/>
        <v>0</v>
      </c>
      <c r="AR16" s="992">
        <f t="shared" si="18"/>
        <v>0</v>
      </c>
      <c r="AS16" s="992">
        <f t="shared" si="18"/>
        <v>0</v>
      </c>
      <c r="AT16" s="992">
        <f t="shared" si="18"/>
        <v>0</v>
      </c>
      <c r="AU16" s="992">
        <f t="shared" si="18"/>
        <v>0</v>
      </c>
      <c r="AV16" s="992">
        <f t="shared" si="18"/>
        <v>0</v>
      </c>
      <c r="AW16" s="992">
        <f t="shared" si="18"/>
        <v>0</v>
      </c>
      <c r="AX16" s="992">
        <f t="shared" si="18"/>
        <v>0</v>
      </c>
      <c r="AY16" s="992">
        <f t="shared" si="18"/>
        <v>0</v>
      </c>
      <c r="AZ16" s="993">
        <f t="shared" si="18"/>
        <v>0</v>
      </c>
      <c r="BA16" s="994">
        <f>$T26</f>
        <v>0</v>
      </c>
      <c r="BB16" s="881">
        <f>$T27</f>
        <v>0</v>
      </c>
      <c r="BC16" s="881">
        <f>$T28</f>
        <v>0</v>
      </c>
      <c r="BD16" s="881">
        <f>$T29</f>
        <v>0</v>
      </c>
      <c r="BE16" s="881">
        <f>$T30</f>
        <v>0</v>
      </c>
      <c r="BF16" s="881">
        <f>$T31</f>
        <v>0</v>
      </c>
      <c r="BG16" s="881">
        <f>$T32</f>
        <v>0</v>
      </c>
      <c r="BH16" s="881">
        <f>$T33</f>
        <v>0</v>
      </c>
      <c r="BI16" s="881">
        <f>$T34</f>
        <v>0</v>
      </c>
      <c r="BJ16" s="881">
        <f>$T35</f>
        <v>0</v>
      </c>
      <c r="BK16" s="881">
        <f>$T36</f>
        <v>0</v>
      </c>
      <c r="BL16" s="995">
        <f>$T37</f>
        <v>0</v>
      </c>
    </row>
    <row r="17" spans="1:64" ht="13" x14ac:dyDescent="0.3">
      <c r="A17" s="988">
        <v>4</v>
      </c>
      <c r="B17" s="989">
        <f t="shared" si="6"/>
        <v>0</v>
      </c>
      <c r="C17" s="785">
        <f>B16*$D$4</f>
        <v>0</v>
      </c>
      <c r="D17" s="990">
        <f t="shared" si="7"/>
        <v>0</v>
      </c>
      <c r="E17" s="785">
        <f t="shared" si="8"/>
        <v>0</v>
      </c>
      <c r="F17" s="990">
        <f t="shared" si="9"/>
        <v>0</v>
      </c>
      <c r="G17" s="785">
        <f t="shared" si="19"/>
        <v>0</v>
      </c>
      <c r="H17" s="988">
        <f t="shared" si="20"/>
        <v>0</v>
      </c>
      <c r="J17" s="988">
        <v>4</v>
      </c>
      <c r="K17" s="989">
        <f t="shared" si="10"/>
        <v>0</v>
      </c>
      <c r="L17" s="785">
        <f>K16*$M$4</f>
        <v>0</v>
      </c>
      <c r="M17" s="990">
        <f t="shared" si="11"/>
        <v>0</v>
      </c>
      <c r="N17" s="785">
        <f t="shared" si="12"/>
        <v>0</v>
      </c>
      <c r="O17" s="990">
        <f t="shared" si="13"/>
        <v>0</v>
      </c>
      <c r="P17" s="785">
        <f t="shared" si="21"/>
        <v>0</v>
      </c>
      <c r="Q17" s="988">
        <f t="shared" si="22"/>
        <v>0</v>
      </c>
      <c r="S17" s="988">
        <v>4</v>
      </c>
      <c r="T17" s="989">
        <f t="shared" si="14"/>
        <v>0</v>
      </c>
      <c r="U17" s="785">
        <f>T16*$V$4</f>
        <v>0</v>
      </c>
      <c r="V17" s="990">
        <f t="shared" si="15"/>
        <v>0</v>
      </c>
      <c r="W17" s="785">
        <f t="shared" si="16"/>
        <v>0</v>
      </c>
      <c r="X17" s="990">
        <f t="shared" si="17"/>
        <v>0</v>
      </c>
      <c r="Y17" s="785">
        <f t="shared" si="23"/>
        <v>0</v>
      </c>
      <c r="Z17" s="988">
        <f t="shared" si="24"/>
        <v>0</v>
      </c>
      <c r="AC17" s="12"/>
      <c r="AD17" s="12"/>
      <c r="AE17" s="12"/>
      <c r="AF17" s="12"/>
      <c r="AG17" s="12"/>
      <c r="AH17" s="12"/>
      <c r="AI17" s="12"/>
      <c r="AJ17" s="12"/>
      <c r="AK17" s="12"/>
      <c r="AL17" s="12"/>
      <c r="AM17" s="12"/>
      <c r="AN17" s="12"/>
      <c r="AO17" s="996">
        <f t="shared" si="18"/>
        <v>0</v>
      </c>
      <c r="AP17" s="997">
        <f t="shared" si="18"/>
        <v>0</v>
      </c>
      <c r="AQ17" s="997">
        <f t="shared" si="18"/>
        <v>0</v>
      </c>
      <c r="AR17" s="997">
        <f t="shared" si="18"/>
        <v>0</v>
      </c>
      <c r="AS17" s="997">
        <f t="shared" si="18"/>
        <v>0</v>
      </c>
      <c r="AT17" s="997">
        <f t="shared" si="18"/>
        <v>0</v>
      </c>
      <c r="AU17" s="997">
        <f t="shared" si="18"/>
        <v>0</v>
      </c>
      <c r="AV17" s="997">
        <f t="shared" si="18"/>
        <v>0</v>
      </c>
      <c r="AW17" s="997">
        <f t="shared" si="18"/>
        <v>0</v>
      </c>
      <c r="AX17" s="997">
        <f t="shared" si="18"/>
        <v>0</v>
      </c>
      <c r="AY17" s="997">
        <f t="shared" si="18"/>
        <v>0</v>
      </c>
      <c r="AZ17" s="998">
        <f t="shared" si="18"/>
        <v>0</v>
      </c>
      <c r="BA17" s="999">
        <f>BA15-BA16</f>
        <v>0</v>
      </c>
      <c r="BB17" s="1000">
        <f t="shared" ref="BB17:BL17" si="26">BB15-BB16</f>
        <v>0</v>
      </c>
      <c r="BC17" s="1000">
        <f t="shared" si="26"/>
        <v>0</v>
      </c>
      <c r="BD17" s="1000">
        <f t="shared" si="26"/>
        <v>0</v>
      </c>
      <c r="BE17" s="1000">
        <f t="shared" si="26"/>
        <v>0</v>
      </c>
      <c r="BF17" s="1000">
        <f t="shared" si="26"/>
        <v>0</v>
      </c>
      <c r="BG17" s="1000">
        <f t="shared" si="26"/>
        <v>0</v>
      </c>
      <c r="BH17" s="1000">
        <f t="shared" si="26"/>
        <v>0</v>
      </c>
      <c r="BI17" s="1000">
        <f t="shared" si="26"/>
        <v>0</v>
      </c>
      <c r="BJ17" s="1000">
        <f t="shared" si="26"/>
        <v>0</v>
      </c>
      <c r="BK17" s="1000">
        <f t="shared" si="26"/>
        <v>0</v>
      </c>
      <c r="BL17" s="1001">
        <f t="shared" si="26"/>
        <v>0</v>
      </c>
    </row>
    <row r="18" spans="1:64" ht="13" x14ac:dyDescent="0.3">
      <c r="A18" s="988">
        <v>5</v>
      </c>
      <c r="B18" s="989">
        <f t="shared" si="6"/>
        <v>0</v>
      </c>
      <c r="C18" s="785">
        <f>IF(+$D$7=4,0,B17*$D$4)</f>
        <v>0</v>
      </c>
      <c r="D18" s="990">
        <f t="shared" si="7"/>
        <v>0</v>
      </c>
      <c r="E18" s="785">
        <f t="shared" si="8"/>
        <v>0</v>
      </c>
      <c r="F18" s="990">
        <f t="shared" si="9"/>
        <v>0</v>
      </c>
      <c r="G18" s="785">
        <f t="shared" si="19"/>
        <v>0</v>
      </c>
      <c r="H18" s="988">
        <f t="shared" si="20"/>
        <v>0</v>
      </c>
      <c r="J18" s="988">
        <v>5</v>
      </c>
      <c r="K18" s="989">
        <f t="shared" si="10"/>
        <v>0</v>
      </c>
      <c r="L18" s="785">
        <f>IF(+$M$7=4,0,K17*$M$4)</f>
        <v>0</v>
      </c>
      <c r="M18" s="990">
        <f t="shared" si="11"/>
        <v>0</v>
      </c>
      <c r="N18" s="785">
        <f t="shared" si="12"/>
        <v>0</v>
      </c>
      <c r="O18" s="990">
        <f t="shared" si="13"/>
        <v>0</v>
      </c>
      <c r="P18" s="785">
        <f t="shared" si="21"/>
        <v>0</v>
      </c>
      <c r="Q18" s="988">
        <f t="shared" si="22"/>
        <v>0</v>
      </c>
      <c r="S18" s="988">
        <v>5</v>
      </c>
      <c r="T18" s="989">
        <f t="shared" si="14"/>
        <v>0</v>
      </c>
      <c r="U18" s="785">
        <f>IF(+$V$7=4,0,T17*$V$4)</f>
        <v>0</v>
      </c>
      <c r="V18" s="990">
        <f t="shared" si="15"/>
        <v>0</v>
      </c>
      <c r="W18" s="785">
        <f t="shared" si="16"/>
        <v>0</v>
      </c>
      <c r="X18" s="990">
        <f t="shared" si="17"/>
        <v>0</v>
      </c>
      <c r="Y18" s="785">
        <f t="shared" si="23"/>
        <v>0</v>
      </c>
      <c r="Z18" s="988">
        <f t="shared" si="24"/>
        <v>0</v>
      </c>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982">
        <f>BA3+BA8+BA13</f>
        <v>0</v>
      </c>
      <c r="BB18" s="983">
        <f t="shared" ref="BB18:BL18" si="27">BB3+BB8+BB13</f>
        <v>0</v>
      </c>
      <c r="BC18" s="983">
        <f t="shared" si="27"/>
        <v>0</v>
      </c>
      <c r="BD18" s="983">
        <f t="shared" si="27"/>
        <v>0</v>
      </c>
      <c r="BE18" s="983">
        <f t="shared" si="27"/>
        <v>0</v>
      </c>
      <c r="BF18" s="983">
        <f t="shared" si="27"/>
        <v>0</v>
      </c>
      <c r="BG18" s="983">
        <f t="shared" si="27"/>
        <v>0</v>
      </c>
      <c r="BH18" s="983">
        <f t="shared" si="27"/>
        <v>0</v>
      </c>
      <c r="BI18" s="983">
        <f t="shared" si="27"/>
        <v>0</v>
      </c>
      <c r="BJ18" s="983">
        <f t="shared" si="27"/>
        <v>0</v>
      </c>
      <c r="BK18" s="983">
        <f t="shared" si="27"/>
        <v>0</v>
      </c>
      <c r="BL18" s="984">
        <f t="shared" si="27"/>
        <v>0</v>
      </c>
    </row>
    <row r="19" spans="1:64" ht="13" x14ac:dyDescent="0.3">
      <c r="A19" s="988">
        <v>6</v>
      </c>
      <c r="B19" s="989">
        <f t="shared" si="6"/>
        <v>0</v>
      </c>
      <c r="C19" s="785">
        <f>IF(+$D$7=4,0,B18*$D$4)</f>
        <v>0</v>
      </c>
      <c r="D19" s="990">
        <f t="shared" si="7"/>
        <v>0</v>
      </c>
      <c r="E19" s="785">
        <f t="shared" si="8"/>
        <v>0</v>
      </c>
      <c r="F19" s="990">
        <f t="shared" si="9"/>
        <v>0</v>
      </c>
      <c r="G19" s="785">
        <f t="shared" si="19"/>
        <v>0</v>
      </c>
      <c r="H19" s="988">
        <f t="shared" si="20"/>
        <v>0</v>
      </c>
      <c r="J19" s="988">
        <v>6</v>
      </c>
      <c r="K19" s="989">
        <f t="shared" si="10"/>
        <v>0</v>
      </c>
      <c r="L19" s="785">
        <f>IF(+$M$7=4,0,K18*$M$4)</f>
        <v>0</v>
      </c>
      <c r="M19" s="990">
        <f t="shared" si="11"/>
        <v>0</v>
      </c>
      <c r="N19" s="785">
        <f t="shared" si="12"/>
        <v>0</v>
      </c>
      <c r="O19" s="990">
        <f t="shared" si="13"/>
        <v>0</v>
      </c>
      <c r="P19" s="785">
        <f t="shared" si="21"/>
        <v>0</v>
      </c>
      <c r="Q19" s="988">
        <f t="shared" si="22"/>
        <v>0</v>
      </c>
      <c r="S19" s="988">
        <v>6</v>
      </c>
      <c r="T19" s="989">
        <f t="shared" si="14"/>
        <v>0</v>
      </c>
      <c r="U19" s="785">
        <f>IF(+$V$7=4,0,T18*$V$4)</f>
        <v>0</v>
      </c>
      <c r="V19" s="990">
        <f t="shared" si="15"/>
        <v>0</v>
      </c>
      <c r="W19" s="785">
        <f t="shared" si="16"/>
        <v>0</v>
      </c>
      <c r="X19" s="990">
        <f t="shared" si="17"/>
        <v>0</v>
      </c>
      <c r="Y19" s="785">
        <f t="shared" si="23"/>
        <v>0</v>
      </c>
      <c r="Z19" s="988">
        <f t="shared" si="24"/>
        <v>0</v>
      </c>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991">
        <f t="shared" ref="BA19:BL22" si="28">BA4+BA9+BA14</f>
        <v>0</v>
      </c>
      <c r="BB19" s="992">
        <f t="shared" si="28"/>
        <v>0</v>
      </c>
      <c r="BC19" s="992">
        <f t="shared" si="28"/>
        <v>0</v>
      </c>
      <c r="BD19" s="992">
        <f t="shared" si="28"/>
        <v>0</v>
      </c>
      <c r="BE19" s="992">
        <f t="shared" si="28"/>
        <v>0</v>
      </c>
      <c r="BF19" s="992">
        <f t="shared" si="28"/>
        <v>0</v>
      </c>
      <c r="BG19" s="992">
        <f t="shared" si="28"/>
        <v>0</v>
      </c>
      <c r="BH19" s="992">
        <f t="shared" si="28"/>
        <v>0</v>
      </c>
      <c r="BI19" s="992">
        <f t="shared" si="28"/>
        <v>0</v>
      </c>
      <c r="BJ19" s="992">
        <f t="shared" si="28"/>
        <v>0</v>
      </c>
      <c r="BK19" s="992">
        <f t="shared" si="28"/>
        <v>0</v>
      </c>
      <c r="BL19" s="993">
        <f t="shared" si="28"/>
        <v>0</v>
      </c>
    </row>
    <row r="20" spans="1:64" ht="13" x14ac:dyDescent="0.3">
      <c r="A20" s="988">
        <v>7</v>
      </c>
      <c r="B20" s="989">
        <f t="shared" si="6"/>
        <v>0</v>
      </c>
      <c r="C20" s="785">
        <f>B19*$D$4</f>
        <v>0</v>
      </c>
      <c r="D20" s="990">
        <f t="shared" si="7"/>
        <v>0</v>
      </c>
      <c r="E20" s="785">
        <f t="shared" ref="E20:E25" si="29">IF(OR(C$6&gt;0.5,C20&lt;0.01),0,C$8-C20)</f>
        <v>0</v>
      </c>
      <c r="F20" s="990">
        <f t="shared" si="9"/>
        <v>0</v>
      </c>
      <c r="G20" s="785">
        <f t="shared" si="19"/>
        <v>0</v>
      </c>
      <c r="H20" s="988">
        <f t="shared" si="20"/>
        <v>0</v>
      </c>
      <c r="J20" s="988">
        <v>7</v>
      </c>
      <c r="K20" s="989">
        <f t="shared" si="10"/>
        <v>0</v>
      </c>
      <c r="L20" s="785">
        <f>K19*$M$4</f>
        <v>0</v>
      </c>
      <c r="M20" s="990">
        <f t="shared" si="11"/>
        <v>0</v>
      </c>
      <c r="N20" s="785">
        <f t="shared" ref="N20:N25" si="30">IF(OR(L$6&gt;0.5,L20&lt;1),0,L$8-L20)</f>
        <v>0</v>
      </c>
      <c r="O20" s="990">
        <f t="shared" si="13"/>
        <v>0</v>
      </c>
      <c r="P20" s="785">
        <f t="shared" si="21"/>
        <v>0</v>
      </c>
      <c r="Q20" s="988">
        <f t="shared" si="22"/>
        <v>0</v>
      </c>
      <c r="S20" s="988">
        <v>7</v>
      </c>
      <c r="T20" s="989">
        <f t="shared" si="14"/>
        <v>0</v>
      </c>
      <c r="U20" s="785">
        <f>T19*$V$4</f>
        <v>0</v>
      </c>
      <c r="V20" s="990">
        <f t="shared" si="15"/>
        <v>0</v>
      </c>
      <c r="W20" s="785">
        <f t="shared" ref="W20:W25" si="31">IF(OR(U$6&gt;0.5,U20&lt;1),0,U$8-U20)</f>
        <v>0</v>
      </c>
      <c r="X20" s="990">
        <f t="shared" si="17"/>
        <v>0</v>
      </c>
      <c r="Y20" s="785">
        <f t="shared" si="23"/>
        <v>0</v>
      </c>
      <c r="Z20" s="988">
        <f t="shared" si="24"/>
        <v>0</v>
      </c>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991">
        <f t="shared" si="28"/>
        <v>0</v>
      </c>
      <c r="BB20" s="992">
        <f t="shared" si="28"/>
        <v>0</v>
      </c>
      <c r="BC20" s="992">
        <f t="shared" si="28"/>
        <v>0</v>
      </c>
      <c r="BD20" s="992">
        <f t="shared" si="28"/>
        <v>0</v>
      </c>
      <c r="BE20" s="992">
        <f t="shared" si="28"/>
        <v>0</v>
      </c>
      <c r="BF20" s="992">
        <f t="shared" si="28"/>
        <v>0</v>
      </c>
      <c r="BG20" s="992">
        <f t="shared" si="28"/>
        <v>0</v>
      </c>
      <c r="BH20" s="992">
        <f t="shared" si="28"/>
        <v>0</v>
      </c>
      <c r="BI20" s="992">
        <f t="shared" si="28"/>
        <v>0</v>
      </c>
      <c r="BJ20" s="992">
        <f t="shared" si="28"/>
        <v>0</v>
      </c>
      <c r="BK20" s="992">
        <f t="shared" si="28"/>
        <v>0</v>
      </c>
      <c r="BL20" s="993">
        <f t="shared" si="28"/>
        <v>0</v>
      </c>
    </row>
    <row r="21" spans="1:64" ht="13" x14ac:dyDescent="0.3">
      <c r="A21" s="988">
        <v>8</v>
      </c>
      <c r="B21" s="989">
        <f t="shared" si="6"/>
        <v>0</v>
      </c>
      <c r="C21" s="785">
        <f>IF(+$D$7=4,0,B20*$D$4)</f>
        <v>0</v>
      </c>
      <c r="D21" s="990">
        <f t="shared" si="7"/>
        <v>0</v>
      </c>
      <c r="E21" s="785">
        <f t="shared" si="29"/>
        <v>0</v>
      </c>
      <c r="F21" s="990">
        <f t="shared" si="9"/>
        <v>0</v>
      </c>
      <c r="G21" s="785">
        <f t="shared" si="19"/>
        <v>0</v>
      </c>
      <c r="H21" s="988">
        <f t="shared" si="20"/>
        <v>0</v>
      </c>
      <c r="J21" s="988">
        <v>8</v>
      </c>
      <c r="K21" s="989">
        <f t="shared" si="10"/>
        <v>0</v>
      </c>
      <c r="L21" s="785">
        <f>IF(+$M$7=4,0,K20*$M$4)</f>
        <v>0</v>
      </c>
      <c r="M21" s="990">
        <f t="shared" si="11"/>
        <v>0</v>
      </c>
      <c r="N21" s="785">
        <f t="shared" si="30"/>
        <v>0</v>
      </c>
      <c r="O21" s="990">
        <f t="shared" si="13"/>
        <v>0</v>
      </c>
      <c r="P21" s="785">
        <f t="shared" si="21"/>
        <v>0</v>
      </c>
      <c r="Q21" s="988">
        <f t="shared" si="22"/>
        <v>0</v>
      </c>
      <c r="S21" s="988">
        <v>8</v>
      </c>
      <c r="T21" s="989">
        <f t="shared" si="14"/>
        <v>0</v>
      </c>
      <c r="U21" s="785">
        <f>IF(+$V$7=4,0,T20*$V$4)</f>
        <v>0</v>
      </c>
      <c r="V21" s="990">
        <f t="shared" si="15"/>
        <v>0</v>
      </c>
      <c r="W21" s="785">
        <f t="shared" si="31"/>
        <v>0</v>
      </c>
      <c r="X21" s="990">
        <f t="shared" si="17"/>
        <v>0</v>
      </c>
      <c r="Y21" s="785">
        <f t="shared" si="23"/>
        <v>0</v>
      </c>
      <c r="Z21" s="988">
        <f t="shared" si="24"/>
        <v>0</v>
      </c>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991">
        <f t="shared" si="28"/>
        <v>0</v>
      </c>
      <c r="BB21" s="992">
        <f t="shared" si="28"/>
        <v>0</v>
      </c>
      <c r="BC21" s="992">
        <f t="shared" si="28"/>
        <v>0</v>
      </c>
      <c r="BD21" s="992">
        <f t="shared" si="28"/>
        <v>0</v>
      </c>
      <c r="BE21" s="992">
        <f t="shared" si="28"/>
        <v>0</v>
      </c>
      <c r="BF21" s="992">
        <f t="shared" si="28"/>
        <v>0</v>
      </c>
      <c r="BG21" s="992">
        <f t="shared" si="28"/>
        <v>0</v>
      </c>
      <c r="BH21" s="992">
        <f t="shared" si="28"/>
        <v>0</v>
      </c>
      <c r="BI21" s="992">
        <f t="shared" si="28"/>
        <v>0</v>
      </c>
      <c r="BJ21" s="992">
        <f t="shared" si="28"/>
        <v>0</v>
      </c>
      <c r="BK21" s="992">
        <f t="shared" si="28"/>
        <v>0</v>
      </c>
      <c r="BL21" s="993">
        <f t="shared" si="28"/>
        <v>0</v>
      </c>
    </row>
    <row r="22" spans="1:64" ht="13" x14ac:dyDescent="0.3">
      <c r="A22" s="988">
        <v>9</v>
      </c>
      <c r="B22" s="989">
        <f t="shared" si="6"/>
        <v>0</v>
      </c>
      <c r="C22" s="785">
        <f>IF(+$D$7=4,0,B21*$D$4)</f>
        <v>0</v>
      </c>
      <c r="D22" s="990">
        <f t="shared" si="7"/>
        <v>0</v>
      </c>
      <c r="E22" s="785">
        <f t="shared" si="29"/>
        <v>0</v>
      </c>
      <c r="F22" s="990">
        <f t="shared" si="9"/>
        <v>0</v>
      </c>
      <c r="G22" s="785">
        <f t="shared" si="19"/>
        <v>0</v>
      </c>
      <c r="H22" s="988">
        <f t="shared" si="20"/>
        <v>0</v>
      </c>
      <c r="J22" s="988">
        <v>9</v>
      </c>
      <c r="K22" s="989">
        <f t="shared" si="10"/>
        <v>0</v>
      </c>
      <c r="L22" s="785">
        <f>IF(+$M$7=4,0,K21*$M$4)</f>
        <v>0</v>
      </c>
      <c r="M22" s="990">
        <f t="shared" si="11"/>
        <v>0</v>
      </c>
      <c r="N22" s="785">
        <f t="shared" si="30"/>
        <v>0</v>
      </c>
      <c r="O22" s="990">
        <f t="shared" si="13"/>
        <v>0</v>
      </c>
      <c r="P22" s="785">
        <f t="shared" si="21"/>
        <v>0</v>
      </c>
      <c r="Q22" s="988">
        <f t="shared" si="22"/>
        <v>0</v>
      </c>
      <c r="S22" s="988">
        <v>9</v>
      </c>
      <c r="T22" s="989">
        <f t="shared" si="14"/>
        <v>0</v>
      </c>
      <c r="U22" s="785">
        <f>IF(+$V$7=4,0,T21*$V$4)</f>
        <v>0</v>
      </c>
      <c r="V22" s="990">
        <f t="shared" si="15"/>
        <v>0</v>
      </c>
      <c r="W22" s="785">
        <f t="shared" si="31"/>
        <v>0</v>
      </c>
      <c r="X22" s="990">
        <f t="shared" si="17"/>
        <v>0</v>
      </c>
      <c r="Y22" s="785">
        <f t="shared" si="23"/>
        <v>0</v>
      </c>
      <c r="Z22" s="988">
        <f t="shared" si="24"/>
        <v>0</v>
      </c>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996">
        <f t="shared" si="28"/>
        <v>0</v>
      </c>
      <c r="BB22" s="997">
        <f t="shared" si="28"/>
        <v>0</v>
      </c>
      <c r="BC22" s="997">
        <f t="shared" si="28"/>
        <v>0</v>
      </c>
      <c r="BD22" s="997">
        <f t="shared" si="28"/>
        <v>0</v>
      </c>
      <c r="BE22" s="997">
        <f t="shared" si="28"/>
        <v>0</v>
      </c>
      <c r="BF22" s="997">
        <f t="shared" si="28"/>
        <v>0</v>
      </c>
      <c r="BG22" s="997">
        <f t="shared" si="28"/>
        <v>0</v>
      </c>
      <c r="BH22" s="997">
        <f t="shared" si="28"/>
        <v>0</v>
      </c>
      <c r="BI22" s="997">
        <f t="shared" si="28"/>
        <v>0</v>
      </c>
      <c r="BJ22" s="997">
        <f t="shared" si="28"/>
        <v>0</v>
      </c>
      <c r="BK22" s="997">
        <f t="shared" si="28"/>
        <v>0</v>
      </c>
      <c r="BL22" s="998">
        <f t="shared" si="28"/>
        <v>0</v>
      </c>
    </row>
    <row r="23" spans="1:64" x14ac:dyDescent="0.25">
      <c r="A23" s="988">
        <v>10</v>
      </c>
      <c r="B23" s="989">
        <f t="shared" si="6"/>
        <v>0</v>
      </c>
      <c r="C23" s="785">
        <f>B22*$D$4</f>
        <v>0</v>
      </c>
      <c r="D23" s="990">
        <f t="shared" si="7"/>
        <v>0</v>
      </c>
      <c r="E23" s="785">
        <f t="shared" si="29"/>
        <v>0</v>
      </c>
      <c r="F23" s="990">
        <f t="shared" si="9"/>
        <v>0</v>
      </c>
      <c r="G23" s="785">
        <f t="shared" si="19"/>
        <v>0</v>
      </c>
      <c r="H23" s="988">
        <f t="shared" si="20"/>
        <v>0</v>
      </c>
      <c r="J23" s="988">
        <v>10</v>
      </c>
      <c r="K23" s="989">
        <f t="shared" si="10"/>
        <v>0</v>
      </c>
      <c r="L23" s="785">
        <f>K22*$M$4</f>
        <v>0</v>
      </c>
      <c r="M23" s="990">
        <f t="shared" si="11"/>
        <v>0</v>
      </c>
      <c r="N23" s="785">
        <f t="shared" si="30"/>
        <v>0</v>
      </c>
      <c r="O23" s="990">
        <f t="shared" si="13"/>
        <v>0</v>
      </c>
      <c r="P23" s="785">
        <f t="shared" si="21"/>
        <v>0</v>
      </c>
      <c r="Q23" s="988">
        <f t="shared" si="22"/>
        <v>0</v>
      </c>
      <c r="S23" s="988">
        <v>10</v>
      </c>
      <c r="T23" s="989">
        <f t="shared" si="14"/>
        <v>0</v>
      </c>
      <c r="U23" s="785">
        <f>T22*$V$4</f>
        <v>0</v>
      </c>
      <c r="V23" s="990">
        <f t="shared" si="15"/>
        <v>0</v>
      </c>
      <c r="W23" s="785">
        <f t="shared" si="31"/>
        <v>0</v>
      </c>
      <c r="X23" s="990">
        <f t="shared" si="17"/>
        <v>0</v>
      </c>
      <c r="Y23" s="785">
        <f t="shared" si="23"/>
        <v>0</v>
      </c>
      <c r="Z23" s="988">
        <f t="shared" si="24"/>
        <v>0</v>
      </c>
    </row>
    <row r="24" spans="1:64" x14ac:dyDescent="0.25">
      <c r="A24" s="988">
        <v>11</v>
      </c>
      <c r="B24" s="989">
        <f t="shared" si="6"/>
        <v>0</v>
      </c>
      <c r="C24" s="785">
        <f>IF(+$D$7=4,0,B23*$D$4)</f>
        <v>0</v>
      </c>
      <c r="D24" s="990">
        <f t="shared" si="7"/>
        <v>0</v>
      </c>
      <c r="E24" s="785">
        <f t="shared" si="29"/>
        <v>0</v>
      </c>
      <c r="F24" s="990">
        <f t="shared" si="9"/>
        <v>0</v>
      </c>
      <c r="G24" s="785">
        <f t="shared" si="19"/>
        <v>0</v>
      </c>
      <c r="H24" s="988">
        <f t="shared" si="20"/>
        <v>0</v>
      </c>
      <c r="J24" s="988">
        <v>11</v>
      </c>
      <c r="K24" s="989">
        <f t="shared" si="10"/>
        <v>0</v>
      </c>
      <c r="L24" s="785">
        <f>IF(+$M$7=4,0,K23*$M$4)</f>
        <v>0</v>
      </c>
      <c r="M24" s="990">
        <f t="shared" si="11"/>
        <v>0</v>
      </c>
      <c r="N24" s="785">
        <f t="shared" si="30"/>
        <v>0</v>
      </c>
      <c r="O24" s="990">
        <f t="shared" si="13"/>
        <v>0</v>
      </c>
      <c r="P24" s="785">
        <f t="shared" si="21"/>
        <v>0</v>
      </c>
      <c r="Q24" s="988">
        <f t="shared" si="22"/>
        <v>0</v>
      </c>
      <c r="S24" s="988">
        <v>11</v>
      </c>
      <c r="T24" s="989">
        <f t="shared" si="14"/>
        <v>0</v>
      </c>
      <c r="U24" s="785">
        <f>IF(+$V$7=4,0,T23*$V$4)</f>
        <v>0</v>
      </c>
      <c r="V24" s="990">
        <f t="shared" si="15"/>
        <v>0</v>
      </c>
      <c r="W24" s="785">
        <f t="shared" si="31"/>
        <v>0</v>
      </c>
      <c r="X24" s="990">
        <f t="shared" si="17"/>
        <v>0</v>
      </c>
      <c r="Y24" s="785">
        <f t="shared" si="23"/>
        <v>0</v>
      </c>
      <c r="Z24" s="988">
        <f t="shared" si="24"/>
        <v>0</v>
      </c>
    </row>
    <row r="25" spans="1:64" x14ac:dyDescent="0.25">
      <c r="A25" s="988">
        <v>12</v>
      </c>
      <c r="B25" s="989">
        <f t="shared" si="6"/>
        <v>0</v>
      </c>
      <c r="C25" s="785">
        <f>IF(+$D$7=4,0,B24*$D$4)</f>
        <v>0</v>
      </c>
      <c r="D25" s="990">
        <f t="shared" si="7"/>
        <v>0</v>
      </c>
      <c r="E25" s="785">
        <f t="shared" si="29"/>
        <v>0</v>
      </c>
      <c r="F25" s="990">
        <f t="shared" si="9"/>
        <v>0</v>
      </c>
      <c r="G25" s="785">
        <f t="shared" si="19"/>
        <v>0</v>
      </c>
      <c r="H25" s="988">
        <f t="shared" si="20"/>
        <v>0</v>
      </c>
      <c r="J25" s="988">
        <v>12</v>
      </c>
      <c r="K25" s="989">
        <f t="shared" si="10"/>
        <v>0</v>
      </c>
      <c r="L25" s="785">
        <f>IF(+$M$7=4,0,K24*$M$4)</f>
        <v>0</v>
      </c>
      <c r="M25" s="990">
        <f t="shared" si="11"/>
        <v>0</v>
      </c>
      <c r="N25" s="785">
        <f t="shared" si="30"/>
        <v>0</v>
      </c>
      <c r="O25" s="990">
        <f t="shared" si="13"/>
        <v>0</v>
      </c>
      <c r="P25" s="785">
        <f t="shared" si="21"/>
        <v>0</v>
      </c>
      <c r="Q25" s="988">
        <f t="shared" si="22"/>
        <v>0</v>
      </c>
      <c r="S25" s="988">
        <v>12</v>
      </c>
      <c r="T25" s="989">
        <f t="shared" si="14"/>
        <v>0</v>
      </c>
      <c r="U25" s="785">
        <f>IF(+$V$7=4,0,T24*$V$4)</f>
        <v>0</v>
      </c>
      <c r="V25" s="990">
        <f t="shared" si="15"/>
        <v>0</v>
      </c>
      <c r="W25" s="785">
        <f t="shared" si="31"/>
        <v>0</v>
      </c>
      <c r="X25" s="990">
        <f t="shared" si="17"/>
        <v>0</v>
      </c>
      <c r="Y25" s="785">
        <f t="shared" si="23"/>
        <v>0</v>
      </c>
      <c r="Z25" s="988">
        <f t="shared" si="24"/>
        <v>0</v>
      </c>
    </row>
    <row r="26" spans="1:64" x14ac:dyDescent="0.25">
      <c r="A26" s="988">
        <v>13</v>
      </c>
      <c r="B26" s="989">
        <f t="shared" si="6"/>
        <v>0</v>
      </c>
      <c r="C26" s="785">
        <f>B25*$D$4</f>
        <v>0</v>
      </c>
      <c r="D26" s="990">
        <f t="shared" si="7"/>
        <v>0</v>
      </c>
      <c r="E26" s="785">
        <f t="shared" ref="E26:E31" si="32">IF(OR(C$6&gt;1,C26&lt;0.01),0,C$8-C26)</f>
        <v>0</v>
      </c>
      <c r="F26" s="990">
        <f t="shared" si="9"/>
        <v>0</v>
      </c>
      <c r="G26" s="785">
        <f t="shared" si="19"/>
        <v>0</v>
      </c>
      <c r="H26" s="988">
        <f t="shared" si="20"/>
        <v>0</v>
      </c>
      <c r="J26" s="988">
        <v>13</v>
      </c>
      <c r="K26" s="989">
        <f t="shared" si="10"/>
        <v>0</v>
      </c>
      <c r="L26" s="785">
        <f>K25*$M$4</f>
        <v>0</v>
      </c>
      <c r="M26" s="990">
        <f t="shared" si="11"/>
        <v>0</v>
      </c>
      <c r="N26" s="785">
        <f t="shared" ref="N26:N31" si="33">IF(OR(L$6&gt;1,L26&lt;1),0,L$8-L26)</f>
        <v>0</v>
      </c>
      <c r="O26" s="990">
        <f t="shared" si="13"/>
        <v>0</v>
      </c>
      <c r="P26" s="785">
        <f t="shared" si="21"/>
        <v>0</v>
      </c>
      <c r="Q26" s="988">
        <f t="shared" si="22"/>
        <v>0</v>
      </c>
      <c r="S26" s="988">
        <v>13</v>
      </c>
      <c r="T26" s="989">
        <f t="shared" si="14"/>
        <v>0</v>
      </c>
      <c r="U26" s="785">
        <f>T25*$V$4</f>
        <v>0</v>
      </c>
      <c r="V26" s="990">
        <f t="shared" si="15"/>
        <v>0</v>
      </c>
      <c r="W26" s="785">
        <f t="shared" ref="W26:W31" si="34">IF(OR(U$6&gt;1,U26&lt;1),0,U$8-U26)</f>
        <v>0</v>
      </c>
      <c r="X26" s="990">
        <f t="shared" si="17"/>
        <v>0</v>
      </c>
      <c r="Y26" s="785">
        <f t="shared" si="23"/>
        <v>0</v>
      </c>
      <c r="Z26" s="988">
        <f t="shared" si="24"/>
        <v>0</v>
      </c>
    </row>
    <row r="27" spans="1:64" x14ac:dyDescent="0.25">
      <c r="A27" s="988">
        <v>14</v>
      </c>
      <c r="B27" s="989">
        <f t="shared" si="6"/>
        <v>0</v>
      </c>
      <c r="C27" s="785">
        <f>IF(+$D$7=4,0,B26*$D$4)</f>
        <v>0</v>
      </c>
      <c r="D27" s="990">
        <f t="shared" si="7"/>
        <v>0</v>
      </c>
      <c r="E27" s="785">
        <f t="shared" si="32"/>
        <v>0</v>
      </c>
      <c r="F27" s="990">
        <f t="shared" si="9"/>
        <v>0</v>
      </c>
      <c r="G27" s="785">
        <f t="shared" si="19"/>
        <v>0</v>
      </c>
      <c r="H27" s="988">
        <f t="shared" si="20"/>
        <v>0</v>
      </c>
      <c r="J27" s="988">
        <v>14</v>
      </c>
      <c r="K27" s="989">
        <f t="shared" si="10"/>
        <v>0</v>
      </c>
      <c r="L27" s="785">
        <f>IF(+$M$7=4,0,K26*$M$4)</f>
        <v>0</v>
      </c>
      <c r="M27" s="990">
        <f t="shared" si="11"/>
        <v>0</v>
      </c>
      <c r="N27" s="785">
        <f t="shared" si="33"/>
        <v>0</v>
      </c>
      <c r="O27" s="990">
        <f t="shared" si="13"/>
        <v>0</v>
      </c>
      <c r="P27" s="785">
        <f t="shared" si="21"/>
        <v>0</v>
      </c>
      <c r="Q27" s="988">
        <f t="shared" si="22"/>
        <v>0</v>
      </c>
      <c r="S27" s="988">
        <v>14</v>
      </c>
      <c r="T27" s="989">
        <f t="shared" si="14"/>
        <v>0</v>
      </c>
      <c r="U27" s="785">
        <f>IF(+$V$7=4,0,T26*$V$4)</f>
        <v>0</v>
      </c>
      <c r="V27" s="990">
        <f t="shared" si="15"/>
        <v>0</v>
      </c>
      <c r="W27" s="785">
        <f t="shared" si="34"/>
        <v>0</v>
      </c>
      <c r="X27" s="990">
        <f t="shared" si="17"/>
        <v>0</v>
      </c>
      <c r="Y27" s="785">
        <f t="shared" si="23"/>
        <v>0</v>
      </c>
      <c r="Z27" s="988">
        <f t="shared" si="24"/>
        <v>0</v>
      </c>
    </row>
    <row r="28" spans="1:64" x14ac:dyDescent="0.25">
      <c r="A28" s="988">
        <v>15</v>
      </c>
      <c r="B28" s="989">
        <f t="shared" si="6"/>
        <v>0</v>
      </c>
      <c r="C28" s="785">
        <f>IF(+$D$7=4,0,B27*$D$4)</f>
        <v>0</v>
      </c>
      <c r="D28" s="990">
        <f t="shared" si="7"/>
        <v>0</v>
      </c>
      <c r="E28" s="785">
        <f t="shared" si="32"/>
        <v>0</v>
      </c>
      <c r="F28" s="990">
        <f t="shared" si="9"/>
        <v>0</v>
      </c>
      <c r="G28" s="785">
        <f t="shared" si="19"/>
        <v>0</v>
      </c>
      <c r="H28" s="988">
        <f t="shared" si="20"/>
        <v>0</v>
      </c>
      <c r="J28" s="988">
        <v>15</v>
      </c>
      <c r="K28" s="989">
        <f t="shared" si="10"/>
        <v>0</v>
      </c>
      <c r="L28" s="785">
        <f>IF(+$M$7=4,0,K27*$M$4)</f>
        <v>0</v>
      </c>
      <c r="M28" s="990">
        <f t="shared" si="11"/>
        <v>0</v>
      </c>
      <c r="N28" s="785">
        <f t="shared" si="33"/>
        <v>0</v>
      </c>
      <c r="O28" s="990">
        <f t="shared" si="13"/>
        <v>0</v>
      </c>
      <c r="P28" s="785">
        <f t="shared" si="21"/>
        <v>0</v>
      </c>
      <c r="Q28" s="988">
        <f t="shared" si="22"/>
        <v>0</v>
      </c>
      <c r="S28" s="988">
        <v>15</v>
      </c>
      <c r="T28" s="989">
        <f t="shared" si="14"/>
        <v>0</v>
      </c>
      <c r="U28" s="785">
        <f>IF(+$V$7=4,0,T27*$V$4)</f>
        <v>0</v>
      </c>
      <c r="V28" s="990">
        <f t="shared" si="15"/>
        <v>0</v>
      </c>
      <c r="W28" s="785">
        <f t="shared" si="34"/>
        <v>0</v>
      </c>
      <c r="X28" s="990">
        <f t="shared" si="17"/>
        <v>0</v>
      </c>
      <c r="Y28" s="785">
        <f t="shared" si="23"/>
        <v>0</v>
      </c>
      <c r="Z28" s="988">
        <f t="shared" si="24"/>
        <v>0</v>
      </c>
    </row>
    <row r="29" spans="1:64" x14ac:dyDescent="0.25">
      <c r="A29" s="988">
        <v>16</v>
      </c>
      <c r="B29" s="989">
        <f t="shared" si="6"/>
        <v>0</v>
      </c>
      <c r="C29" s="785">
        <f>B28*$D$4</f>
        <v>0</v>
      </c>
      <c r="D29" s="990">
        <f t="shared" si="7"/>
        <v>0</v>
      </c>
      <c r="E29" s="785">
        <f t="shared" si="32"/>
        <v>0</v>
      </c>
      <c r="F29" s="990">
        <f t="shared" si="9"/>
        <v>0</v>
      </c>
      <c r="G29" s="785">
        <f t="shared" si="19"/>
        <v>0</v>
      </c>
      <c r="H29" s="988">
        <f t="shared" si="20"/>
        <v>0</v>
      </c>
      <c r="J29" s="988">
        <v>16</v>
      </c>
      <c r="K29" s="989">
        <f t="shared" si="10"/>
        <v>0</v>
      </c>
      <c r="L29" s="785">
        <f>K28*$M$4</f>
        <v>0</v>
      </c>
      <c r="M29" s="990">
        <f t="shared" si="11"/>
        <v>0</v>
      </c>
      <c r="N29" s="785">
        <f t="shared" si="33"/>
        <v>0</v>
      </c>
      <c r="O29" s="990">
        <f t="shared" si="13"/>
        <v>0</v>
      </c>
      <c r="P29" s="785">
        <f t="shared" si="21"/>
        <v>0</v>
      </c>
      <c r="Q29" s="988">
        <f t="shared" si="22"/>
        <v>0</v>
      </c>
      <c r="S29" s="988">
        <v>16</v>
      </c>
      <c r="T29" s="989">
        <f t="shared" si="14"/>
        <v>0</v>
      </c>
      <c r="U29" s="785">
        <f>T28*$V$4</f>
        <v>0</v>
      </c>
      <c r="V29" s="990">
        <f t="shared" si="15"/>
        <v>0</v>
      </c>
      <c r="W29" s="785">
        <f t="shared" si="34"/>
        <v>0</v>
      </c>
      <c r="X29" s="990">
        <f t="shared" si="17"/>
        <v>0</v>
      </c>
      <c r="Y29" s="785">
        <f t="shared" si="23"/>
        <v>0</v>
      </c>
      <c r="Z29" s="988">
        <f t="shared" si="24"/>
        <v>0</v>
      </c>
    </row>
    <row r="30" spans="1:64" x14ac:dyDescent="0.25">
      <c r="A30" s="988">
        <v>17</v>
      </c>
      <c r="B30" s="989">
        <f t="shared" si="6"/>
        <v>0</v>
      </c>
      <c r="C30" s="785">
        <f>IF(+$D$7=4,0,B29*$D$4)</f>
        <v>0</v>
      </c>
      <c r="D30" s="990">
        <f t="shared" si="7"/>
        <v>0</v>
      </c>
      <c r="E30" s="785">
        <f t="shared" si="32"/>
        <v>0</v>
      </c>
      <c r="F30" s="990">
        <f t="shared" si="9"/>
        <v>0</v>
      </c>
      <c r="G30" s="785">
        <f t="shared" si="19"/>
        <v>0</v>
      </c>
      <c r="H30" s="988">
        <f t="shared" si="20"/>
        <v>0</v>
      </c>
      <c r="J30" s="988">
        <v>17</v>
      </c>
      <c r="K30" s="989">
        <f t="shared" si="10"/>
        <v>0</v>
      </c>
      <c r="L30" s="785">
        <f>IF(+$M$7=4,0,K29*$M$4)</f>
        <v>0</v>
      </c>
      <c r="M30" s="990">
        <f t="shared" si="11"/>
        <v>0</v>
      </c>
      <c r="N30" s="785">
        <f t="shared" si="33"/>
        <v>0</v>
      </c>
      <c r="O30" s="990">
        <f t="shared" si="13"/>
        <v>0</v>
      </c>
      <c r="P30" s="785">
        <f t="shared" si="21"/>
        <v>0</v>
      </c>
      <c r="Q30" s="988">
        <f t="shared" si="22"/>
        <v>0</v>
      </c>
      <c r="S30" s="988">
        <v>17</v>
      </c>
      <c r="T30" s="989">
        <f t="shared" si="14"/>
        <v>0</v>
      </c>
      <c r="U30" s="785">
        <f>IF(+$V$7=4,0,T29*$V$4)</f>
        <v>0</v>
      </c>
      <c r="V30" s="990">
        <f t="shared" si="15"/>
        <v>0</v>
      </c>
      <c r="W30" s="785">
        <f t="shared" si="34"/>
        <v>0</v>
      </c>
      <c r="X30" s="990">
        <f t="shared" si="17"/>
        <v>0</v>
      </c>
      <c r="Y30" s="785">
        <f t="shared" si="23"/>
        <v>0</v>
      </c>
      <c r="Z30" s="988">
        <f t="shared" si="24"/>
        <v>0</v>
      </c>
    </row>
    <row r="31" spans="1:64" x14ac:dyDescent="0.25">
      <c r="A31" s="988">
        <v>18</v>
      </c>
      <c r="B31" s="989">
        <f t="shared" si="6"/>
        <v>0</v>
      </c>
      <c r="C31" s="785">
        <f>IF(+$D$7=4,0,B30*$D$4)</f>
        <v>0</v>
      </c>
      <c r="D31" s="990">
        <f t="shared" si="7"/>
        <v>0</v>
      </c>
      <c r="E31" s="785">
        <f t="shared" si="32"/>
        <v>0</v>
      </c>
      <c r="F31" s="990">
        <f t="shared" si="9"/>
        <v>0</v>
      </c>
      <c r="G31" s="785">
        <f t="shared" si="19"/>
        <v>0</v>
      </c>
      <c r="H31" s="988">
        <f t="shared" si="20"/>
        <v>0</v>
      </c>
      <c r="J31" s="988">
        <v>18</v>
      </c>
      <c r="K31" s="989">
        <f t="shared" si="10"/>
        <v>0</v>
      </c>
      <c r="L31" s="785">
        <f>IF(+$M$7=4,0,K30*$M$4)</f>
        <v>0</v>
      </c>
      <c r="M31" s="990">
        <f t="shared" si="11"/>
        <v>0</v>
      </c>
      <c r="N31" s="785">
        <f t="shared" si="33"/>
        <v>0</v>
      </c>
      <c r="O31" s="990">
        <f t="shared" si="13"/>
        <v>0</v>
      </c>
      <c r="P31" s="785">
        <f t="shared" si="21"/>
        <v>0</v>
      </c>
      <c r="Q31" s="988">
        <f t="shared" si="22"/>
        <v>0</v>
      </c>
      <c r="S31" s="988">
        <v>18</v>
      </c>
      <c r="T31" s="989">
        <f t="shared" si="14"/>
        <v>0</v>
      </c>
      <c r="U31" s="785">
        <f>IF(+$V$7=4,0,T30*$V$4)</f>
        <v>0</v>
      </c>
      <c r="V31" s="990">
        <f t="shared" si="15"/>
        <v>0</v>
      </c>
      <c r="W31" s="785">
        <f t="shared" si="34"/>
        <v>0</v>
      </c>
      <c r="X31" s="990">
        <f t="shared" si="17"/>
        <v>0</v>
      </c>
      <c r="Y31" s="785">
        <f t="shared" si="23"/>
        <v>0</v>
      </c>
      <c r="Z31" s="988">
        <f t="shared" si="24"/>
        <v>0</v>
      </c>
    </row>
    <row r="32" spans="1:64" x14ac:dyDescent="0.25">
      <c r="A32" s="988">
        <v>19</v>
      </c>
      <c r="B32" s="989">
        <f t="shared" si="6"/>
        <v>0</v>
      </c>
      <c r="C32" s="785">
        <f>B31*$D$4</f>
        <v>0</v>
      </c>
      <c r="D32" s="990">
        <f t="shared" si="7"/>
        <v>0</v>
      </c>
      <c r="E32" s="785">
        <f t="shared" ref="E32:E37" si="35">IF(OR(C$6&gt;1.5,C32&lt;0.01),0,C$8-C32)</f>
        <v>0</v>
      </c>
      <c r="F32" s="990">
        <f t="shared" si="9"/>
        <v>0</v>
      </c>
      <c r="G32" s="785">
        <f t="shared" si="19"/>
        <v>0</v>
      </c>
      <c r="H32" s="988">
        <f t="shared" si="20"/>
        <v>0</v>
      </c>
      <c r="J32" s="988">
        <v>19</v>
      </c>
      <c r="K32" s="989">
        <f t="shared" si="10"/>
        <v>0</v>
      </c>
      <c r="L32" s="785">
        <f>K31*$M$4</f>
        <v>0</v>
      </c>
      <c r="M32" s="990">
        <f t="shared" si="11"/>
        <v>0</v>
      </c>
      <c r="N32" s="785">
        <f t="shared" ref="N32:N37" si="36">IF(OR(L$6&gt;1.5,L32&lt;1),0,L$8-L32)</f>
        <v>0</v>
      </c>
      <c r="O32" s="990">
        <f t="shared" si="13"/>
        <v>0</v>
      </c>
      <c r="P32" s="785">
        <f t="shared" si="21"/>
        <v>0</v>
      </c>
      <c r="Q32" s="988">
        <f t="shared" si="22"/>
        <v>0</v>
      </c>
      <c r="S32" s="988">
        <v>19</v>
      </c>
      <c r="T32" s="989">
        <f t="shared" si="14"/>
        <v>0</v>
      </c>
      <c r="U32" s="785">
        <f>T31*$V$4</f>
        <v>0</v>
      </c>
      <c r="V32" s="990">
        <f t="shared" si="15"/>
        <v>0</v>
      </c>
      <c r="W32" s="785">
        <f t="shared" ref="W32:W37" si="37">IF(OR(U$6&gt;1.5,U32&lt;1),0,U$8-U32)</f>
        <v>0</v>
      </c>
      <c r="X32" s="990">
        <f t="shared" si="17"/>
        <v>0</v>
      </c>
      <c r="Y32" s="785">
        <f t="shared" si="23"/>
        <v>0</v>
      </c>
      <c r="Z32" s="988">
        <f t="shared" si="24"/>
        <v>0</v>
      </c>
    </row>
    <row r="33" spans="1:26" x14ac:dyDescent="0.25">
      <c r="A33" s="988">
        <v>20</v>
      </c>
      <c r="B33" s="989">
        <f t="shared" si="6"/>
        <v>0</v>
      </c>
      <c r="C33" s="785">
        <f>IF(+$D$7=4,0,B32*$D$4)</f>
        <v>0</v>
      </c>
      <c r="D33" s="990">
        <f t="shared" si="7"/>
        <v>0</v>
      </c>
      <c r="E33" s="785">
        <f t="shared" si="35"/>
        <v>0</v>
      </c>
      <c r="F33" s="990">
        <f t="shared" si="9"/>
        <v>0</v>
      </c>
      <c r="G33" s="785">
        <f t="shared" si="19"/>
        <v>0</v>
      </c>
      <c r="H33" s="988">
        <f t="shared" si="20"/>
        <v>0</v>
      </c>
      <c r="J33" s="988">
        <v>20</v>
      </c>
      <c r="K33" s="989">
        <f t="shared" si="10"/>
        <v>0</v>
      </c>
      <c r="L33" s="785">
        <f>IF(+$M$7=4,0,K32*$M$4)</f>
        <v>0</v>
      </c>
      <c r="M33" s="990">
        <f t="shared" si="11"/>
        <v>0</v>
      </c>
      <c r="N33" s="785">
        <f t="shared" si="36"/>
        <v>0</v>
      </c>
      <c r="O33" s="990">
        <f t="shared" si="13"/>
        <v>0</v>
      </c>
      <c r="P33" s="785">
        <f t="shared" si="21"/>
        <v>0</v>
      </c>
      <c r="Q33" s="988">
        <f t="shared" si="22"/>
        <v>0</v>
      </c>
      <c r="S33" s="988">
        <v>20</v>
      </c>
      <c r="T33" s="989">
        <f t="shared" si="14"/>
        <v>0</v>
      </c>
      <c r="U33" s="785">
        <f>IF(+$V$7=4,0,T32*$V$4)</f>
        <v>0</v>
      </c>
      <c r="V33" s="990">
        <f t="shared" si="15"/>
        <v>0</v>
      </c>
      <c r="W33" s="785">
        <f t="shared" si="37"/>
        <v>0</v>
      </c>
      <c r="X33" s="990">
        <f t="shared" si="17"/>
        <v>0</v>
      </c>
      <c r="Y33" s="785">
        <f t="shared" si="23"/>
        <v>0</v>
      </c>
      <c r="Z33" s="988">
        <f t="shared" si="24"/>
        <v>0</v>
      </c>
    </row>
    <row r="34" spans="1:26" x14ac:dyDescent="0.25">
      <c r="A34" s="988">
        <v>21</v>
      </c>
      <c r="B34" s="989">
        <f t="shared" si="6"/>
        <v>0</v>
      </c>
      <c r="C34" s="785">
        <f>IF(+$D$7=4,0,B33*$D$4)</f>
        <v>0</v>
      </c>
      <c r="D34" s="990">
        <f t="shared" si="7"/>
        <v>0</v>
      </c>
      <c r="E34" s="785">
        <f t="shared" si="35"/>
        <v>0</v>
      </c>
      <c r="F34" s="990">
        <f t="shared" si="9"/>
        <v>0</v>
      </c>
      <c r="G34" s="785">
        <f t="shared" si="19"/>
        <v>0</v>
      </c>
      <c r="H34" s="988">
        <f t="shared" si="20"/>
        <v>0</v>
      </c>
      <c r="J34" s="988">
        <v>21</v>
      </c>
      <c r="K34" s="989">
        <f t="shared" si="10"/>
        <v>0</v>
      </c>
      <c r="L34" s="785">
        <f>IF(+$M$7=4,0,K33*$M$4)</f>
        <v>0</v>
      </c>
      <c r="M34" s="990">
        <f t="shared" si="11"/>
        <v>0</v>
      </c>
      <c r="N34" s="785">
        <f t="shared" si="36"/>
        <v>0</v>
      </c>
      <c r="O34" s="990">
        <f t="shared" si="13"/>
        <v>0</v>
      </c>
      <c r="P34" s="785">
        <f t="shared" si="21"/>
        <v>0</v>
      </c>
      <c r="Q34" s="988">
        <f t="shared" si="22"/>
        <v>0</v>
      </c>
      <c r="S34" s="988">
        <v>21</v>
      </c>
      <c r="T34" s="989">
        <f t="shared" si="14"/>
        <v>0</v>
      </c>
      <c r="U34" s="785">
        <f>IF(+$V$7=4,0,T33*$V$4)</f>
        <v>0</v>
      </c>
      <c r="V34" s="990">
        <f t="shared" si="15"/>
        <v>0</v>
      </c>
      <c r="W34" s="785">
        <f t="shared" si="37"/>
        <v>0</v>
      </c>
      <c r="X34" s="990">
        <f t="shared" si="17"/>
        <v>0</v>
      </c>
      <c r="Y34" s="785">
        <f t="shared" si="23"/>
        <v>0</v>
      </c>
      <c r="Z34" s="988">
        <f t="shared" si="24"/>
        <v>0</v>
      </c>
    </row>
    <row r="35" spans="1:26" x14ac:dyDescent="0.25">
      <c r="A35" s="988">
        <v>22</v>
      </c>
      <c r="B35" s="989">
        <f t="shared" si="6"/>
        <v>0</v>
      </c>
      <c r="C35" s="785">
        <f>B34*$D$4</f>
        <v>0</v>
      </c>
      <c r="D35" s="990">
        <f t="shared" si="7"/>
        <v>0</v>
      </c>
      <c r="E35" s="785">
        <f t="shared" si="35"/>
        <v>0</v>
      </c>
      <c r="F35" s="990">
        <f t="shared" si="9"/>
        <v>0</v>
      </c>
      <c r="G35" s="785">
        <f t="shared" si="19"/>
        <v>0</v>
      </c>
      <c r="H35" s="988">
        <f t="shared" si="20"/>
        <v>0</v>
      </c>
      <c r="J35" s="988">
        <v>22</v>
      </c>
      <c r="K35" s="989">
        <f t="shared" si="10"/>
        <v>0</v>
      </c>
      <c r="L35" s="785">
        <f>K34*$M$4</f>
        <v>0</v>
      </c>
      <c r="M35" s="990">
        <f t="shared" si="11"/>
        <v>0</v>
      </c>
      <c r="N35" s="785">
        <f t="shared" si="36"/>
        <v>0</v>
      </c>
      <c r="O35" s="990">
        <f t="shared" si="13"/>
        <v>0</v>
      </c>
      <c r="P35" s="785">
        <f t="shared" si="21"/>
        <v>0</v>
      </c>
      <c r="Q35" s="988">
        <f t="shared" si="22"/>
        <v>0</v>
      </c>
      <c r="S35" s="988">
        <v>22</v>
      </c>
      <c r="T35" s="989">
        <f t="shared" si="14"/>
        <v>0</v>
      </c>
      <c r="U35" s="785">
        <f>T34*$V$4</f>
        <v>0</v>
      </c>
      <c r="V35" s="990">
        <f t="shared" si="15"/>
        <v>0</v>
      </c>
      <c r="W35" s="785">
        <f t="shared" si="37"/>
        <v>0</v>
      </c>
      <c r="X35" s="990">
        <f t="shared" si="17"/>
        <v>0</v>
      </c>
      <c r="Y35" s="785">
        <f t="shared" si="23"/>
        <v>0</v>
      </c>
      <c r="Z35" s="988">
        <f t="shared" si="24"/>
        <v>0</v>
      </c>
    </row>
    <row r="36" spans="1:26" x14ac:dyDescent="0.25">
      <c r="A36" s="988">
        <v>23</v>
      </c>
      <c r="B36" s="989">
        <f t="shared" si="6"/>
        <v>0</v>
      </c>
      <c r="C36" s="785">
        <f>IF(+$D$7=4,0,B35*$D$4)</f>
        <v>0</v>
      </c>
      <c r="D36" s="990">
        <f t="shared" si="7"/>
        <v>0</v>
      </c>
      <c r="E36" s="785">
        <f t="shared" si="35"/>
        <v>0</v>
      </c>
      <c r="F36" s="990">
        <f t="shared" si="9"/>
        <v>0</v>
      </c>
      <c r="G36" s="785">
        <f t="shared" si="19"/>
        <v>0</v>
      </c>
      <c r="H36" s="988">
        <f t="shared" si="20"/>
        <v>0</v>
      </c>
      <c r="J36" s="988">
        <v>23</v>
      </c>
      <c r="K36" s="989">
        <f t="shared" si="10"/>
        <v>0</v>
      </c>
      <c r="L36" s="785">
        <f>IF(+$M$7=4,0,K35*$M$4)</f>
        <v>0</v>
      </c>
      <c r="M36" s="990">
        <f t="shared" si="11"/>
        <v>0</v>
      </c>
      <c r="N36" s="785">
        <f t="shared" si="36"/>
        <v>0</v>
      </c>
      <c r="O36" s="990">
        <f t="shared" si="13"/>
        <v>0</v>
      </c>
      <c r="P36" s="785">
        <f t="shared" si="21"/>
        <v>0</v>
      </c>
      <c r="Q36" s="988">
        <f t="shared" si="22"/>
        <v>0</v>
      </c>
      <c r="S36" s="988">
        <v>23</v>
      </c>
      <c r="T36" s="989">
        <f t="shared" si="14"/>
        <v>0</v>
      </c>
      <c r="U36" s="785">
        <f>IF(+$V$7=4,0,T35*$V$4)</f>
        <v>0</v>
      </c>
      <c r="V36" s="990">
        <f t="shared" si="15"/>
        <v>0</v>
      </c>
      <c r="W36" s="785">
        <f t="shared" si="37"/>
        <v>0</v>
      </c>
      <c r="X36" s="990">
        <f t="shared" si="17"/>
        <v>0</v>
      </c>
      <c r="Y36" s="785">
        <f t="shared" si="23"/>
        <v>0</v>
      </c>
      <c r="Z36" s="988">
        <f t="shared" si="24"/>
        <v>0</v>
      </c>
    </row>
    <row r="37" spans="1:26" x14ac:dyDescent="0.25">
      <c r="A37" s="988">
        <v>24</v>
      </c>
      <c r="B37" s="989">
        <f t="shared" si="6"/>
        <v>0</v>
      </c>
      <c r="C37" s="785">
        <f>IF(+$D$7=4,0,B36*$D$4)</f>
        <v>0</v>
      </c>
      <c r="D37" s="990">
        <f t="shared" si="7"/>
        <v>0</v>
      </c>
      <c r="E37" s="785">
        <f t="shared" si="35"/>
        <v>0</v>
      </c>
      <c r="F37" s="990">
        <f t="shared" si="9"/>
        <v>0</v>
      </c>
      <c r="G37" s="785">
        <f t="shared" si="19"/>
        <v>0</v>
      </c>
      <c r="H37" s="988">
        <f t="shared" si="20"/>
        <v>0</v>
      </c>
      <c r="J37" s="988">
        <v>24</v>
      </c>
      <c r="K37" s="989">
        <f t="shared" si="10"/>
        <v>0</v>
      </c>
      <c r="L37" s="785">
        <f>IF(+$M$7=4,0,K36*$M$4)</f>
        <v>0</v>
      </c>
      <c r="M37" s="990">
        <f t="shared" si="11"/>
        <v>0</v>
      </c>
      <c r="N37" s="785">
        <f t="shared" si="36"/>
        <v>0</v>
      </c>
      <c r="O37" s="990">
        <f t="shared" si="13"/>
        <v>0</v>
      </c>
      <c r="P37" s="785">
        <f t="shared" si="21"/>
        <v>0</v>
      </c>
      <c r="Q37" s="988">
        <f t="shared" si="22"/>
        <v>0</v>
      </c>
      <c r="S37" s="988">
        <v>24</v>
      </c>
      <c r="T37" s="989">
        <f t="shared" si="14"/>
        <v>0</v>
      </c>
      <c r="U37" s="785">
        <f>IF(+$V$7=4,0,T36*$V$4)</f>
        <v>0</v>
      </c>
      <c r="V37" s="990">
        <f t="shared" si="15"/>
        <v>0</v>
      </c>
      <c r="W37" s="785">
        <f t="shared" si="37"/>
        <v>0</v>
      </c>
      <c r="X37" s="990">
        <f t="shared" si="17"/>
        <v>0</v>
      </c>
      <c r="Y37" s="785">
        <f t="shared" si="23"/>
        <v>0</v>
      </c>
      <c r="Z37" s="988">
        <f t="shared" si="24"/>
        <v>0</v>
      </c>
    </row>
    <row r="38" spans="1:26" x14ac:dyDescent="0.25">
      <c r="A38" s="988">
        <v>25</v>
      </c>
      <c r="B38" s="989">
        <f t="shared" si="6"/>
        <v>0</v>
      </c>
      <c r="C38" s="785">
        <f>B37*$D$4</f>
        <v>0</v>
      </c>
      <c r="D38" s="990">
        <f t="shared" si="7"/>
        <v>0</v>
      </c>
      <c r="E38" s="785">
        <f t="shared" ref="E38:E43" si="38">IF(OR(C$6&gt;2,C38&lt;0.01),0,C$8-C38)</f>
        <v>0</v>
      </c>
      <c r="F38" s="990">
        <f t="shared" si="9"/>
        <v>0</v>
      </c>
      <c r="G38" s="785">
        <f t="shared" si="19"/>
        <v>0</v>
      </c>
      <c r="H38" s="988">
        <f t="shared" si="20"/>
        <v>0</v>
      </c>
      <c r="J38" s="988">
        <v>25</v>
      </c>
      <c r="K38" s="989">
        <f t="shared" si="10"/>
        <v>0</v>
      </c>
      <c r="L38" s="785">
        <f>K37*$M$4</f>
        <v>0</v>
      </c>
      <c r="M38" s="990">
        <f t="shared" si="11"/>
        <v>0</v>
      </c>
      <c r="N38" s="785">
        <f t="shared" ref="N38:N43" si="39">IF(OR(L$6&gt;2,L38&lt;1),0,L$8-L38)</f>
        <v>0</v>
      </c>
      <c r="O38" s="990">
        <f t="shared" si="13"/>
        <v>0</v>
      </c>
      <c r="P38" s="785">
        <f t="shared" si="21"/>
        <v>0</v>
      </c>
      <c r="Q38" s="988">
        <f t="shared" si="22"/>
        <v>0</v>
      </c>
      <c r="S38" s="988">
        <v>25</v>
      </c>
      <c r="T38" s="989">
        <f t="shared" si="14"/>
        <v>0</v>
      </c>
      <c r="U38" s="785">
        <f>T37*$V$4</f>
        <v>0</v>
      </c>
      <c r="V38" s="990">
        <f t="shared" si="15"/>
        <v>0</v>
      </c>
      <c r="W38" s="785">
        <f t="shared" ref="W38:W43" si="40">IF(OR(U$6&gt;2,U38&lt;1),0,U$8-U38)</f>
        <v>0</v>
      </c>
      <c r="X38" s="990">
        <f t="shared" si="17"/>
        <v>0</v>
      </c>
      <c r="Y38" s="785">
        <f t="shared" si="23"/>
        <v>0</v>
      </c>
      <c r="Z38" s="988">
        <f t="shared" si="24"/>
        <v>0</v>
      </c>
    </row>
    <row r="39" spans="1:26" x14ac:dyDescent="0.25">
      <c r="A39" s="988">
        <v>26</v>
      </c>
      <c r="B39" s="989">
        <f t="shared" si="6"/>
        <v>0</v>
      </c>
      <c r="C39" s="785">
        <f>IF(+$D$7=4,0,B38*$D$4)</f>
        <v>0</v>
      </c>
      <c r="D39" s="990">
        <f t="shared" si="7"/>
        <v>0</v>
      </c>
      <c r="E39" s="785">
        <f t="shared" si="38"/>
        <v>0</v>
      </c>
      <c r="F39" s="990">
        <f t="shared" si="9"/>
        <v>0</v>
      </c>
      <c r="G39" s="785">
        <f t="shared" si="19"/>
        <v>0</v>
      </c>
      <c r="H39" s="988">
        <f t="shared" si="20"/>
        <v>0</v>
      </c>
      <c r="J39" s="988">
        <v>26</v>
      </c>
      <c r="K39" s="989">
        <f t="shared" si="10"/>
        <v>0</v>
      </c>
      <c r="L39" s="785">
        <f>IF(+$M$7=4,0,K38*$M$4)</f>
        <v>0</v>
      </c>
      <c r="M39" s="990">
        <f t="shared" si="11"/>
        <v>0</v>
      </c>
      <c r="N39" s="785">
        <f t="shared" si="39"/>
        <v>0</v>
      </c>
      <c r="O39" s="990">
        <f t="shared" si="13"/>
        <v>0</v>
      </c>
      <c r="P39" s="785">
        <f t="shared" si="21"/>
        <v>0</v>
      </c>
      <c r="Q39" s="988">
        <f t="shared" si="22"/>
        <v>0</v>
      </c>
      <c r="S39" s="988">
        <v>26</v>
      </c>
      <c r="T39" s="989">
        <f t="shared" si="14"/>
        <v>0</v>
      </c>
      <c r="U39" s="785">
        <f>IF(+$V$7=4,0,T38*$V$4)</f>
        <v>0</v>
      </c>
      <c r="V39" s="990">
        <f t="shared" si="15"/>
        <v>0</v>
      </c>
      <c r="W39" s="785">
        <f t="shared" si="40"/>
        <v>0</v>
      </c>
      <c r="X39" s="990">
        <f t="shared" si="17"/>
        <v>0</v>
      </c>
      <c r="Y39" s="785">
        <f t="shared" si="23"/>
        <v>0</v>
      </c>
      <c r="Z39" s="988">
        <f t="shared" si="24"/>
        <v>0</v>
      </c>
    </row>
    <row r="40" spans="1:26" x14ac:dyDescent="0.25">
      <c r="A40" s="988">
        <v>27</v>
      </c>
      <c r="B40" s="989">
        <f t="shared" si="6"/>
        <v>0</v>
      </c>
      <c r="C40" s="785">
        <f>IF(+$D$7=4,0,B39*$D$4)</f>
        <v>0</v>
      </c>
      <c r="D40" s="990">
        <f t="shared" si="7"/>
        <v>0</v>
      </c>
      <c r="E40" s="785">
        <f t="shared" si="38"/>
        <v>0</v>
      </c>
      <c r="F40" s="990">
        <f t="shared" si="9"/>
        <v>0</v>
      </c>
      <c r="G40" s="785">
        <f t="shared" si="19"/>
        <v>0</v>
      </c>
      <c r="H40" s="988">
        <f t="shared" si="20"/>
        <v>0</v>
      </c>
      <c r="J40" s="988">
        <v>27</v>
      </c>
      <c r="K40" s="989">
        <f t="shared" si="10"/>
        <v>0</v>
      </c>
      <c r="L40" s="785">
        <f>IF(+$M$7=4,0,K39*$M$4)</f>
        <v>0</v>
      </c>
      <c r="M40" s="990">
        <f t="shared" si="11"/>
        <v>0</v>
      </c>
      <c r="N40" s="785">
        <f t="shared" si="39"/>
        <v>0</v>
      </c>
      <c r="O40" s="990">
        <f t="shared" si="13"/>
        <v>0</v>
      </c>
      <c r="P40" s="785">
        <f t="shared" si="21"/>
        <v>0</v>
      </c>
      <c r="Q40" s="988">
        <f t="shared" si="22"/>
        <v>0</v>
      </c>
      <c r="S40" s="988">
        <v>27</v>
      </c>
      <c r="T40" s="989">
        <f t="shared" si="14"/>
        <v>0</v>
      </c>
      <c r="U40" s="785">
        <f>IF(+$V$7=4,0,T39*$V$4)</f>
        <v>0</v>
      </c>
      <c r="V40" s="990">
        <f t="shared" si="15"/>
        <v>0</v>
      </c>
      <c r="W40" s="785">
        <f t="shared" si="40"/>
        <v>0</v>
      </c>
      <c r="X40" s="990">
        <f t="shared" si="17"/>
        <v>0</v>
      </c>
      <c r="Y40" s="785">
        <f t="shared" si="23"/>
        <v>0</v>
      </c>
      <c r="Z40" s="988">
        <f t="shared" si="24"/>
        <v>0</v>
      </c>
    </row>
    <row r="41" spans="1:26" x14ac:dyDescent="0.25">
      <c r="A41" s="988">
        <v>28</v>
      </c>
      <c r="B41" s="989">
        <f t="shared" si="6"/>
        <v>0</v>
      </c>
      <c r="C41" s="785">
        <f>B40*$D$4</f>
        <v>0</v>
      </c>
      <c r="D41" s="990">
        <f t="shared" si="7"/>
        <v>0</v>
      </c>
      <c r="E41" s="785">
        <f t="shared" si="38"/>
        <v>0</v>
      </c>
      <c r="F41" s="990">
        <f t="shared" si="9"/>
        <v>0</v>
      </c>
      <c r="G41" s="785">
        <f t="shared" si="19"/>
        <v>0</v>
      </c>
      <c r="H41" s="988">
        <f t="shared" si="20"/>
        <v>0</v>
      </c>
      <c r="J41" s="988">
        <v>28</v>
      </c>
      <c r="K41" s="989">
        <f t="shared" si="10"/>
        <v>0</v>
      </c>
      <c r="L41" s="785">
        <f>K40*$M$4</f>
        <v>0</v>
      </c>
      <c r="M41" s="990">
        <f t="shared" si="11"/>
        <v>0</v>
      </c>
      <c r="N41" s="785">
        <f t="shared" si="39"/>
        <v>0</v>
      </c>
      <c r="O41" s="990">
        <f t="shared" si="13"/>
        <v>0</v>
      </c>
      <c r="P41" s="785">
        <f t="shared" si="21"/>
        <v>0</v>
      </c>
      <c r="Q41" s="988">
        <f t="shared" si="22"/>
        <v>0</v>
      </c>
      <c r="S41" s="988">
        <v>28</v>
      </c>
      <c r="T41" s="989">
        <f t="shared" si="14"/>
        <v>0</v>
      </c>
      <c r="U41" s="785">
        <f>T40*$V$4</f>
        <v>0</v>
      </c>
      <c r="V41" s="990">
        <f t="shared" si="15"/>
        <v>0</v>
      </c>
      <c r="W41" s="785">
        <f t="shared" si="40"/>
        <v>0</v>
      </c>
      <c r="X41" s="990">
        <f t="shared" si="17"/>
        <v>0</v>
      </c>
      <c r="Y41" s="785">
        <f t="shared" si="23"/>
        <v>0</v>
      </c>
      <c r="Z41" s="988">
        <f t="shared" si="24"/>
        <v>0</v>
      </c>
    </row>
    <row r="42" spans="1:26" x14ac:dyDescent="0.25">
      <c r="A42" s="988">
        <v>29</v>
      </c>
      <c r="B42" s="989">
        <f t="shared" si="6"/>
        <v>0</v>
      </c>
      <c r="C42" s="785">
        <f>IF(+$D$7=4,0,B41*$D$4)</f>
        <v>0</v>
      </c>
      <c r="D42" s="990">
        <f t="shared" si="7"/>
        <v>0</v>
      </c>
      <c r="E42" s="785">
        <f t="shared" si="38"/>
        <v>0</v>
      </c>
      <c r="F42" s="990">
        <f t="shared" si="9"/>
        <v>0</v>
      </c>
      <c r="G42" s="785">
        <f t="shared" si="19"/>
        <v>0</v>
      </c>
      <c r="H42" s="988">
        <f t="shared" si="20"/>
        <v>0</v>
      </c>
      <c r="J42" s="988">
        <v>29</v>
      </c>
      <c r="K42" s="989">
        <f t="shared" si="10"/>
        <v>0</v>
      </c>
      <c r="L42" s="785">
        <f>IF(+$M$7=4,0,K41*$M$4)</f>
        <v>0</v>
      </c>
      <c r="M42" s="990">
        <f t="shared" si="11"/>
        <v>0</v>
      </c>
      <c r="N42" s="785">
        <f t="shared" si="39"/>
        <v>0</v>
      </c>
      <c r="O42" s="990">
        <f t="shared" si="13"/>
        <v>0</v>
      </c>
      <c r="P42" s="785">
        <f t="shared" si="21"/>
        <v>0</v>
      </c>
      <c r="Q42" s="988">
        <f t="shared" si="22"/>
        <v>0</v>
      </c>
      <c r="S42" s="988">
        <v>29</v>
      </c>
      <c r="T42" s="989">
        <f t="shared" si="14"/>
        <v>0</v>
      </c>
      <c r="U42" s="785">
        <f>IF(+$V$7=4,0,T41*$V$4)</f>
        <v>0</v>
      </c>
      <c r="V42" s="990">
        <f t="shared" si="15"/>
        <v>0</v>
      </c>
      <c r="W42" s="785">
        <f t="shared" si="40"/>
        <v>0</v>
      </c>
      <c r="X42" s="990">
        <f t="shared" si="17"/>
        <v>0</v>
      </c>
      <c r="Y42" s="785">
        <f t="shared" si="23"/>
        <v>0</v>
      </c>
      <c r="Z42" s="988">
        <f t="shared" si="24"/>
        <v>0</v>
      </c>
    </row>
    <row r="43" spans="1:26" x14ac:dyDescent="0.25">
      <c r="A43" s="988">
        <v>30</v>
      </c>
      <c r="B43" s="989">
        <f t="shared" si="6"/>
        <v>0</v>
      </c>
      <c r="C43" s="785">
        <f>IF(+$D$7=4,0,B42*$D$4)</f>
        <v>0</v>
      </c>
      <c r="D43" s="990">
        <f t="shared" si="7"/>
        <v>0</v>
      </c>
      <c r="E43" s="785">
        <f t="shared" si="38"/>
        <v>0</v>
      </c>
      <c r="F43" s="990">
        <f t="shared" si="9"/>
        <v>0</v>
      </c>
      <c r="G43" s="785">
        <f t="shared" si="19"/>
        <v>0</v>
      </c>
      <c r="H43" s="988">
        <f t="shared" si="20"/>
        <v>0</v>
      </c>
      <c r="J43" s="988">
        <v>30</v>
      </c>
      <c r="K43" s="989">
        <f t="shared" si="10"/>
        <v>0</v>
      </c>
      <c r="L43" s="785">
        <f>IF(+$M$7=4,0,K42*$M$4)</f>
        <v>0</v>
      </c>
      <c r="M43" s="990">
        <f t="shared" si="11"/>
        <v>0</v>
      </c>
      <c r="N43" s="785">
        <f t="shared" si="39"/>
        <v>0</v>
      </c>
      <c r="O43" s="990">
        <f t="shared" si="13"/>
        <v>0</v>
      </c>
      <c r="P43" s="785">
        <f t="shared" si="21"/>
        <v>0</v>
      </c>
      <c r="Q43" s="988">
        <f t="shared" si="22"/>
        <v>0</v>
      </c>
      <c r="S43" s="988">
        <v>30</v>
      </c>
      <c r="T43" s="989">
        <f t="shared" si="14"/>
        <v>0</v>
      </c>
      <c r="U43" s="785">
        <f>IF(+$V$7=4,0,T42*$V$4)</f>
        <v>0</v>
      </c>
      <c r="V43" s="990">
        <f t="shared" si="15"/>
        <v>0</v>
      </c>
      <c r="W43" s="785">
        <f t="shared" si="40"/>
        <v>0</v>
      </c>
      <c r="X43" s="990">
        <f t="shared" si="17"/>
        <v>0</v>
      </c>
      <c r="Y43" s="785">
        <f t="shared" si="23"/>
        <v>0</v>
      </c>
      <c r="Z43" s="988">
        <f t="shared" si="24"/>
        <v>0</v>
      </c>
    </row>
    <row r="44" spans="1:26" x14ac:dyDescent="0.25">
      <c r="A44" s="988">
        <v>31</v>
      </c>
      <c r="B44" s="989">
        <f t="shared" si="6"/>
        <v>0</v>
      </c>
      <c r="C44" s="785">
        <f>B43*$D$4</f>
        <v>0</v>
      </c>
      <c r="D44" s="990">
        <f t="shared" si="7"/>
        <v>0</v>
      </c>
      <c r="E44" s="785">
        <f t="shared" ref="E44:E49" si="41">IF(OR(C$6&gt;2.5,C44&lt;0.01),0,C$8-C44)</f>
        <v>0</v>
      </c>
      <c r="F44" s="990">
        <f t="shared" si="9"/>
        <v>0</v>
      </c>
      <c r="G44" s="785">
        <f t="shared" si="19"/>
        <v>0</v>
      </c>
      <c r="H44" s="988">
        <f t="shared" si="20"/>
        <v>0</v>
      </c>
      <c r="J44" s="988">
        <v>31</v>
      </c>
      <c r="K44" s="989">
        <f t="shared" si="10"/>
        <v>0</v>
      </c>
      <c r="L44" s="785">
        <f>K43*$M$4</f>
        <v>0</v>
      </c>
      <c r="M44" s="990">
        <f t="shared" si="11"/>
        <v>0</v>
      </c>
      <c r="N44" s="785">
        <f t="shared" ref="N44:N49" si="42">IF(OR(L$6&gt;2.5,L44&lt;1),0,L$8-L44)</f>
        <v>0</v>
      </c>
      <c r="O44" s="990">
        <f t="shared" si="13"/>
        <v>0</v>
      </c>
      <c r="P44" s="785">
        <f t="shared" si="21"/>
        <v>0</v>
      </c>
      <c r="Q44" s="988">
        <f t="shared" si="22"/>
        <v>0</v>
      </c>
      <c r="S44" s="988">
        <v>31</v>
      </c>
      <c r="T44" s="989">
        <f t="shared" si="14"/>
        <v>0</v>
      </c>
      <c r="U44" s="785">
        <f>T43*$V$4</f>
        <v>0</v>
      </c>
      <c r="V44" s="990">
        <f t="shared" si="15"/>
        <v>0</v>
      </c>
      <c r="W44" s="785">
        <f t="shared" ref="W44:W49" si="43">IF(OR(U$6&gt;2.5,U44&lt;1),0,U$8-U44)</f>
        <v>0</v>
      </c>
      <c r="X44" s="990">
        <f t="shared" si="17"/>
        <v>0</v>
      </c>
      <c r="Y44" s="785">
        <f t="shared" si="23"/>
        <v>0</v>
      </c>
      <c r="Z44" s="988">
        <f t="shared" si="24"/>
        <v>0</v>
      </c>
    </row>
    <row r="45" spans="1:26" x14ac:dyDescent="0.25">
      <c r="A45" s="988">
        <v>32</v>
      </c>
      <c r="B45" s="989">
        <f t="shared" si="6"/>
        <v>0</v>
      </c>
      <c r="C45" s="785">
        <f>IF(+$D$7=4,0,B44*$D$4)</f>
        <v>0</v>
      </c>
      <c r="D45" s="990">
        <f t="shared" si="7"/>
        <v>0</v>
      </c>
      <c r="E45" s="785">
        <f t="shared" si="41"/>
        <v>0</v>
      </c>
      <c r="F45" s="990">
        <f t="shared" si="9"/>
        <v>0</v>
      </c>
      <c r="G45" s="785">
        <f t="shared" si="19"/>
        <v>0</v>
      </c>
      <c r="H45" s="988">
        <f t="shared" si="20"/>
        <v>0</v>
      </c>
      <c r="J45" s="988">
        <v>32</v>
      </c>
      <c r="K45" s="989">
        <f t="shared" si="10"/>
        <v>0</v>
      </c>
      <c r="L45" s="785">
        <f>IF(+$M$7=4,0,K44*$M$4)</f>
        <v>0</v>
      </c>
      <c r="M45" s="990">
        <f t="shared" si="11"/>
        <v>0</v>
      </c>
      <c r="N45" s="785">
        <f t="shared" si="42"/>
        <v>0</v>
      </c>
      <c r="O45" s="990">
        <f t="shared" si="13"/>
        <v>0</v>
      </c>
      <c r="P45" s="785">
        <f t="shared" si="21"/>
        <v>0</v>
      </c>
      <c r="Q45" s="988">
        <f t="shared" si="22"/>
        <v>0</v>
      </c>
      <c r="S45" s="988">
        <v>32</v>
      </c>
      <c r="T45" s="989">
        <f t="shared" si="14"/>
        <v>0</v>
      </c>
      <c r="U45" s="785">
        <f>IF(+$V$7=4,0,T44*$V$4)</f>
        <v>0</v>
      </c>
      <c r="V45" s="990">
        <f t="shared" si="15"/>
        <v>0</v>
      </c>
      <c r="W45" s="785">
        <f t="shared" si="43"/>
        <v>0</v>
      </c>
      <c r="X45" s="990">
        <f t="shared" si="17"/>
        <v>0</v>
      </c>
      <c r="Y45" s="785">
        <f t="shared" si="23"/>
        <v>0</v>
      </c>
      <c r="Z45" s="988">
        <f t="shared" si="24"/>
        <v>0</v>
      </c>
    </row>
    <row r="46" spans="1:26" x14ac:dyDescent="0.25">
      <c r="A46" s="988">
        <v>33</v>
      </c>
      <c r="B46" s="989">
        <f t="shared" si="6"/>
        <v>0</v>
      </c>
      <c r="C46" s="785">
        <f>IF(+$D$7=4,0,B45*$D$4)</f>
        <v>0</v>
      </c>
      <c r="D46" s="990">
        <f t="shared" si="7"/>
        <v>0</v>
      </c>
      <c r="E46" s="785">
        <f t="shared" si="41"/>
        <v>0</v>
      </c>
      <c r="F46" s="990">
        <f>IF(D46=0,0,F45+E46)</f>
        <v>0</v>
      </c>
      <c r="G46" s="785">
        <f t="shared" si="19"/>
        <v>0</v>
      </c>
      <c r="H46" s="988">
        <f t="shared" si="20"/>
        <v>0</v>
      </c>
      <c r="J46" s="988">
        <v>33</v>
      </c>
      <c r="K46" s="989">
        <f t="shared" si="10"/>
        <v>0</v>
      </c>
      <c r="L46" s="785">
        <f>IF(+$M$7=4,0,K45*$M$4)</f>
        <v>0</v>
      </c>
      <c r="M46" s="990">
        <f t="shared" si="11"/>
        <v>0</v>
      </c>
      <c r="N46" s="785">
        <f t="shared" si="42"/>
        <v>0</v>
      </c>
      <c r="O46" s="990">
        <f>IF(M46=0,0,O45+N46)</f>
        <v>0</v>
      </c>
      <c r="P46" s="785">
        <f t="shared" si="21"/>
        <v>0</v>
      </c>
      <c r="Q46" s="988">
        <f t="shared" si="22"/>
        <v>0</v>
      </c>
      <c r="S46" s="988">
        <v>33</v>
      </c>
      <c r="T46" s="989">
        <f t="shared" si="14"/>
        <v>0</v>
      </c>
      <c r="U46" s="785">
        <f>IF(+$V$7=4,0,T45*$V$4)</f>
        <v>0</v>
      </c>
      <c r="V46" s="990">
        <f t="shared" si="15"/>
        <v>0</v>
      </c>
      <c r="W46" s="785">
        <f t="shared" si="43"/>
        <v>0</v>
      </c>
      <c r="X46" s="990">
        <f>IF(V46=0,0,X45+W46)</f>
        <v>0</v>
      </c>
      <c r="Y46" s="785">
        <f t="shared" si="23"/>
        <v>0</v>
      </c>
      <c r="Z46" s="988">
        <f t="shared" si="24"/>
        <v>0</v>
      </c>
    </row>
    <row r="47" spans="1:26" x14ac:dyDescent="0.25">
      <c r="A47" s="988">
        <v>34</v>
      </c>
      <c r="B47" s="989">
        <f t="shared" si="6"/>
        <v>0</v>
      </c>
      <c r="C47" s="785">
        <f>B46*$D$4</f>
        <v>0</v>
      </c>
      <c r="D47" s="990">
        <f t="shared" si="7"/>
        <v>0</v>
      </c>
      <c r="E47" s="785">
        <f t="shared" si="41"/>
        <v>0</v>
      </c>
      <c r="F47" s="990">
        <f>IF(D47=0,0,F46+E47)</f>
        <v>0</v>
      </c>
      <c r="G47" s="785">
        <f t="shared" si="19"/>
        <v>0</v>
      </c>
      <c r="H47" s="988">
        <f t="shared" si="20"/>
        <v>0</v>
      </c>
      <c r="J47" s="988">
        <v>34</v>
      </c>
      <c r="K47" s="989">
        <f t="shared" si="10"/>
        <v>0</v>
      </c>
      <c r="L47" s="785">
        <f>K46*$M$4</f>
        <v>0</v>
      </c>
      <c r="M47" s="990">
        <f t="shared" si="11"/>
        <v>0</v>
      </c>
      <c r="N47" s="785">
        <f t="shared" si="42"/>
        <v>0</v>
      </c>
      <c r="O47" s="990">
        <f>IF(M47=0,0,O46+N47)</f>
        <v>0</v>
      </c>
      <c r="P47" s="785">
        <f t="shared" si="21"/>
        <v>0</v>
      </c>
      <c r="Q47" s="988">
        <f t="shared" si="22"/>
        <v>0</v>
      </c>
      <c r="S47" s="988">
        <v>34</v>
      </c>
      <c r="T47" s="989">
        <f t="shared" si="14"/>
        <v>0</v>
      </c>
      <c r="U47" s="785">
        <f>T46*$V$4</f>
        <v>0</v>
      </c>
      <c r="V47" s="990">
        <f t="shared" si="15"/>
        <v>0</v>
      </c>
      <c r="W47" s="785">
        <f t="shared" si="43"/>
        <v>0</v>
      </c>
      <c r="X47" s="990">
        <f>IF(V47=0,0,X46+W47)</f>
        <v>0</v>
      </c>
      <c r="Y47" s="785">
        <f t="shared" si="23"/>
        <v>0</v>
      </c>
      <c r="Z47" s="988">
        <f t="shared" si="24"/>
        <v>0</v>
      </c>
    </row>
    <row r="48" spans="1:26" x14ac:dyDescent="0.25">
      <c r="A48" s="988">
        <v>35</v>
      </c>
      <c r="B48" s="989">
        <f t="shared" si="6"/>
        <v>0</v>
      </c>
      <c r="C48" s="785">
        <f>IF(+$D$7=4,0,B47*$D$4)</f>
        <v>0</v>
      </c>
      <c r="D48" s="990">
        <f t="shared" si="7"/>
        <v>0</v>
      </c>
      <c r="E48" s="785">
        <f t="shared" si="41"/>
        <v>0</v>
      </c>
      <c r="F48" s="990">
        <f>IF(D48=0,0,F47+E48)</f>
        <v>0</v>
      </c>
      <c r="G48" s="785">
        <f t="shared" si="19"/>
        <v>0</v>
      </c>
      <c r="H48" s="988">
        <f t="shared" si="20"/>
        <v>0</v>
      </c>
      <c r="J48" s="988">
        <v>35</v>
      </c>
      <c r="K48" s="989">
        <f t="shared" si="10"/>
        <v>0</v>
      </c>
      <c r="L48" s="785">
        <f>IF(+$M$7=4,0,K47*$M$4)</f>
        <v>0</v>
      </c>
      <c r="M48" s="990">
        <f t="shared" si="11"/>
        <v>0</v>
      </c>
      <c r="N48" s="785">
        <f t="shared" si="42"/>
        <v>0</v>
      </c>
      <c r="O48" s="990">
        <f>IF(M48=0,0,O47+N48)</f>
        <v>0</v>
      </c>
      <c r="P48" s="785">
        <f t="shared" si="21"/>
        <v>0</v>
      </c>
      <c r="Q48" s="988">
        <f t="shared" si="22"/>
        <v>0</v>
      </c>
      <c r="S48" s="988">
        <v>35</v>
      </c>
      <c r="T48" s="989">
        <f t="shared" si="14"/>
        <v>0</v>
      </c>
      <c r="U48" s="785">
        <f>IF(+$V$7=4,0,T47*$V$4)</f>
        <v>0</v>
      </c>
      <c r="V48" s="990">
        <f t="shared" si="15"/>
        <v>0</v>
      </c>
      <c r="W48" s="785">
        <f t="shared" si="43"/>
        <v>0</v>
      </c>
      <c r="X48" s="990">
        <f>IF(V48=0,0,X47+W48)</f>
        <v>0</v>
      </c>
      <c r="Y48" s="785">
        <f t="shared" si="23"/>
        <v>0</v>
      </c>
      <c r="Z48" s="988">
        <f t="shared" si="24"/>
        <v>0</v>
      </c>
    </row>
    <row r="49" spans="1:26" x14ac:dyDescent="0.25">
      <c r="A49" s="988">
        <v>36</v>
      </c>
      <c r="B49" s="989">
        <f t="shared" si="6"/>
        <v>0</v>
      </c>
      <c r="C49" s="785">
        <f>IF(+$D$7=4,0,B48*$D$4)</f>
        <v>0</v>
      </c>
      <c r="D49" s="990">
        <f t="shared" si="7"/>
        <v>0</v>
      </c>
      <c r="E49" s="785">
        <f t="shared" si="41"/>
        <v>0</v>
      </c>
      <c r="F49" s="990">
        <f>IF(D49=0,0,F48+E49)</f>
        <v>0</v>
      </c>
      <c r="G49" s="785">
        <f t="shared" si="19"/>
        <v>0</v>
      </c>
      <c r="H49" s="988">
        <f t="shared" si="20"/>
        <v>0</v>
      </c>
      <c r="J49" s="988">
        <v>36</v>
      </c>
      <c r="K49" s="989">
        <f t="shared" si="10"/>
        <v>0</v>
      </c>
      <c r="L49" s="785">
        <f>IF(+$M$7=4,0,K48*$M$4)</f>
        <v>0</v>
      </c>
      <c r="M49" s="990">
        <f t="shared" si="11"/>
        <v>0</v>
      </c>
      <c r="N49" s="785">
        <f t="shared" si="42"/>
        <v>0</v>
      </c>
      <c r="O49" s="990">
        <f>IF(M49=0,0,O48+N49)</f>
        <v>0</v>
      </c>
      <c r="P49" s="785">
        <f t="shared" si="21"/>
        <v>0</v>
      </c>
      <c r="Q49" s="988">
        <f t="shared" si="22"/>
        <v>0</v>
      </c>
      <c r="S49" s="988">
        <v>36</v>
      </c>
      <c r="T49" s="989">
        <f t="shared" si="14"/>
        <v>0</v>
      </c>
      <c r="U49" s="785">
        <f>IF(+$V$7=4,0,T48*$V$4)</f>
        <v>0</v>
      </c>
      <c r="V49" s="990">
        <f t="shared" si="15"/>
        <v>0</v>
      </c>
      <c r="W49" s="785">
        <f t="shared" si="43"/>
        <v>0</v>
      </c>
      <c r="X49" s="990">
        <f>IF(V49=0,0,X48+W49)</f>
        <v>0</v>
      </c>
      <c r="Y49" s="785">
        <f t="shared" si="23"/>
        <v>0</v>
      </c>
      <c r="Z49" s="988">
        <f t="shared" si="24"/>
        <v>0</v>
      </c>
    </row>
    <row r="50" spans="1:26" x14ac:dyDescent="0.25">
      <c r="A50" s="988">
        <v>37</v>
      </c>
      <c r="B50" s="989">
        <f t="shared" si="6"/>
        <v>0</v>
      </c>
      <c r="C50" s="785">
        <f>B49*$D$4</f>
        <v>0</v>
      </c>
      <c r="D50" s="990">
        <f t="shared" si="7"/>
        <v>0</v>
      </c>
      <c r="E50" s="785">
        <f t="shared" ref="E50:E55" si="44">IF(OR(C$6&gt;3,C50&lt;0.01),0,C$8-C50)</f>
        <v>0</v>
      </c>
      <c r="F50" s="990">
        <f t="shared" ref="F50:F113" si="45">IF(D50=0,0,F49+E50)</f>
        <v>0</v>
      </c>
      <c r="G50" s="785">
        <f t="shared" si="19"/>
        <v>0</v>
      </c>
      <c r="H50" s="988">
        <f t="shared" si="20"/>
        <v>0</v>
      </c>
      <c r="J50" s="988">
        <v>37</v>
      </c>
      <c r="K50" s="989">
        <f t="shared" si="10"/>
        <v>0</v>
      </c>
      <c r="L50" s="785">
        <f>K49*$M$4</f>
        <v>0</v>
      </c>
      <c r="M50" s="990">
        <f t="shared" si="11"/>
        <v>0</v>
      </c>
      <c r="N50" s="785">
        <f t="shared" ref="N50:N55" si="46">IF(OR(L$6&gt;3,L50&lt;1),0,L$8-L50)</f>
        <v>0</v>
      </c>
      <c r="O50" s="990">
        <f t="shared" ref="O50:O113" si="47">IF(M50=0,0,O49+N50)</f>
        <v>0</v>
      </c>
      <c r="P50" s="785">
        <f t="shared" si="21"/>
        <v>0</v>
      </c>
      <c r="Q50" s="988">
        <f t="shared" si="22"/>
        <v>0</v>
      </c>
      <c r="S50" s="988">
        <v>37</v>
      </c>
      <c r="T50" s="989">
        <f t="shared" si="14"/>
        <v>0</v>
      </c>
      <c r="U50" s="785">
        <f>T49*$V$4</f>
        <v>0</v>
      </c>
      <c r="V50" s="990">
        <f t="shared" si="15"/>
        <v>0</v>
      </c>
      <c r="W50" s="785">
        <f t="shared" ref="W50:W55" si="48">IF(OR(U$6&gt;3,U50&lt;1),0,U$8-U50)</f>
        <v>0</v>
      </c>
      <c r="X50" s="990">
        <f t="shared" ref="X50:X113" si="49">IF(V50=0,0,X49+W50)</f>
        <v>0</v>
      </c>
      <c r="Y50" s="785">
        <f t="shared" si="23"/>
        <v>0</v>
      </c>
      <c r="Z50" s="988">
        <f t="shared" si="24"/>
        <v>0</v>
      </c>
    </row>
    <row r="51" spans="1:26" x14ac:dyDescent="0.25">
      <c r="A51" s="988">
        <v>38</v>
      </c>
      <c r="B51" s="989">
        <f t="shared" si="6"/>
        <v>0</v>
      </c>
      <c r="C51" s="785">
        <f>IF(+$D$7=4,0,B50*$D$4)</f>
        <v>0</v>
      </c>
      <c r="D51" s="990">
        <f t="shared" si="7"/>
        <v>0</v>
      </c>
      <c r="E51" s="785">
        <f t="shared" si="44"/>
        <v>0</v>
      </c>
      <c r="F51" s="990">
        <f t="shared" si="45"/>
        <v>0</v>
      </c>
      <c r="G51" s="785">
        <f t="shared" si="19"/>
        <v>0</v>
      </c>
      <c r="H51" s="988">
        <f t="shared" si="20"/>
        <v>0</v>
      </c>
      <c r="J51" s="988">
        <v>38</v>
      </c>
      <c r="K51" s="989">
        <f t="shared" si="10"/>
        <v>0</v>
      </c>
      <c r="L51" s="785">
        <f>IF(+$M$7=4,0,K50*$M$4)</f>
        <v>0</v>
      </c>
      <c r="M51" s="990">
        <f t="shared" si="11"/>
        <v>0</v>
      </c>
      <c r="N51" s="785">
        <f t="shared" si="46"/>
        <v>0</v>
      </c>
      <c r="O51" s="990">
        <f t="shared" si="47"/>
        <v>0</v>
      </c>
      <c r="P51" s="785">
        <f t="shared" si="21"/>
        <v>0</v>
      </c>
      <c r="Q51" s="988">
        <f t="shared" si="22"/>
        <v>0</v>
      </c>
      <c r="S51" s="988">
        <v>38</v>
      </c>
      <c r="T51" s="989">
        <f t="shared" si="14"/>
        <v>0</v>
      </c>
      <c r="U51" s="785">
        <f>IF(+$V$7=4,0,T50*$V$4)</f>
        <v>0</v>
      </c>
      <c r="V51" s="990">
        <f t="shared" si="15"/>
        <v>0</v>
      </c>
      <c r="W51" s="785">
        <f t="shared" si="48"/>
        <v>0</v>
      </c>
      <c r="X51" s="990">
        <f t="shared" si="49"/>
        <v>0</v>
      </c>
      <c r="Y51" s="785">
        <f t="shared" si="23"/>
        <v>0</v>
      </c>
      <c r="Z51" s="988">
        <f t="shared" si="24"/>
        <v>0</v>
      </c>
    </row>
    <row r="52" spans="1:26" x14ac:dyDescent="0.25">
      <c r="A52" s="988">
        <v>39</v>
      </c>
      <c r="B52" s="989">
        <f t="shared" si="6"/>
        <v>0</v>
      </c>
      <c r="C52" s="785">
        <f>IF(+$D$7=4,0,B51*$D$4)</f>
        <v>0</v>
      </c>
      <c r="D52" s="990">
        <f t="shared" si="7"/>
        <v>0</v>
      </c>
      <c r="E52" s="785">
        <f t="shared" si="44"/>
        <v>0</v>
      </c>
      <c r="F52" s="990">
        <f t="shared" si="45"/>
        <v>0</v>
      </c>
      <c r="G52" s="785">
        <f t="shared" si="19"/>
        <v>0</v>
      </c>
      <c r="H52" s="988">
        <f t="shared" si="20"/>
        <v>0</v>
      </c>
      <c r="J52" s="988">
        <v>39</v>
      </c>
      <c r="K52" s="989">
        <f t="shared" si="10"/>
        <v>0</v>
      </c>
      <c r="L52" s="785">
        <f>IF(+$M$7=4,0,K51*$M$4)</f>
        <v>0</v>
      </c>
      <c r="M52" s="990">
        <f t="shared" si="11"/>
        <v>0</v>
      </c>
      <c r="N52" s="785">
        <f t="shared" si="46"/>
        <v>0</v>
      </c>
      <c r="O52" s="990">
        <f t="shared" si="47"/>
        <v>0</v>
      </c>
      <c r="P52" s="785">
        <f t="shared" si="21"/>
        <v>0</v>
      </c>
      <c r="Q52" s="988">
        <f t="shared" si="22"/>
        <v>0</v>
      </c>
      <c r="S52" s="988">
        <v>39</v>
      </c>
      <c r="T52" s="989">
        <f t="shared" si="14"/>
        <v>0</v>
      </c>
      <c r="U52" s="785">
        <f>IF(+$V$7=4,0,T51*$V$4)</f>
        <v>0</v>
      </c>
      <c r="V52" s="990">
        <f t="shared" si="15"/>
        <v>0</v>
      </c>
      <c r="W52" s="785">
        <f t="shared" si="48"/>
        <v>0</v>
      </c>
      <c r="X52" s="990">
        <f t="shared" si="49"/>
        <v>0</v>
      </c>
      <c r="Y52" s="785">
        <f t="shared" si="23"/>
        <v>0</v>
      </c>
      <c r="Z52" s="988">
        <f t="shared" si="24"/>
        <v>0</v>
      </c>
    </row>
    <row r="53" spans="1:26" x14ac:dyDescent="0.25">
      <c r="A53" s="988">
        <v>40</v>
      </c>
      <c r="B53" s="989">
        <f t="shared" si="6"/>
        <v>0</v>
      </c>
      <c r="C53" s="785">
        <f>B52*$D$4</f>
        <v>0</v>
      </c>
      <c r="D53" s="990">
        <f t="shared" si="7"/>
        <v>0</v>
      </c>
      <c r="E53" s="785">
        <f t="shared" si="44"/>
        <v>0</v>
      </c>
      <c r="F53" s="990">
        <f t="shared" si="45"/>
        <v>0</v>
      </c>
      <c r="G53" s="785">
        <f t="shared" si="19"/>
        <v>0</v>
      </c>
      <c r="H53" s="988">
        <f t="shared" si="20"/>
        <v>0</v>
      </c>
      <c r="J53" s="988">
        <v>40</v>
      </c>
      <c r="K53" s="989">
        <f t="shared" si="10"/>
        <v>0</v>
      </c>
      <c r="L53" s="785">
        <f>K52*$M$4</f>
        <v>0</v>
      </c>
      <c r="M53" s="990">
        <f t="shared" si="11"/>
        <v>0</v>
      </c>
      <c r="N53" s="785">
        <f t="shared" si="46"/>
        <v>0</v>
      </c>
      <c r="O53" s="990">
        <f t="shared" si="47"/>
        <v>0</v>
      </c>
      <c r="P53" s="785">
        <f t="shared" si="21"/>
        <v>0</v>
      </c>
      <c r="Q53" s="988">
        <f t="shared" si="22"/>
        <v>0</v>
      </c>
      <c r="S53" s="988">
        <v>40</v>
      </c>
      <c r="T53" s="989">
        <f t="shared" si="14"/>
        <v>0</v>
      </c>
      <c r="U53" s="785">
        <f>T52*$V$4</f>
        <v>0</v>
      </c>
      <c r="V53" s="990">
        <f t="shared" si="15"/>
        <v>0</v>
      </c>
      <c r="W53" s="785">
        <f t="shared" si="48"/>
        <v>0</v>
      </c>
      <c r="X53" s="990">
        <f t="shared" si="49"/>
        <v>0</v>
      </c>
      <c r="Y53" s="785">
        <f t="shared" si="23"/>
        <v>0</v>
      </c>
      <c r="Z53" s="988">
        <f t="shared" si="24"/>
        <v>0</v>
      </c>
    </row>
    <row r="54" spans="1:26" x14ac:dyDescent="0.25">
      <c r="A54" s="988">
        <v>41</v>
      </c>
      <c r="B54" s="989">
        <f t="shared" si="6"/>
        <v>0</v>
      </c>
      <c r="C54" s="785">
        <f>IF(+$D$7=4,0,B53*$D$4)</f>
        <v>0</v>
      </c>
      <c r="D54" s="990">
        <f t="shared" si="7"/>
        <v>0</v>
      </c>
      <c r="E54" s="785">
        <f t="shared" si="44"/>
        <v>0</v>
      </c>
      <c r="F54" s="990">
        <f t="shared" si="45"/>
        <v>0</v>
      </c>
      <c r="G54" s="785">
        <f t="shared" si="19"/>
        <v>0</v>
      </c>
      <c r="H54" s="988">
        <f t="shared" si="20"/>
        <v>0</v>
      </c>
      <c r="J54" s="988">
        <v>41</v>
      </c>
      <c r="K54" s="989">
        <f t="shared" si="10"/>
        <v>0</v>
      </c>
      <c r="L54" s="785">
        <f>IF(+$M$7=4,0,K53*$M$4)</f>
        <v>0</v>
      </c>
      <c r="M54" s="990">
        <f t="shared" si="11"/>
        <v>0</v>
      </c>
      <c r="N54" s="785">
        <f t="shared" si="46"/>
        <v>0</v>
      </c>
      <c r="O54" s="990">
        <f t="shared" si="47"/>
        <v>0</v>
      </c>
      <c r="P54" s="785">
        <f t="shared" si="21"/>
        <v>0</v>
      </c>
      <c r="Q54" s="988">
        <f t="shared" si="22"/>
        <v>0</v>
      </c>
      <c r="S54" s="988">
        <v>41</v>
      </c>
      <c r="T54" s="989">
        <f t="shared" si="14"/>
        <v>0</v>
      </c>
      <c r="U54" s="785">
        <f>IF(+$V$7=4,0,T53*$V$4)</f>
        <v>0</v>
      </c>
      <c r="V54" s="990">
        <f t="shared" si="15"/>
        <v>0</v>
      </c>
      <c r="W54" s="785">
        <f t="shared" si="48"/>
        <v>0</v>
      </c>
      <c r="X54" s="990">
        <f t="shared" si="49"/>
        <v>0</v>
      </c>
      <c r="Y54" s="785">
        <f t="shared" si="23"/>
        <v>0</v>
      </c>
      <c r="Z54" s="988">
        <f t="shared" si="24"/>
        <v>0</v>
      </c>
    </row>
    <row r="55" spans="1:26" x14ac:dyDescent="0.25">
      <c r="A55" s="988">
        <v>42</v>
      </c>
      <c r="B55" s="989">
        <f t="shared" si="6"/>
        <v>0</v>
      </c>
      <c r="C55" s="785">
        <f>IF(+$D$7=4,0,B54*$D$4)</f>
        <v>0</v>
      </c>
      <c r="D55" s="990">
        <f t="shared" si="7"/>
        <v>0</v>
      </c>
      <c r="E55" s="785">
        <f t="shared" si="44"/>
        <v>0</v>
      </c>
      <c r="F55" s="990">
        <f t="shared" si="45"/>
        <v>0</v>
      </c>
      <c r="G55" s="785">
        <f t="shared" si="19"/>
        <v>0</v>
      </c>
      <c r="H55" s="988">
        <f t="shared" si="20"/>
        <v>0</v>
      </c>
      <c r="J55" s="988">
        <v>42</v>
      </c>
      <c r="K55" s="989">
        <f t="shared" si="10"/>
        <v>0</v>
      </c>
      <c r="L55" s="785">
        <f>IF(+$M$7=4,0,K54*$M$4)</f>
        <v>0</v>
      </c>
      <c r="M55" s="990">
        <f t="shared" si="11"/>
        <v>0</v>
      </c>
      <c r="N55" s="785">
        <f t="shared" si="46"/>
        <v>0</v>
      </c>
      <c r="O55" s="990">
        <f t="shared" si="47"/>
        <v>0</v>
      </c>
      <c r="P55" s="785">
        <f t="shared" si="21"/>
        <v>0</v>
      </c>
      <c r="Q55" s="988">
        <f t="shared" si="22"/>
        <v>0</v>
      </c>
      <c r="S55" s="988">
        <v>42</v>
      </c>
      <c r="T55" s="989">
        <f t="shared" si="14"/>
        <v>0</v>
      </c>
      <c r="U55" s="785">
        <f>IF(+$V$7=4,0,T54*$V$4)</f>
        <v>0</v>
      </c>
      <c r="V55" s="990">
        <f t="shared" si="15"/>
        <v>0</v>
      </c>
      <c r="W55" s="785">
        <f t="shared" si="48"/>
        <v>0</v>
      </c>
      <c r="X55" s="990">
        <f t="shared" si="49"/>
        <v>0</v>
      </c>
      <c r="Y55" s="785">
        <f t="shared" si="23"/>
        <v>0</v>
      </c>
      <c r="Z55" s="988">
        <f t="shared" si="24"/>
        <v>0</v>
      </c>
    </row>
    <row r="56" spans="1:26" x14ac:dyDescent="0.25">
      <c r="A56" s="988">
        <v>43</v>
      </c>
      <c r="B56" s="989">
        <f t="shared" si="6"/>
        <v>0</v>
      </c>
      <c r="C56" s="785">
        <f>B55*$D$4</f>
        <v>0</v>
      </c>
      <c r="D56" s="990">
        <f t="shared" si="7"/>
        <v>0</v>
      </c>
      <c r="E56" s="785">
        <f t="shared" ref="E56:E61" si="50">IF(OR(C$6&gt;3.5,C56&lt;0.01),0,C$8-C56)</f>
        <v>0</v>
      </c>
      <c r="F56" s="990">
        <f t="shared" si="45"/>
        <v>0</v>
      </c>
      <c r="G56" s="785">
        <f t="shared" si="19"/>
        <v>0</v>
      </c>
      <c r="H56" s="988">
        <f t="shared" si="20"/>
        <v>0</v>
      </c>
      <c r="J56" s="988">
        <v>43</v>
      </c>
      <c r="K56" s="989">
        <f t="shared" si="10"/>
        <v>0</v>
      </c>
      <c r="L56" s="785">
        <f>K55*$M$4</f>
        <v>0</v>
      </c>
      <c r="M56" s="990">
        <f t="shared" si="11"/>
        <v>0</v>
      </c>
      <c r="N56" s="785">
        <f t="shared" ref="N56:N61" si="51">IF(OR(L$6&gt;3.5,L56&lt;1),0,L$8-L56)</f>
        <v>0</v>
      </c>
      <c r="O56" s="990">
        <f t="shared" si="47"/>
        <v>0</v>
      </c>
      <c r="P56" s="785">
        <f t="shared" si="21"/>
        <v>0</v>
      </c>
      <c r="Q56" s="988">
        <f t="shared" si="22"/>
        <v>0</v>
      </c>
      <c r="S56" s="988">
        <v>43</v>
      </c>
      <c r="T56" s="989">
        <f t="shared" si="14"/>
        <v>0</v>
      </c>
      <c r="U56" s="785">
        <f>T55*$V$4</f>
        <v>0</v>
      </c>
      <c r="V56" s="990">
        <f t="shared" si="15"/>
        <v>0</v>
      </c>
      <c r="W56" s="785">
        <f t="shared" ref="W56:W61" si="52">IF(OR(U$6&gt;3.5,U56&lt;1),0,U$8-U56)</f>
        <v>0</v>
      </c>
      <c r="X56" s="990">
        <f t="shared" si="49"/>
        <v>0</v>
      </c>
      <c r="Y56" s="785">
        <f t="shared" si="23"/>
        <v>0</v>
      </c>
      <c r="Z56" s="988">
        <f t="shared" si="24"/>
        <v>0</v>
      </c>
    </row>
    <row r="57" spans="1:26" x14ac:dyDescent="0.25">
      <c r="A57" s="988">
        <v>44</v>
      </c>
      <c r="B57" s="989">
        <f t="shared" si="6"/>
        <v>0</v>
      </c>
      <c r="C57" s="785">
        <f>IF(+$D$7=4,0,B56*$D$4)</f>
        <v>0</v>
      </c>
      <c r="D57" s="990">
        <f t="shared" si="7"/>
        <v>0</v>
      </c>
      <c r="E57" s="785">
        <f t="shared" si="50"/>
        <v>0</v>
      </c>
      <c r="F57" s="990">
        <f t="shared" si="45"/>
        <v>0</v>
      </c>
      <c r="G57" s="785">
        <f t="shared" si="19"/>
        <v>0</v>
      </c>
      <c r="H57" s="988">
        <f t="shared" si="20"/>
        <v>0</v>
      </c>
      <c r="J57" s="988">
        <v>44</v>
      </c>
      <c r="K57" s="989">
        <f t="shared" si="10"/>
        <v>0</v>
      </c>
      <c r="L57" s="785">
        <f>IF(+$M$7=4,0,K56*$M$4)</f>
        <v>0</v>
      </c>
      <c r="M57" s="990">
        <f t="shared" si="11"/>
        <v>0</v>
      </c>
      <c r="N57" s="785">
        <f t="shared" si="51"/>
        <v>0</v>
      </c>
      <c r="O57" s="990">
        <f t="shared" si="47"/>
        <v>0</v>
      </c>
      <c r="P57" s="785">
        <f t="shared" si="21"/>
        <v>0</v>
      </c>
      <c r="Q57" s="988">
        <f t="shared" si="22"/>
        <v>0</v>
      </c>
      <c r="S57" s="988">
        <v>44</v>
      </c>
      <c r="T57" s="989">
        <f t="shared" si="14"/>
        <v>0</v>
      </c>
      <c r="U57" s="785">
        <f>IF(+$V$7=4,0,T56*$V$4)</f>
        <v>0</v>
      </c>
      <c r="V57" s="990">
        <f t="shared" si="15"/>
        <v>0</v>
      </c>
      <c r="W57" s="785">
        <f t="shared" si="52"/>
        <v>0</v>
      </c>
      <c r="X57" s="990">
        <f t="shared" si="49"/>
        <v>0</v>
      </c>
      <c r="Y57" s="785">
        <f t="shared" si="23"/>
        <v>0</v>
      </c>
      <c r="Z57" s="988">
        <f t="shared" si="24"/>
        <v>0</v>
      </c>
    </row>
    <row r="58" spans="1:26" x14ac:dyDescent="0.25">
      <c r="A58" s="988">
        <v>45</v>
      </c>
      <c r="B58" s="989">
        <f t="shared" si="6"/>
        <v>0</v>
      </c>
      <c r="C58" s="785">
        <f>IF(+$D$7=4,0,B57*$D$4)</f>
        <v>0</v>
      </c>
      <c r="D58" s="990">
        <f t="shared" si="7"/>
        <v>0</v>
      </c>
      <c r="E58" s="785">
        <f t="shared" si="50"/>
        <v>0</v>
      </c>
      <c r="F58" s="990">
        <f t="shared" si="45"/>
        <v>0</v>
      </c>
      <c r="G58" s="785">
        <f t="shared" si="19"/>
        <v>0</v>
      </c>
      <c r="H58" s="988">
        <f t="shared" si="20"/>
        <v>0</v>
      </c>
      <c r="J58" s="988">
        <v>45</v>
      </c>
      <c r="K58" s="989">
        <f t="shared" si="10"/>
        <v>0</v>
      </c>
      <c r="L58" s="785">
        <f>IF(+$M$7=4,0,K57*$M$4)</f>
        <v>0</v>
      </c>
      <c r="M58" s="990">
        <f t="shared" si="11"/>
        <v>0</v>
      </c>
      <c r="N58" s="785">
        <f t="shared" si="51"/>
        <v>0</v>
      </c>
      <c r="O58" s="990">
        <f t="shared" si="47"/>
        <v>0</v>
      </c>
      <c r="P58" s="785">
        <f t="shared" si="21"/>
        <v>0</v>
      </c>
      <c r="Q58" s="988">
        <f t="shared" si="22"/>
        <v>0</v>
      </c>
      <c r="S58" s="988">
        <v>45</v>
      </c>
      <c r="T58" s="989">
        <f t="shared" si="14"/>
        <v>0</v>
      </c>
      <c r="U58" s="785">
        <f>IF(+$V$7=4,0,T57*$V$4)</f>
        <v>0</v>
      </c>
      <c r="V58" s="990">
        <f t="shared" si="15"/>
        <v>0</v>
      </c>
      <c r="W58" s="785">
        <f t="shared" si="52"/>
        <v>0</v>
      </c>
      <c r="X58" s="990">
        <f t="shared" si="49"/>
        <v>0</v>
      </c>
      <c r="Y58" s="785">
        <f t="shared" si="23"/>
        <v>0</v>
      </c>
      <c r="Z58" s="988">
        <f t="shared" si="24"/>
        <v>0</v>
      </c>
    </row>
    <row r="59" spans="1:26" x14ac:dyDescent="0.25">
      <c r="A59" s="988">
        <v>46</v>
      </c>
      <c r="B59" s="989">
        <f t="shared" si="6"/>
        <v>0</v>
      </c>
      <c r="C59" s="785">
        <f>B58*$D$4</f>
        <v>0</v>
      </c>
      <c r="D59" s="990">
        <f t="shared" si="7"/>
        <v>0</v>
      </c>
      <c r="E59" s="785">
        <f t="shared" si="50"/>
        <v>0</v>
      </c>
      <c r="F59" s="990">
        <f t="shared" si="45"/>
        <v>0</v>
      </c>
      <c r="G59" s="785">
        <f t="shared" si="19"/>
        <v>0</v>
      </c>
      <c r="H59" s="988">
        <f t="shared" si="20"/>
        <v>0</v>
      </c>
      <c r="J59" s="988">
        <v>46</v>
      </c>
      <c r="K59" s="989">
        <f t="shared" si="10"/>
        <v>0</v>
      </c>
      <c r="L59" s="785">
        <f>K58*$M$4</f>
        <v>0</v>
      </c>
      <c r="M59" s="990">
        <f t="shared" si="11"/>
        <v>0</v>
      </c>
      <c r="N59" s="785">
        <f t="shared" si="51"/>
        <v>0</v>
      </c>
      <c r="O59" s="990">
        <f t="shared" si="47"/>
        <v>0</v>
      </c>
      <c r="P59" s="785">
        <f t="shared" si="21"/>
        <v>0</v>
      </c>
      <c r="Q59" s="988">
        <f t="shared" si="22"/>
        <v>0</v>
      </c>
      <c r="S59" s="988">
        <v>46</v>
      </c>
      <c r="T59" s="989">
        <f t="shared" si="14"/>
        <v>0</v>
      </c>
      <c r="U59" s="785">
        <f>T58*$V$4</f>
        <v>0</v>
      </c>
      <c r="V59" s="990">
        <f t="shared" si="15"/>
        <v>0</v>
      </c>
      <c r="W59" s="785">
        <f t="shared" si="52"/>
        <v>0</v>
      </c>
      <c r="X59" s="990">
        <f t="shared" si="49"/>
        <v>0</v>
      </c>
      <c r="Y59" s="785">
        <f t="shared" si="23"/>
        <v>0</v>
      </c>
      <c r="Z59" s="988">
        <f t="shared" si="24"/>
        <v>0</v>
      </c>
    </row>
    <row r="60" spans="1:26" x14ac:dyDescent="0.25">
      <c r="A60" s="988">
        <v>47</v>
      </c>
      <c r="B60" s="989">
        <f t="shared" si="6"/>
        <v>0</v>
      </c>
      <c r="C60" s="785">
        <f t="shared" ref="C60:C124" si="53">IF(+$D$7=4,0,B59*$D$4)</f>
        <v>0</v>
      </c>
      <c r="D60" s="990">
        <f t="shared" si="7"/>
        <v>0</v>
      </c>
      <c r="E60" s="785">
        <f t="shared" si="50"/>
        <v>0</v>
      </c>
      <c r="F60" s="990">
        <f t="shared" si="45"/>
        <v>0</v>
      </c>
      <c r="G60" s="785">
        <f t="shared" si="19"/>
        <v>0</v>
      </c>
      <c r="H60" s="988">
        <f t="shared" si="20"/>
        <v>0</v>
      </c>
      <c r="J60" s="988">
        <v>47</v>
      </c>
      <c r="K60" s="989">
        <f t="shared" si="10"/>
        <v>0</v>
      </c>
      <c r="L60" s="785">
        <f>IF(+$M$7=4,0,K59*$M$4)</f>
        <v>0</v>
      </c>
      <c r="M60" s="990">
        <f t="shared" si="11"/>
        <v>0</v>
      </c>
      <c r="N60" s="785">
        <f t="shared" si="51"/>
        <v>0</v>
      </c>
      <c r="O60" s="990">
        <f t="shared" si="47"/>
        <v>0</v>
      </c>
      <c r="P60" s="785">
        <f t="shared" si="21"/>
        <v>0</v>
      </c>
      <c r="Q60" s="988">
        <f t="shared" si="22"/>
        <v>0</v>
      </c>
      <c r="S60" s="988">
        <v>47</v>
      </c>
      <c r="T60" s="989">
        <f t="shared" si="14"/>
        <v>0</v>
      </c>
      <c r="U60" s="785">
        <f>IF(+$V$7=4,0,T59*$V$4)</f>
        <v>0</v>
      </c>
      <c r="V60" s="990">
        <f t="shared" si="15"/>
        <v>0</v>
      </c>
      <c r="W60" s="785">
        <f t="shared" si="52"/>
        <v>0</v>
      </c>
      <c r="X60" s="990">
        <f t="shared" si="49"/>
        <v>0</v>
      </c>
      <c r="Y60" s="785">
        <f t="shared" si="23"/>
        <v>0</v>
      </c>
      <c r="Z60" s="988">
        <f t="shared" si="24"/>
        <v>0</v>
      </c>
    </row>
    <row r="61" spans="1:26" x14ac:dyDescent="0.25">
      <c r="A61" s="988">
        <v>48</v>
      </c>
      <c r="B61" s="989">
        <f t="shared" si="6"/>
        <v>0</v>
      </c>
      <c r="C61" s="785">
        <f t="shared" si="53"/>
        <v>0</v>
      </c>
      <c r="D61" s="990">
        <f t="shared" si="7"/>
        <v>0</v>
      </c>
      <c r="E61" s="785">
        <f t="shared" si="50"/>
        <v>0</v>
      </c>
      <c r="F61" s="990">
        <f t="shared" si="45"/>
        <v>0</v>
      </c>
      <c r="G61" s="785">
        <f t="shared" si="19"/>
        <v>0</v>
      </c>
      <c r="H61" s="988">
        <f t="shared" si="20"/>
        <v>0</v>
      </c>
      <c r="J61" s="988">
        <v>48</v>
      </c>
      <c r="K61" s="989">
        <f t="shared" si="10"/>
        <v>0</v>
      </c>
      <c r="L61" s="785">
        <f>IF(+$M$7=4,0,K60*$M$4)</f>
        <v>0</v>
      </c>
      <c r="M61" s="990">
        <f t="shared" si="11"/>
        <v>0</v>
      </c>
      <c r="N61" s="785">
        <f t="shared" si="51"/>
        <v>0</v>
      </c>
      <c r="O61" s="990">
        <f t="shared" si="47"/>
        <v>0</v>
      </c>
      <c r="P61" s="785">
        <f t="shared" si="21"/>
        <v>0</v>
      </c>
      <c r="Q61" s="988">
        <f t="shared" si="22"/>
        <v>0</v>
      </c>
      <c r="S61" s="988">
        <v>48</v>
      </c>
      <c r="T61" s="989">
        <f t="shared" si="14"/>
        <v>0</v>
      </c>
      <c r="U61" s="785">
        <f>IF(+$V$7=4,0,T60*$V$4)</f>
        <v>0</v>
      </c>
      <c r="V61" s="990">
        <f t="shared" si="15"/>
        <v>0</v>
      </c>
      <c r="W61" s="785">
        <f t="shared" si="52"/>
        <v>0</v>
      </c>
      <c r="X61" s="990">
        <f t="shared" si="49"/>
        <v>0</v>
      </c>
      <c r="Y61" s="785">
        <f t="shared" si="23"/>
        <v>0</v>
      </c>
      <c r="Z61" s="988">
        <f t="shared" si="24"/>
        <v>0</v>
      </c>
    </row>
    <row r="62" spans="1:26" x14ac:dyDescent="0.25">
      <c r="A62" s="988">
        <v>49</v>
      </c>
      <c r="B62" s="989">
        <f t="shared" si="6"/>
        <v>0</v>
      </c>
      <c r="C62" s="785">
        <f>B61*$D$4</f>
        <v>0</v>
      </c>
      <c r="D62" s="990">
        <f t="shared" si="7"/>
        <v>0</v>
      </c>
      <c r="E62" s="785">
        <f t="shared" ref="E62:E67" si="54">IF(OR(C$6&gt;4,C62&lt;0.01),0,C$8-C62)</f>
        <v>0</v>
      </c>
      <c r="F62" s="990">
        <f t="shared" si="45"/>
        <v>0</v>
      </c>
      <c r="G62" s="785">
        <f t="shared" si="19"/>
        <v>0</v>
      </c>
      <c r="H62" s="988">
        <f t="shared" si="20"/>
        <v>0</v>
      </c>
      <c r="J62" s="988">
        <v>49</v>
      </c>
      <c r="K62" s="989">
        <f t="shared" si="10"/>
        <v>0</v>
      </c>
      <c r="L62" s="785">
        <f>K61*$M$4</f>
        <v>0</v>
      </c>
      <c r="M62" s="990">
        <f t="shared" si="11"/>
        <v>0</v>
      </c>
      <c r="N62" s="785">
        <f>IF(L62&lt;1,0,L$8-L62)</f>
        <v>0</v>
      </c>
      <c r="O62" s="990">
        <f t="shared" si="47"/>
        <v>0</v>
      </c>
      <c r="P62" s="785">
        <f t="shared" si="21"/>
        <v>0</v>
      </c>
      <c r="Q62" s="988">
        <f t="shared" si="22"/>
        <v>0</v>
      </c>
      <c r="S62" s="988">
        <v>49</v>
      </c>
      <c r="T62" s="989">
        <f t="shared" si="14"/>
        <v>0</v>
      </c>
      <c r="U62" s="785">
        <f>T61*$V$4</f>
        <v>0</v>
      </c>
      <c r="V62" s="990">
        <f t="shared" si="15"/>
        <v>0</v>
      </c>
      <c r="W62" s="785">
        <f>IF(U62&lt;1,0,U$8-U62)</f>
        <v>0</v>
      </c>
      <c r="X62" s="990">
        <f t="shared" si="49"/>
        <v>0</v>
      </c>
      <c r="Y62" s="785">
        <f t="shared" si="23"/>
        <v>0</v>
      </c>
      <c r="Z62" s="988">
        <f t="shared" si="24"/>
        <v>0</v>
      </c>
    </row>
    <row r="63" spans="1:26" x14ac:dyDescent="0.25">
      <c r="A63" s="988">
        <v>50</v>
      </c>
      <c r="B63" s="989">
        <f t="shared" si="6"/>
        <v>0</v>
      </c>
      <c r="C63" s="785">
        <f t="shared" si="53"/>
        <v>0</v>
      </c>
      <c r="D63" s="990">
        <f t="shared" si="7"/>
        <v>0</v>
      </c>
      <c r="E63" s="785">
        <f t="shared" si="54"/>
        <v>0</v>
      </c>
      <c r="F63" s="990">
        <f t="shared" si="45"/>
        <v>0</v>
      </c>
      <c r="G63" s="785">
        <f t="shared" si="19"/>
        <v>0</v>
      </c>
      <c r="H63" s="988">
        <f t="shared" si="20"/>
        <v>0</v>
      </c>
      <c r="J63" s="988">
        <v>50</v>
      </c>
      <c r="K63" s="989">
        <f t="shared" si="10"/>
        <v>0</v>
      </c>
      <c r="L63" s="785">
        <f>IF(+$M$7=4,0,K62*$M$4)</f>
        <v>0</v>
      </c>
      <c r="M63" s="990">
        <f t="shared" si="11"/>
        <v>0</v>
      </c>
      <c r="N63" s="785">
        <f t="shared" ref="N63:N126" si="55">IF(L63&lt;1,0,L$8-L63)</f>
        <v>0</v>
      </c>
      <c r="O63" s="990">
        <f t="shared" si="47"/>
        <v>0</v>
      </c>
      <c r="P63" s="785">
        <f t="shared" si="21"/>
        <v>0</v>
      </c>
      <c r="Q63" s="988">
        <f t="shared" si="22"/>
        <v>0</v>
      </c>
      <c r="S63" s="988">
        <v>50</v>
      </c>
      <c r="T63" s="989">
        <f t="shared" si="14"/>
        <v>0</v>
      </c>
      <c r="U63" s="785">
        <f>IF(+$V$7=4,0,T62*$V$4)</f>
        <v>0</v>
      </c>
      <c r="V63" s="990">
        <f t="shared" si="15"/>
        <v>0</v>
      </c>
      <c r="W63" s="785">
        <f t="shared" ref="W63:W126" si="56">IF(U63&lt;1,0,U$8-U63)</f>
        <v>0</v>
      </c>
      <c r="X63" s="990">
        <f t="shared" si="49"/>
        <v>0</v>
      </c>
      <c r="Y63" s="785">
        <f t="shared" si="23"/>
        <v>0</v>
      </c>
      <c r="Z63" s="988">
        <f t="shared" si="24"/>
        <v>0</v>
      </c>
    </row>
    <row r="64" spans="1:26" x14ac:dyDescent="0.25">
      <c r="A64" s="988">
        <v>51</v>
      </c>
      <c r="B64" s="989">
        <f t="shared" si="6"/>
        <v>0</v>
      </c>
      <c r="C64" s="785">
        <f t="shared" si="53"/>
        <v>0</v>
      </c>
      <c r="D64" s="990">
        <f t="shared" si="7"/>
        <v>0</v>
      </c>
      <c r="E64" s="785">
        <f t="shared" si="54"/>
        <v>0</v>
      </c>
      <c r="F64" s="990">
        <f t="shared" si="45"/>
        <v>0</v>
      </c>
      <c r="G64" s="785">
        <f t="shared" si="19"/>
        <v>0</v>
      </c>
      <c r="H64" s="988">
        <f t="shared" si="20"/>
        <v>0</v>
      </c>
      <c r="J64" s="988">
        <v>51</v>
      </c>
      <c r="K64" s="989">
        <f t="shared" si="10"/>
        <v>0</v>
      </c>
      <c r="L64" s="785">
        <f>IF(+$M$7=4,0,K63*$M$4)</f>
        <v>0</v>
      </c>
      <c r="M64" s="990">
        <f t="shared" si="11"/>
        <v>0</v>
      </c>
      <c r="N64" s="785">
        <f t="shared" si="55"/>
        <v>0</v>
      </c>
      <c r="O64" s="990">
        <f t="shared" si="47"/>
        <v>0</v>
      </c>
      <c r="P64" s="785">
        <f t="shared" si="21"/>
        <v>0</v>
      </c>
      <c r="Q64" s="988">
        <f t="shared" si="22"/>
        <v>0</v>
      </c>
      <c r="S64" s="988">
        <v>51</v>
      </c>
      <c r="T64" s="989">
        <f t="shared" si="14"/>
        <v>0</v>
      </c>
      <c r="U64" s="785">
        <f>IF(+$V$7=4,0,T63*$V$4)</f>
        <v>0</v>
      </c>
      <c r="V64" s="990">
        <f t="shared" si="15"/>
        <v>0</v>
      </c>
      <c r="W64" s="785">
        <f t="shared" si="56"/>
        <v>0</v>
      </c>
      <c r="X64" s="990">
        <f t="shared" si="49"/>
        <v>0</v>
      </c>
      <c r="Y64" s="785">
        <f t="shared" si="23"/>
        <v>0</v>
      </c>
      <c r="Z64" s="988">
        <f t="shared" si="24"/>
        <v>0</v>
      </c>
    </row>
    <row r="65" spans="1:26" x14ac:dyDescent="0.25">
      <c r="A65" s="988">
        <v>52</v>
      </c>
      <c r="B65" s="989">
        <f t="shared" si="6"/>
        <v>0</v>
      </c>
      <c r="C65" s="785">
        <f>B64*$D$4</f>
        <v>0</v>
      </c>
      <c r="D65" s="990">
        <f t="shared" si="7"/>
        <v>0</v>
      </c>
      <c r="E65" s="785">
        <f t="shared" si="54"/>
        <v>0</v>
      </c>
      <c r="F65" s="990">
        <f t="shared" si="45"/>
        <v>0</v>
      </c>
      <c r="G65" s="785">
        <f t="shared" si="19"/>
        <v>0</v>
      </c>
      <c r="H65" s="988">
        <f t="shared" si="20"/>
        <v>0</v>
      </c>
      <c r="J65" s="988">
        <v>52</v>
      </c>
      <c r="K65" s="989">
        <f t="shared" si="10"/>
        <v>0</v>
      </c>
      <c r="L65" s="785">
        <f>K64*$M$4</f>
        <v>0</v>
      </c>
      <c r="M65" s="990">
        <f t="shared" si="11"/>
        <v>0</v>
      </c>
      <c r="N65" s="785">
        <f t="shared" si="55"/>
        <v>0</v>
      </c>
      <c r="O65" s="990">
        <f t="shared" si="47"/>
        <v>0</v>
      </c>
      <c r="P65" s="785">
        <f t="shared" si="21"/>
        <v>0</v>
      </c>
      <c r="Q65" s="988">
        <f t="shared" si="22"/>
        <v>0</v>
      </c>
      <c r="S65" s="988">
        <v>52</v>
      </c>
      <c r="T65" s="989">
        <f t="shared" si="14"/>
        <v>0</v>
      </c>
      <c r="U65" s="785">
        <f>T64*$V$4</f>
        <v>0</v>
      </c>
      <c r="V65" s="990">
        <f t="shared" si="15"/>
        <v>0</v>
      </c>
      <c r="W65" s="785">
        <f t="shared" si="56"/>
        <v>0</v>
      </c>
      <c r="X65" s="990">
        <f t="shared" si="49"/>
        <v>0</v>
      </c>
      <c r="Y65" s="785">
        <f t="shared" si="23"/>
        <v>0</v>
      </c>
      <c r="Z65" s="988">
        <f t="shared" si="24"/>
        <v>0</v>
      </c>
    </row>
    <row r="66" spans="1:26" x14ac:dyDescent="0.25">
      <c r="A66" s="988">
        <v>53</v>
      </c>
      <c r="B66" s="989">
        <f t="shared" si="6"/>
        <v>0</v>
      </c>
      <c r="C66" s="785">
        <f t="shared" si="53"/>
        <v>0</v>
      </c>
      <c r="D66" s="990">
        <f t="shared" si="7"/>
        <v>0</v>
      </c>
      <c r="E66" s="785">
        <f t="shared" si="54"/>
        <v>0</v>
      </c>
      <c r="F66" s="990">
        <f t="shared" si="45"/>
        <v>0</v>
      </c>
      <c r="G66" s="785">
        <f t="shared" si="19"/>
        <v>0</v>
      </c>
      <c r="H66" s="988">
        <f t="shared" si="20"/>
        <v>0</v>
      </c>
      <c r="J66" s="988">
        <v>53</v>
      </c>
      <c r="K66" s="989">
        <f t="shared" si="10"/>
        <v>0</v>
      </c>
      <c r="L66" s="785">
        <f>IF(+$M$7=4,0,K65*$M$4)</f>
        <v>0</v>
      </c>
      <c r="M66" s="990">
        <f t="shared" si="11"/>
        <v>0</v>
      </c>
      <c r="N66" s="785">
        <f t="shared" si="55"/>
        <v>0</v>
      </c>
      <c r="O66" s="990">
        <f t="shared" si="47"/>
        <v>0</v>
      </c>
      <c r="P66" s="785">
        <f t="shared" si="21"/>
        <v>0</v>
      </c>
      <c r="Q66" s="988">
        <f t="shared" si="22"/>
        <v>0</v>
      </c>
      <c r="S66" s="988">
        <v>53</v>
      </c>
      <c r="T66" s="989">
        <f t="shared" si="14"/>
        <v>0</v>
      </c>
      <c r="U66" s="785">
        <f>IF(+$V$7=4,0,T65*$V$4)</f>
        <v>0</v>
      </c>
      <c r="V66" s="990">
        <f t="shared" si="15"/>
        <v>0</v>
      </c>
      <c r="W66" s="785">
        <f t="shared" si="56"/>
        <v>0</v>
      </c>
      <c r="X66" s="990">
        <f t="shared" si="49"/>
        <v>0</v>
      </c>
      <c r="Y66" s="785">
        <f t="shared" si="23"/>
        <v>0</v>
      </c>
      <c r="Z66" s="988">
        <f t="shared" si="24"/>
        <v>0</v>
      </c>
    </row>
    <row r="67" spans="1:26" x14ac:dyDescent="0.25">
      <c r="A67" s="988">
        <v>54</v>
      </c>
      <c r="B67" s="989">
        <f t="shared" si="6"/>
        <v>0</v>
      </c>
      <c r="C67" s="785">
        <f t="shared" si="53"/>
        <v>0</v>
      </c>
      <c r="D67" s="990">
        <f t="shared" si="7"/>
        <v>0</v>
      </c>
      <c r="E67" s="785">
        <f t="shared" si="54"/>
        <v>0</v>
      </c>
      <c r="F67" s="990">
        <f t="shared" si="45"/>
        <v>0</v>
      </c>
      <c r="G67" s="785">
        <f t="shared" si="19"/>
        <v>0</v>
      </c>
      <c r="H67" s="988">
        <f t="shared" si="20"/>
        <v>0</v>
      </c>
      <c r="J67" s="988">
        <v>54</v>
      </c>
      <c r="K67" s="989">
        <f t="shared" si="10"/>
        <v>0</v>
      </c>
      <c r="L67" s="785">
        <f>IF(+$M$7=4,0,K66*$M$4)</f>
        <v>0</v>
      </c>
      <c r="M67" s="990">
        <f t="shared" si="11"/>
        <v>0</v>
      </c>
      <c r="N67" s="785">
        <f t="shared" si="55"/>
        <v>0</v>
      </c>
      <c r="O67" s="990">
        <f t="shared" si="47"/>
        <v>0</v>
      </c>
      <c r="P67" s="785">
        <f t="shared" si="21"/>
        <v>0</v>
      </c>
      <c r="Q67" s="988">
        <f t="shared" si="22"/>
        <v>0</v>
      </c>
      <c r="S67" s="988">
        <v>54</v>
      </c>
      <c r="T67" s="989">
        <f t="shared" si="14"/>
        <v>0</v>
      </c>
      <c r="U67" s="785">
        <f>IF(+$V$7=4,0,T66*$V$4)</f>
        <v>0</v>
      </c>
      <c r="V67" s="990">
        <f t="shared" si="15"/>
        <v>0</v>
      </c>
      <c r="W67" s="785">
        <f t="shared" si="56"/>
        <v>0</v>
      </c>
      <c r="X67" s="990">
        <f t="shared" si="49"/>
        <v>0</v>
      </c>
      <c r="Y67" s="785">
        <f t="shared" si="23"/>
        <v>0</v>
      </c>
      <c r="Z67" s="988">
        <f t="shared" si="24"/>
        <v>0</v>
      </c>
    </row>
    <row r="68" spans="1:26" x14ac:dyDescent="0.25">
      <c r="A68" s="988">
        <v>55</v>
      </c>
      <c r="B68" s="989">
        <f t="shared" si="6"/>
        <v>0</v>
      </c>
      <c r="C68" s="785">
        <f>B67*$D$4</f>
        <v>0</v>
      </c>
      <c r="D68" s="990">
        <f t="shared" si="7"/>
        <v>0</v>
      </c>
      <c r="E68" s="785">
        <f t="shared" ref="E68:E73" si="57">IF(OR(C$6&gt;4.5,C68&lt;0.01),0,C$8-C68)</f>
        <v>0</v>
      </c>
      <c r="F68" s="990">
        <f t="shared" si="45"/>
        <v>0</v>
      </c>
      <c r="G68" s="785">
        <f t="shared" si="19"/>
        <v>0</v>
      </c>
      <c r="H68" s="988">
        <f t="shared" si="20"/>
        <v>0</v>
      </c>
      <c r="J68" s="988">
        <v>55</v>
      </c>
      <c r="K68" s="989">
        <f t="shared" si="10"/>
        <v>0</v>
      </c>
      <c r="L68" s="785">
        <f>K67*$M$4</f>
        <v>0</v>
      </c>
      <c r="M68" s="990">
        <f t="shared" si="11"/>
        <v>0</v>
      </c>
      <c r="N68" s="785">
        <f t="shared" si="55"/>
        <v>0</v>
      </c>
      <c r="O68" s="990">
        <f t="shared" si="47"/>
        <v>0</v>
      </c>
      <c r="P68" s="785">
        <f t="shared" si="21"/>
        <v>0</v>
      </c>
      <c r="Q68" s="988">
        <f t="shared" si="22"/>
        <v>0</v>
      </c>
      <c r="S68" s="988">
        <v>55</v>
      </c>
      <c r="T68" s="989">
        <f t="shared" si="14"/>
        <v>0</v>
      </c>
      <c r="U68" s="785">
        <f>T67*$V$4</f>
        <v>0</v>
      </c>
      <c r="V68" s="990">
        <f t="shared" si="15"/>
        <v>0</v>
      </c>
      <c r="W68" s="785">
        <f t="shared" si="56"/>
        <v>0</v>
      </c>
      <c r="X68" s="990">
        <f t="shared" si="49"/>
        <v>0</v>
      </c>
      <c r="Y68" s="785">
        <f t="shared" si="23"/>
        <v>0</v>
      </c>
      <c r="Z68" s="988">
        <f t="shared" si="24"/>
        <v>0</v>
      </c>
    </row>
    <row r="69" spans="1:26" x14ac:dyDescent="0.25">
      <c r="A69" s="988">
        <v>56</v>
      </c>
      <c r="B69" s="989">
        <f t="shared" si="6"/>
        <v>0</v>
      </c>
      <c r="C69" s="785">
        <f t="shared" si="53"/>
        <v>0</v>
      </c>
      <c r="D69" s="990">
        <f t="shared" si="7"/>
        <v>0</v>
      </c>
      <c r="E69" s="785">
        <f t="shared" si="57"/>
        <v>0</v>
      </c>
      <c r="F69" s="990">
        <f t="shared" si="45"/>
        <v>0</v>
      </c>
      <c r="G69" s="785">
        <f t="shared" si="19"/>
        <v>0</v>
      </c>
      <c r="H69" s="988">
        <f t="shared" si="20"/>
        <v>0</v>
      </c>
      <c r="J69" s="988">
        <v>56</v>
      </c>
      <c r="K69" s="989">
        <f t="shared" si="10"/>
        <v>0</v>
      </c>
      <c r="L69" s="785">
        <f>IF(+$M$7=4,0,K68*$M$4)</f>
        <v>0</v>
      </c>
      <c r="M69" s="990">
        <f t="shared" si="11"/>
        <v>0</v>
      </c>
      <c r="N69" s="785">
        <f t="shared" si="55"/>
        <v>0</v>
      </c>
      <c r="O69" s="990">
        <f t="shared" si="47"/>
        <v>0</v>
      </c>
      <c r="P69" s="785">
        <f t="shared" si="21"/>
        <v>0</v>
      </c>
      <c r="Q69" s="988">
        <f t="shared" si="22"/>
        <v>0</v>
      </c>
      <c r="S69" s="988">
        <v>56</v>
      </c>
      <c r="T69" s="989">
        <f t="shared" si="14"/>
        <v>0</v>
      </c>
      <c r="U69" s="785">
        <f>IF(+$V$7=4,0,T68*$V$4)</f>
        <v>0</v>
      </c>
      <c r="V69" s="990">
        <f t="shared" si="15"/>
        <v>0</v>
      </c>
      <c r="W69" s="785">
        <f t="shared" si="56"/>
        <v>0</v>
      </c>
      <c r="X69" s="990">
        <f t="shared" si="49"/>
        <v>0</v>
      </c>
      <c r="Y69" s="785">
        <f t="shared" si="23"/>
        <v>0</v>
      </c>
      <c r="Z69" s="988">
        <f t="shared" si="24"/>
        <v>0</v>
      </c>
    </row>
    <row r="70" spans="1:26" x14ac:dyDescent="0.25">
      <c r="A70" s="988">
        <v>57</v>
      </c>
      <c r="B70" s="989">
        <f t="shared" si="6"/>
        <v>0</v>
      </c>
      <c r="C70" s="785">
        <f t="shared" si="53"/>
        <v>0</v>
      </c>
      <c r="D70" s="990">
        <f t="shared" si="7"/>
        <v>0</v>
      </c>
      <c r="E70" s="785">
        <f t="shared" si="57"/>
        <v>0</v>
      </c>
      <c r="F70" s="990">
        <f t="shared" si="45"/>
        <v>0</v>
      </c>
      <c r="G70" s="785">
        <f t="shared" si="19"/>
        <v>0</v>
      </c>
      <c r="H70" s="988">
        <f t="shared" si="20"/>
        <v>0</v>
      </c>
      <c r="J70" s="988">
        <v>57</v>
      </c>
      <c r="K70" s="989">
        <f t="shared" si="10"/>
        <v>0</v>
      </c>
      <c r="L70" s="785">
        <f>IF(+$M$7=4,0,K69*$M$4)</f>
        <v>0</v>
      </c>
      <c r="M70" s="990">
        <f t="shared" si="11"/>
        <v>0</v>
      </c>
      <c r="N70" s="785">
        <f t="shared" si="55"/>
        <v>0</v>
      </c>
      <c r="O70" s="990">
        <f t="shared" si="47"/>
        <v>0</v>
      </c>
      <c r="P70" s="785">
        <f t="shared" si="21"/>
        <v>0</v>
      </c>
      <c r="Q70" s="988">
        <f t="shared" si="22"/>
        <v>0</v>
      </c>
      <c r="S70" s="988">
        <v>57</v>
      </c>
      <c r="T70" s="989">
        <f t="shared" si="14"/>
        <v>0</v>
      </c>
      <c r="U70" s="785">
        <f>IF(+$V$7=4,0,T69*$V$4)</f>
        <v>0</v>
      </c>
      <c r="V70" s="990">
        <f t="shared" si="15"/>
        <v>0</v>
      </c>
      <c r="W70" s="785">
        <f t="shared" si="56"/>
        <v>0</v>
      </c>
      <c r="X70" s="990">
        <f t="shared" si="49"/>
        <v>0</v>
      </c>
      <c r="Y70" s="785">
        <f t="shared" si="23"/>
        <v>0</v>
      </c>
      <c r="Z70" s="988">
        <f t="shared" si="24"/>
        <v>0</v>
      </c>
    </row>
    <row r="71" spans="1:26" x14ac:dyDescent="0.25">
      <c r="A71" s="988">
        <v>58</v>
      </c>
      <c r="B71" s="989">
        <f t="shared" si="6"/>
        <v>0</v>
      </c>
      <c r="C71" s="785">
        <f>B70*$D$4</f>
        <v>0</v>
      </c>
      <c r="D71" s="990">
        <f t="shared" si="7"/>
        <v>0</v>
      </c>
      <c r="E71" s="785">
        <f t="shared" si="57"/>
        <v>0</v>
      </c>
      <c r="F71" s="990">
        <f t="shared" si="45"/>
        <v>0</v>
      </c>
      <c r="G71" s="785">
        <f t="shared" si="19"/>
        <v>0</v>
      </c>
      <c r="H71" s="988">
        <f t="shared" si="20"/>
        <v>0</v>
      </c>
      <c r="J71" s="988">
        <v>58</v>
      </c>
      <c r="K71" s="989">
        <f t="shared" si="10"/>
        <v>0</v>
      </c>
      <c r="L71" s="785">
        <f>K70*$M$4</f>
        <v>0</v>
      </c>
      <c r="M71" s="990">
        <f t="shared" si="11"/>
        <v>0</v>
      </c>
      <c r="N71" s="785">
        <f t="shared" si="55"/>
        <v>0</v>
      </c>
      <c r="O71" s="990">
        <f t="shared" si="47"/>
        <v>0</v>
      </c>
      <c r="P71" s="785">
        <f t="shared" si="21"/>
        <v>0</v>
      </c>
      <c r="Q71" s="988">
        <f t="shared" si="22"/>
        <v>0</v>
      </c>
      <c r="S71" s="988">
        <v>58</v>
      </c>
      <c r="T71" s="989">
        <f t="shared" si="14"/>
        <v>0</v>
      </c>
      <c r="U71" s="785">
        <f>T70*$V$4</f>
        <v>0</v>
      </c>
      <c r="V71" s="990">
        <f t="shared" si="15"/>
        <v>0</v>
      </c>
      <c r="W71" s="785">
        <f t="shared" si="56"/>
        <v>0</v>
      </c>
      <c r="X71" s="990">
        <f t="shared" si="49"/>
        <v>0</v>
      </c>
      <c r="Y71" s="785">
        <f t="shared" si="23"/>
        <v>0</v>
      </c>
      <c r="Z71" s="988">
        <f t="shared" si="24"/>
        <v>0</v>
      </c>
    </row>
    <row r="72" spans="1:26" x14ac:dyDescent="0.25">
      <c r="A72" s="988">
        <v>59</v>
      </c>
      <c r="B72" s="989">
        <f t="shared" si="6"/>
        <v>0</v>
      </c>
      <c r="C72" s="785">
        <f t="shared" si="53"/>
        <v>0</v>
      </c>
      <c r="D72" s="990">
        <f t="shared" si="7"/>
        <v>0</v>
      </c>
      <c r="E72" s="785">
        <f t="shared" si="57"/>
        <v>0</v>
      </c>
      <c r="F72" s="990">
        <f t="shared" si="45"/>
        <v>0</v>
      </c>
      <c r="G72" s="785">
        <f t="shared" si="19"/>
        <v>0</v>
      </c>
      <c r="H72" s="988">
        <f t="shared" si="20"/>
        <v>0</v>
      </c>
      <c r="J72" s="988">
        <v>59</v>
      </c>
      <c r="K72" s="989">
        <f t="shared" si="10"/>
        <v>0</v>
      </c>
      <c r="L72" s="785">
        <f>IF(+$M$7=4,0,K71*$M$4)</f>
        <v>0</v>
      </c>
      <c r="M72" s="990">
        <f t="shared" si="11"/>
        <v>0</v>
      </c>
      <c r="N72" s="785">
        <f t="shared" si="55"/>
        <v>0</v>
      </c>
      <c r="O72" s="990">
        <f t="shared" si="47"/>
        <v>0</v>
      </c>
      <c r="P72" s="785">
        <f t="shared" si="21"/>
        <v>0</v>
      </c>
      <c r="Q72" s="988">
        <f t="shared" si="22"/>
        <v>0</v>
      </c>
      <c r="S72" s="988">
        <v>59</v>
      </c>
      <c r="T72" s="989">
        <f t="shared" si="14"/>
        <v>0</v>
      </c>
      <c r="U72" s="785">
        <f>IF(+$V$7=4,0,T71*$V$4)</f>
        <v>0</v>
      </c>
      <c r="V72" s="990">
        <f t="shared" si="15"/>
        <v>0</v>
      </c>
      <c r="W72" s="785">
        <f t="shared" si="56"/>
        <v>0</v>
      </c>
      <c r="X72" s="990">
        <f t="shared" si="49"/>
        <v>0</v>
      </c>
      <c r="Y72" s="785">
        <f t="shared" si="23"/>
        <v>0</v>
      </c>
      <c r="Z72" s="988">
        <f t="shared" si="24"/>
        <v>0</v>
      </c>
    </row>
    <row r="73" spans="1:26" x14ac:dyDescent="0.25">
      <c r="A73" s="988">
        <v>60</v>
      </c>
      <c r="B73" s="989">
        <f t="shared" si="6"/>
        <v>0</v>
      </c>
      <c r="C73" s="785">
        <f t="shared" si="53"/>
        <v>0</v>
      </c>
      <c r="D73" s="990">
        <f t="shared" si="7"/>
        <v>0</v>
      </c>
      <c r="E73" s="785">
        <f t="shared" si="57"/>
        <v>0</v>
      </c>
      <c r="F73" s="990">
        <f t="shared" si="45"/>
        <v>0</v>
      </c>
      <c r="G73" s="785">
        <f t="shared" si="19"/>
        <v>0</v>
      </c>
      <c r="H73" s="988">
        <f t="shared" si="20"/>
        <v>0</v>
      </c>
      <c r="J73" s="988">
        <v>60</v>
      </c>
      <c r="K73" s="989">
        <f t="shared" si="10"/>
        <v>0</v>
      </c>
      <c r="L73" s="785">
        <f>IF(+$M$7=4,0,K72*$M$4)</f>
        <v>0</v>
      </c>
      <c r="M73" s="990">
        <f t="shared" si="11"/>
        <v>0</v>
      </c>
      <c r="N73" s="785">
        <f t="shared" si="55"/>
        <v>0</v>
      </c>
      <c r="O73" s="990">
        <f t="shared" si="47"/>
        <v>0</v>
      </c>
      <c r="P73" s="785">
        <f t="shared" si="21"/>
        <v>0</v>
      </c>
      <c r="Q73" s="988">
        <f t="shared" si="22"/>
        <v>0</v>
      </c>
      <c r="S73" s="988">
        <v>60</v>
      </c>
      <c r="T73" s="989">
        <f t="shared" si="14"/>
        <v>0</v>
      </c>
      <c r="U73" s="785">
        <f>IF(+$V$7=4,0,T72*$V$4)</f>
        <v>0</v>
      </c>
      <c r="V73" s="990">
        <f t="shared" si="15"/>
        <v>0</v>
      </c>
      <c r="W73" s="785">
        <f t="shared" si="56"/>
        <v>0</v>
      </c>
      <c r="X73" s="990">
        <f t="shared" si="49"/>
        <v>0</v>
      </c>
      <c r="Y73" s="785">
        <f t="shared" si="23"/>
        <v>0</v>
      </c>
      <c r="Z73" s="988">
        <f t="shared" si="24"/>
        <v>0</v>
      </c>
    </row>
    <row r="74" spans="1:26" x14ac:dyDescent="0.25">
      <c r="A74" s="988">
        <v>61</v>
      </c>
      <c r="B74" s="989">
        <f t="shared" si="6"/>
        <v>0</v>
      </c>
      <c r="C74" s="785">
        <f>B73*$D$4</f>
        <v>0</v>
      </c>
      <c r="D74" s="990">
        <f t="shared" si="7"/>
        <v>0</v>
      </c>
      <c r="E74" s="785">
        <f t="shared" ref="E74:E79" si="58">IF(OR(C$6&gt;5,C74&lt;0.01),0,C$8-C74)</f>
        <v>0</v>
      </c>
      <c r="F74" s="990">
        <f t="shared" si="45"/>
        <v>0</v>
      </c>
      <c r="G74" s="785">
        <f t="shared" si="19"/>
        <v>0</v>
      </c>
      <c r="H74" s="988">
        <f t="shared" si="20"/>
        <v>0</v>
      </c>
      <c r="J74" s="988">
        <v>61</v>
      </c>
      <c r="K74" s="989">
        <f t="shared" si="10"/>
        <v>0</v>
      </c>
      <c r="L74" s="785">
        <f>K73*$M$4</f>
        <v>0</v>
      </c>
      <c r="M74" s="990">
        <f t="shared" si="11"/>
        <v>0</v>
      </c>
      <c r="N74" s="785">
        <f t="shared" si="55"/>
        <v>0</v>
      </c>
      <c r="O74" s="990">
        <f t="shared" si="47"/>
        <v>0</v>
      </c>
      <c r="P74" s="785">
        <f t="shared" si="21"/>
        <v>0</v>
      </c>
      <c r="Q74" s="988">
        <f t="shared" si="22"/>
        <v>0</v>
      </c>
      <c r="S74" s="988">
        <v>61</v>
      </c>
      <c r="T74" s="989">
        <f t="shared" si="14"/>
        <v>0</v>
      </c>
      <c r="U74" s="785">
        <f>T73*$V$4</f>
        <v>0</v>
      </c>
      <c r="V74" s="990">
        <f t="shared" si="15"/>
        <v>0</v>
      </c>
      <c r="W74" s="785">
        <f t="shared" si="56"/>
        <v>0</v>
      </c>
      <c r="X74" s="990">
        <f t="shared" si="49"/>
        <v>0</v>
      </c>
      <c r="Y74" s="785">
        <f t="shared" si="23"/>
        <v>0</v>
      </c>
      <c r="Z74" s="988">
        <f t="shared" si="24"/>
        <v>0</v>
      </c>
    </row>
    <row r="75" spans="1:26" x14ac:dyDescent="0.25">
      <c r="A75" s="988">
        <v>62</v>
      </c>
      <c r="B75" s="989">
        <f t="shared" si="6"/>
        <v>0</v>
      </c>
      <c r="C75" s="785">
        <f t="shared" si="53"/>
        <v>0</v>
      </c>
      <c r="D75" s="990">
        <f t="shared" si="7"/>
        <v>0</v>
      </c>
      <c r="E75" s="785">
        <f t="shared" si="58"/>
        <v>0</v>
      </c>
      <c r="F75" s="990">
        <f t="shared" si="45"/>
        <v>0</v>
      </c>
      <c r="G75" s="785">
        <f t="shared" si="19"/>
        <v>0</v>
      </c>
      <c r="H75" s="988">
        <f t="shared" si="20"/>
        <v>0</v>
      </c>
      <c r="J75" s="988">
        <v>62</v>
      </c>
      <c r="K75" s="989">
        <f t="shared" si="10"/>
        <v>0</v>
      </c>
      <c r="L75" s="785">
        <f>IF(+$M$7=4,0,K74*$M$4)</f>
        <v>0</v>
      </c>
      <c r="M75" s="990">
        <f t="shared" si="11"/>
        <v>0</v>
      </c>
      <c r="N75" s="785">
        <f t="shared" si="55"/>
        <v>0</v>
      </c>
      <c r="O75" s="990">
        <f t="shared" si="47"/>
        <v>0</v>
      </c>
      <c r="P75" s="785">
        <f t="shared" si="21"/>
        <v>0</v>
      </c>
      <c r="Q75" s="988">
        <f t="shared" si="22"/>
        <v>0</v>
      </c>
      <c r="S75" s="988">
        <v>62</v>
      </c>
      <c r="T75" s="989">
        <f t="shared" si="14"/>
        <v>0</v>
      </c>
      <c r="U75" s="785">
        <f>IF(+$V$7=4,0,T74*$V$4)</f>
        <v>0</v>
      </c>
      <c r="V75" s="990">
        <f t="shared" si="15"/>
        <v>0</v>
      </c>
      <c r="W75" s="785">
        <f t="shared" si="56"/>
        <v>0</v>
      </c>
      <c r="X75" s="990">
        <f t="shared" si="49"/>
        <v>0</v>
      </c>
      <c r="Y75" s="785">
        <f t="shared" si="23"/>
        <v>0</v>
      </c>
      <c r="Z75" s="988">
        <f t="shared" si="24"/>
        <v>0</v>
      </c>
    </row>
    <row r="76" spans="1:26" x14ac:dyDescent="0.25">
      <c r="A76" s="988">
        <v>63</v>
      </c>
      <c r="B76" s="989">
        <f t="shared" si="6"/>
        <v>0</v>
      </c>
      <c r="C76" s="785">
        <f t="shared" si="53"/>
        <v>0</v>
      </c>
      <c r="D76" s="990">
        <f t="shared" si="7"/>
        <v>0</v>
      </c>
      <c r="E76" s="785">
        <f t="shared" si="58"/>
        <v>0</v>
      </c>
      <c r="F76" s="990">
        <f t="shared" si="45"/>
        <v>0</v>
      </c>
      <c r="G76" s="785">
        <f t="shared" si="19"/>
        <v>0</v>
      </c>
      <c r="H76" s="988">
        <f t="shared" si="20"/>
        <v>0</v>
      </c>
      <c r="J76" s="988">
        <v>63</v>
      </c>
      <c r="K76" s="989">
        <f t="shared" si="10"/>
        <v>0</v>
      </c>
      <c r="L76" s="785">
        <f>IF(+$M$7=4,0,K75*$M$4)</f>
        <v>0</v>
      </c>
      <c r="M76" s="990">
        <f t="shared" si="11"/>
        <v>0</v>
      </c>
      <c r="N76" s="785">
        <f t="shared" si="55"/>
        <v>0</v>
      </c>
      <c r="O76" s="990">
        <f t="shared" si="47"/>
        <v>0</v>
      </c>
      <c r="P76" s="785">
        <f t="shared" si="21"/>
        <v>0</v>
      </c>
      <c r="Q76" s="988">
        <f t="shared" si="22"/>
        <v>0</v>
      </c>
      <c r="S76" s="988">
        <v>63</v>
      </c>
      <c r="T76" s="989">
        <f t="shared" si="14"/>
        <v>0</v>
      </c>
      <c r="U76" s="785">
        <f>IF(+$V$7=4,0,T75*$V$4)</f>
        <v>0</v>
      </c>
      <c r="V76" s="990">
        <f t="shared" si="15"/>
        <v>0</v>
      </c>
      <c r="W76" s="785">
        <f t="shared" si="56"/>
        <v>0</v>
      </c>
      <c r="X76" s="990">
        <f t="shared" si="49"/>
        <v>0</v>
      </c>
      <c r="Y76" s="785">
        <f t="shared" si="23"/>
        <v>0</v>
      </c>
      <c r="Z76" s="988">
        <f t="shared" si="24"/>
        <v>0</v>
      </c>
    </row>
    <row r="77" spans="1:26" x14ac:dyDescent="0.25">
      <c r="A77" s="988">
        <v>64</v>
      </c>
      <c r="B77" s="989">
        <f t="shared" si="6"/>
        <v>0</v>
      </c>
      <c r="C77" s="785">
        <f>B76*$D$4</f>
        <v>0</v>
      </c>
      <c r="D77" s="990">
        <f t="shared" si="7"/>
        <v>0</v>
      </c>
      <c r="E77" s="785">
        <f t="shared" si="58"/>
        <v>0</v>
      </c>
      <c r="F77" s="990">
        <f t="shared" si="45"/>
        <v>0</v>
      </c>
      <c r="G77" s="785">
        <f t="shared" si="19"/>
        <v>0</v>
      </c>
      <c r="H77" s="988">
        <f t="shared" si="20"/>
        <v>0</v>
      </c>
      <c r="J77" s="988">
        <v>64</v>
      </c>
      <c r="K77" s="989">
        <f t="shared" si="10"/>
        <v>0</v>
      </c>
      <c r="L77" s="785">
        <f>K76*$M$4</f>
        <v>0</v>
      </c>
      <c r="M77" s="990">
        <f t="shared" si="11"/>
        <v>0</v>
      </c>
      <c r="N77" s="785">
        <f t="shared" si="55"/>
        <v>0</v>
      </c>
      <c r="O77" s="990">
        <f t="shared" si="47"/>
        <v>0</v>
      </c>
      <c r="P77" s="785">
        <f t="shared" si="21"/>
        <v>0</v>
      </c>
      <c r="Q77" s="988">
        <f t="shared" si="22"/>
        <v>0</v>
      </c>
      <c r="S77" s="988">
        <v>64</v>
      </c>
      <c r="T77" s="989">
        <f t="shared" si="14"/>
        <v>0</v>
      </c>
      <c r="U77" s="785">
        <f>T76*$V$4</f>
        <v>0</v>
      </c>
      <c r="V77" s="990">
        <f t="shared" si="15"/>
        <v>0</v>
      </c>
      <c r="W77" s="785">
        <f t="shared" si="56"/>
        <v>0</v>
      </c>
      <c r="X77" s="990">
        <f t="shared" si="49"/>
        <v>0</v>
      </c>
      <c r="Y77" s="785">
        <f t="shared" si="23"/>
        <v>0</v>
      </c>
      <c r="Z77" s="988">
        <f t="shared" si="24"/>
        <v>0</v>
      </c>
    </row>
    <row r="78" spans="1:26" x14ac:dyDescent="0.25">
      <c r="A78" s="988">
        <v>65</v>
      </c>
      <c r="B78" s="989">
        <f t="shared" ref="B78:B141" si="59">IF(B77&lt;1,0,B77-E78)</f>
        <v>0</v>
      </c>
      <c r="C78" s="785">
        <f t="shared" si="53"/>
        <v>0</v>
      </c>
      <c r="D78" s="990">
        <f t="shared" ref="D78:D141" si="60">IF(B78=0,0,D77+C78)</f>
        <v>0</v>
      </c>
      <c r="E78" s="785">
        <f t="shared" si="58"/>
        <v>0</v>
      </c>
      <c r="F78" s="990">
        <f t="shared" si="45"/>
        <v>0</v>
      </c>
      <c r="G78" s="785">
        <f t="shared" si="19"/>
        <v>0</v>
      </c>
      <c r="H78" s="988">
        <f t="shared" si="20"/>
        <v>0</v>
      </c>
      <c r="J78" s="988">
        <v>65</v>
      </c>
      <c r="K78" s="989">
        <f t="shared" ref="K78:K141" si="61">IF(K77&lt;1,0,K77-N78)</f>
        <v>0</v>
      </c>
      <c r="L78" s="785">
        <f>IF(+$M$7=4,0,K77*$M$4)</f>
        <v>0</v>
      </c>
      <c r="M78" s="990">
        <f t="shared" ref="M78:M141" si="62">IF(K78=0,0,M77+L78)</f>
        <v>0</v>
      </c>
      <c r="N78" s="785">
        <f t="shared" si="55"/>
        <v>0</v>
      </c>
      <c r="O78" s="990">
        <f t="shared" si="47"/>
        <v>0</v>
      </c>
      <c r="P78" s="785">
        <f t="shared" si="21"/>
        <v>0</v>
      </c>
      <c r="Q78" s="988">
        <f t="shared" si="22"/>
        <v>0</v>
      </c>
      <c r="S78" s="988">
        <v>65</v>
      </c>
      <c r="T78" s="989">
        <f t="shared" ref="T78:T141" si="63">IF(T77&lt;1,0,T77-W78)</f>
        <v>0</v>
      </c>
      <c r="U78" s="785">
        <f>IF(+$V$7=4,0,T77*$V$4)</f>
        <v>0</v>
      </c>
      <c r="V78" s="990">
        <f t="shared" ref="V78:V141" si="64">IF(T78=0,0,V77+U78)</f>
        <v>0</v>
      </c>
      <c r="W78" s="785">
        <f t="shared" si="56"/>
        <v>0</v>
      </c>
      <c r="X78" s="990">
        <f t="shared" si="49"/>
        <v>0</v>
      </c>
      <c r="Y78" s="785">
        <f t="shared" si="23"/>
        <v>0</v>
      </c>
      <c r="Z78" s="988">
        <f t="shared" si="24"/>
        <v>0</v>
      </c>
    </row>
    <row r="79" spans="1:26" x14ac:dyDescent="0.25">
      <c r="A79" s="988">
        <v>66</v>
      </c>
      <c r="B79" s="989">
        <f t="shared" si="59"/>
        <v>0</v>
      </c>
      <c r="C79" s="785">
        <f t="shared" si="53"/>
        <v>0</v>
      </c>
      <c r="D79" s="990">
        <f t="shared" si="60"/>
        <v>0</v>
      </c>
      <c r="E79" s="785">
        <f t="shared" si="58"/>
        <v>0</v>
      </c>
      <c r="F79" s="990">
        <f t="shared" si="45"/>
        <v>0</v>
      </c>
      <c r="G79" s="785">
        <f t="shared" ref="G79:G142" si="65">C$8*H79</f>
        <v>0</v>
      </c>
      <c r="H79" s="988">
        <f t="shared" ref="H79:H142" si="66">IF(E79=0,0,A79-D$6)</f>
        <v>0</v>
      </c>
      <c r="J79" s="988">
        <v>66</v>
      </c>
      <c r="K79" s="989">
        <f t="shared" si="61"/>
        <v>0</v>
      </c>
      <c r="L79" s="785">
        <f>IF(+$M$7=4,0,K78*$M$4)</f>
        <v>0</v>
      </c>
      <c r="M79" s="990">
        <f t="shared" si="62"/>
        <v>0</v>
      </c>
      <c r="N79" s="785">
        <f t="shared" si="55"/>
        <v>0</v>
      </c>
      <c r="O79" s="990">
        <f t="shared" si="47"/>
        <v>0</v>
      </c>
      <c r="P79" s="785">
        <f t="shared" ref="P79:P142" si="67">L$8*Q79</f>
        <v>0</v>
      </c>
      <c r="Q79" s="988">
        <f t="shared" ref="Q79:Q142" si="68">IF(N79=0,0,J79-M$6)</f>
        <v>0</v>
      </c>
      <c r="S79" s="988">
        <v>66</v>
      </c>
      <c r="T79" s="989">
        <f t="shared" si="63"/>
        <v>0</v>
      </c>
      <c r="U79" s="785">
        <f>IF(+$V$7=4,0,T78*$V$4)</f>
        <v>0</v>
      </c>
      <c r="V79" s="990">
        <f t="shared" si="64"/>
        <v>0</v>
      </c>
      <c r="W79" s="785">
        <f t="shared" si="56"/>
        <v>0</v>
      </c>
      <c r="X79" s="990">
        <f t="shared" si="49"/>
        <v>0</v>
      </c>
      <c r="Y79" s="785">
        <f t="shared" ref="Y79:Y142" si="69">U$8*Z79</f>
        <v>0</v>
      </c>
      <c r="Z79" s="988">
        <f t="shared" ref="Z79:Z142" si="70">IF(W79=0,0,S79-V$6)</f>
        <v>0</v>
      </c>
    </row>
    <row r="80" spans="1:26" x14ac:dyDescent="0.25">
      <c r="A80" s="988">
        <v>67</v>
      </c>
      <c r="B80" s="989">
        <f t="shared" si="59"/>
        <v>0</v>
      </c>
      <c r="C80" s="785">
        <f>B79*$D$4</f>
        <v>0</v>
      </c>
      <c r="D80" s="990">
        <f t="shared" si="60"/>
        <v>0</v>
      </c>
      <c r="E80" s="785">
        <f t="shared" ref="E80:E85" si="71">IF(OR(C$6&gt;5.5,C80&lt;0.01),0,C$8-C80)</f>
        <v>0</v>
      </c>
      <c r="F80" s="990">
        <f t="shared" si="45"/>
        <v>0</v>
      </c>
      <c r="G80" s="785">
        <f t="shared" si="65"/>
        <v>0</v>
      </c>
      <c r="H80" s="988">
        <f t="shared" si="66"/>
        <v>0</v>
      </c>
      <c r="J80" s="988">
        <v>67</v>
      </c>
      <c r="K80" s="989">
        <f t="shared" si="61"/>
        <v>0</v>
      </c>
      <c r="L80" s="785">
        <f>K79*$M$4</f>
        <v>0</v>
      </c>
      <c r="M80" s="990">
        <f t="shared" si="62"/>
        <v>0</v>
      </c>
      <c r="N80" s="785">
        <f t="shared" si="55"/>
        <v>0</v>
      </c>
      <c r="O80" s="990">
        <f t="shared" si="47"/>
        <v>0</v>
      </c>
      <c r="P80" s="785">
        <f t="shared" si="67"/>
        <v>0</v>
      </c>
      <c r="Q80" s="988">
        <f t="shared" si="68"/>
        <v>0</v>
      </c>
      <c r="S80" s="988">
        <v>67</v>
      </c>
      <c r="T80" s="989">
        <f t="shared" si="63"/>
        <v>0</v>
      </c>
      <c r="U80" s="785">
        <f>T79*$V$4</f>
        <v>0</v>
      </c>
      <c r="V80" s="990">
        <f t="shared" si="64"/>
        <v>0</v>
      </c>
      <c r="W80" s="785">
        <f t="shared" si="56"/>
        <v>0</v>
      </c>
      <c r="X80" s="990">
        <f t="shared" si="49"/>
        <v>0</v>
      </c>
      <c r="Y80" s="785">
        <f t="shared" si="69"/>
        <v>0</v>
      </c>
      <c r="Z80" s="988">
        <f t="shared" si="70"/>
        <v>0</v>
      </c>
    </row>
    <row r="81" spans="1:26" x14ac:dyDescent="0.25">
      <c r="A81" s="988">
        <v>68</v>
      </c>
      <c r="B81" s="989">
        <f t="shared" si="59"/>
        <v>0</v>
      </c>
      <c r="C81" s="785">
        <f t="shared" si="53"/>
        <v>0</v>
      </c>
      <c r="D81" s="990">
        <f t="shared" si="60"/>
        <v>0</v>
      </c>
      <c r="E81" s="785">
        <f t="shared" si="71"/>
        <v>0</v>
      </c>
      <c r="F81" s="990">
        <f t="shared" si="45"/>
        <v>0</v>
      </c>
      <c r="G81" s="785">
        <f t="shared" si="65"/>
        <v>0</v>
      </c>
      <c r="H81" s="988">
        <f t="shared" si="66"/>
        <v>0</v>
      </c>
      <c r="J81" s="988">
        <v>68</v>
      </c>
      <c r="K81" s="989">
        <f t="shared" si="61"/>
        <v>0</v>
      </c>
      <c r="L81" s="785">
        <f>IF(+$M$7=4,0,K80*$M$4)</f>
        <v>0</v>
      </c>
      <c r="M81" s="990">
        <f t="shared" si="62"/>
        <v>0</v>
      </c>
      <c r="N81" s="785">
        <f t="shared" si="55"/>
        <v>0</v>
      </c>
      <c r="O81" s="990">
        <f t="shared" si="47"/>
        <v>0</v>
      </c>
      <c r="P81" s="785">
        <f t="shared" si="67"/>
        <v>0</v>
      </c>
      <c r="Q81" s="988">
        <f t="shared" si="68"/>
        <v>0</v>
      </c>
      <c r="S81" s="988">
        <v>68</v>
      </c>
      <c r="T81" s="989">
        <f t="shared" si="63"/>
        <v>0</v>
      </c>
      <c r="U81" s="785">
        <f>IF(+$V$7=4,0,T80*$V$4)</f>
        <v>0</v>
      </c>
      <c r="V81" s="990">
        <f t="shared" si="64"/>
        <v>0</v>
      </c>
      <c r="W81" s="785">
        <f t="shared" si="56"/>
        <v>0</v>
      </c>
      <c r="X81" s="990">
        <f t="shared" si="49"/>
        <v>0</v>
      </c>
      <c r="Y81" s="785">
        <f t="shared" si="69"/>
        <v>0</v>
      </c>
      <c r="Z81" s="988">
        <f t="shared" si="70"/>
        <v>0</v>
      </c>
    </row>
    <row r="82" spans="1:26" x14ac:dyDescent="0.25">
      <c r="A82" s="988">
        <v>69</v>
      </c>
      <c r="B82" s="989">
        <f t="shared" si="59"/>
        <v>0</v>
      </c>
      <c r="C82" s="785">
        <f t="shared" si="53"/>
        <v>0</v>
      </c>
      <c r="D82" s="990">
        <f t="shared" si="60"/>
        <v>0</v>
      </c>
      <c r="E82" s="785">
        <f t="shared" si="71"/>
        <v>0</v>
      </c>
      <c r="F82" s="990">
        <f t="shared" si="45"/>
        <v>0</v>
      </c>
      <c r="G82" s="785">
        <f t="shared" si="65"/>
        <v>0</v>
      </c>
      <c r="H82" s="988">
        <f t="shared" si="66"/>
        <v>0</v>
      </c>
      <c r="J82" s="988">
        <v>69</v>
      </c>
      <c r="K82" s="989">
        <f t="shared" si="61"/>
        <v>0</v>
      </c>
      <c r="L82" s="785">
        <f>IF(+$M$7=4,0,K81*$M$4)</f>
        <v>0</v>
      </c>
      <c r="M82" s="990">
        <f t="shared" si="62"/>
        <v>0</v>
      </c>
      <c r="N82" s="785">
        <f t="shared" si="55"/>
        <v>0</v>
      </c>
      <c r="O82" s="990">
        <f t="shared" si="47"/>
        <v>0</v>
      </c>
      <c r="P82" s="785">
        <f t="shared" si="67"/>
        <v>0</v>
      </c>
      <c r="Q82" s="988">
        <f t="shared" si="68"/>
        <v>0</v>
      </c>
      <c r="S82" s="988">
        <v>69</v>
      </c>
      <c r="T82" s="989">
        <f t="shared" si="63"/>
        <v>0</v>
      </c>
      <c r="U82" s="785">
        <f>IF(+$V$7=4,0,T81*$V$4)</f>
        <v>0</v>
      </c>
      <c r="V82" s="990">
        <f t="shared" si="64"/>
        <v>0</v>
      </c>
      <c r="W82" s="785">
        <f t="shared" si="56"/>
        <v>0</v>
      </c>
      <c r="X82" s="990">
        <f t="shared" si="49"/>
        <v>0</v>
      </c>
      <c r="Y82" s="785">
        <f t="shared" si="69"/>
        <v>0</v>
      </c>
      <c r="Z82" s="988">
        <f t="shared" si="70"/>
        <v>0</v>
      </c>
    </row>
    <row r="83" spans="1:26" x14ac:dyDescent="0.25">
      <c r="A83" s="988">
        <v>70</v>
      </c>
      <c r="B83" s="989">
        <f t="shared" si="59"/>
        <v>0</v>
      </c>
      <c r="C83" s="785">
        <f>B82*$D$4</f>
        <v>0</v>
      </c>
      <c r="D83" s="990">
        <f t="shared" si="60"/>
        <v>0</v>
      </c>
      <c r="E83" s="785">
        <f t="shared" si="71"/>
        <v>0</v>
      </c>
      <c r="F83" s="990">
        <f t="shared" si="45"/>
        <v>0</v>
      </c>
      <c r="G83" s="785">
        <f t="shared" si="65"/>
        <v>0</v>
      </c>
      <c r="H83" s="988">
        <f t="shared" si="66"/>
        <v>0</v>
      </c>
      <c r="J83" s="988">
        <v>70</v>
      </c>
      <c r="K83" s="989">
        <f t="shared" si="61"/>
        <v>0</v>
      </c>
      <c r="L83" s="785">
        <f>K82*$M$4</f>
        <v>0</v>
      </c>
      <c r="M83" s="990">
        <f t="shared" si="62"/>
        <v>0</v>
      </c>
      <c r="N83" s="785">
        <f t="shared" si="55"/>
        <v>0</v>
      </c>
      <c r="O83" s="990">
        <f t="shared" si="47"/>
        <v>0</v>
      </c>
      <c r="P83" s="785">
        <f t="shared" si="67"/>
        <v>0</v>
      </c>
      <c r="Q83" s="988">
        <f t="shared" si="68"/>
        <v>0</v>
      </c>
      <c r="S83" s="988">
        <v>70</v>
      </c>
      <c r="T83" s="989">
        <f t="shared" si="63"/>
        <v>0</v>
      </c>
      <c r="U83" s="785">
        <f>T82*$V$4</f>
        <v>0</v>
      </c>
      <c r="V83" s="990">
        <f t="shared" si="64"/>
        <v>0</v>
      </c>
      <c r="W83" s="785">
        <f t="shared" si="56"/>
        <v>0</v>
      </c>
      <c r="X83" s="990">
        <f t="shared" si="49"/>
        <v>0</v>
      </c>
      <c r="Y83" s="785">
        <f t="shared" si="69"/>
        <v>0</v>
      </c>
      <c r="Z83" s="988">
        <f t="shared" si="70"/>
        <v>0</v>
      </c>
    </row>
    <row r="84" spans="1:26" x14ac:dyDescent="0.25">
      <c r="A84" s="988">
        <v>71</v>
      </c>
      <c r="B84" s="989">
        <f t="shared" si="59"/>
        <v>0</v>
      </c>
      <c r="C84" s="785">
        <f t="shared" si="53"/>
        <v>0</v>
      </c>
      <c r="D84" s="990">
        <f t="shared" si="60"/>
        <v>0</v>
      </c>
      <c r="E84" s="785">
        <f t="shared" si="71"/>
        <v>0</v>
      </c>
      <c r="F84" s="990">
        <f t="shared" si="45"/>
        <v>0</v>
      </c>
      <c r="G84" s="785">
        <f t="shared" si="65"/>
        <v>0</v>
      </c>
      <c r="H84" s="988">
        <f t="shared" si="66"/>
        <v>0</v>
      </c>
      <c r="J84" s="988">
        <v>71</v>
      </c>
      <c r="K84" s="989">
        <f t="shared" si="61"/>
        <v>0</v>
      </c>
      <c r="L84" s="785">
        <f>IF(+$M$7=4,0,K83*$M$4)</f>
        <v>0</v>
      </c>
      <c r="M84" s="990">
        <f t="shared" si="62"/>
        <v>0</v>
      </c>
      <c r="N84" s="785">
        <f t="shared" si="55"/>
        <v>0</v>
      </c>
      <c r="O84" s="990">
        <f t="shared" si="47"/>
        <v>0</v>
      </c>
      <c r="P84" s="785">
        <f t="shared" si="67"/>
        <v>0</v>
      </c>
      <c r="Q84" s="988">
        <f t="shared" si="68"/>
        <v>0</v>
      </c>
      <c r="S84" s="988">
        <v>71</v>
      </c>
      <c r="T84" s="989">
        <f t="shared" si="63"/>
        <v>0</v>
      </c>
      <c r="U84" s="785">
        <f>IF(+$V$7=4,0,T83*$V$4)</f>
        <v>0</v>
      </c>
      <c r="V84" s="990">
        <f t="shared" si="64"/>
        <v>0</v>
      </c>
      <c r="W84" s="785">
        <f t="shared" si="56"/>
        <v>0</v>
      </c>
      <c r="X84" s="990">
        <f t="shared" si="49"/>
        <v>0</v>
      </c>
      <c r="Y84" s="785">
        <f t="shared" si="69"/>
        <v>0</v>
      </c>
      <c r="Z84" s="988">
        <f t="shared" si="70"/>
        <v>0</v>
      </c>
    </row>
    <row r="85" spans="1:26" x14ac:dyDescent="0.25">
      <c r="A85" s="988">
        <v>72</v>
      </c>
      <c r="B85" s="989">
        <f t="shared" si="59"/>
        <v>0</v>
      </c>
      <c r="C85" s="785">
        <f t="shared" si="53"/>
        <v>0</v>
      </c>
      <c r="D85" s="990">
        <f t="shared" si="60"/>
        <v>0</v>
      </c>
      <c r="E85" s="785">
        <f t="shared" si="71"/>
        <v>0</v>
      </c>
      <c r="F85" s="990">
        <f t="shared" si="45"/>
        <v>0</v>
      </c>
      <c r="G85" s="785">
        <f t="shared" si="65"/>
        <v>0</v>
      </c>
      <c r="H85" s="988">
        <f t="shared" si="66"/>
        <v>0</v>
      </c>
      <c r="J85" s="988">
        <v>72</v>
      </c>
      <c r="K85" s="989">
        <f t="shared" si="61"/>
        <v>0</v>
      </c>
      <c r="L85" s="785">
        <f>IF(+$M$7=4,0,K84*$M$4)</f>
        <v>0</v>
      </c>
      <c r="M85" s="990">
        <f t="shared" si="62"/>
        <v>0</v>
      </c>
      <c r="N85" s="785">
        <f t="shared" si="55"/>
        <v>0</v>
      </c>
      <c r="O85" s="990">
        <f t="shared" si="47"/>
        <v>0</v>
      </c>
      <c r="P85" s="785">
        <f t="shared" si="67"/>
        <v>0</v>
      </c>
      <c r="Q85" s="988">
        <f t="shared" si="68"/>
        <v>0</v>
      </c>
      <c r="S85" s="988">
        <v>72</v>
      </c>
      <c r="T85" s="989">
        <f t="shared" si="63"/>
        <v>0</v>
      </c>
      <c r="U85" s="785">
        <f>IF(+$V$7=4,0,T84*$V$4)</f>
        <v>0</v>
      </c>
      <c r="V85" s="990">
        <f t="shared" si="64"/>
        <v>0</v>
      </c>
      <c r="W85" s="785">
        <f t="shared" si="56"/>
        <v>0</v>
      </c>
      <c r="X85" s="990">
        <f t="shared" si="49"/>
        <v>0</v>
      </c>
      <c r="Y85" s="785">
        <f t="shared" si="69"/>
        <v>0</v>
      </c>
      <c r="Z85" s="988">
        <f t="shared" si="70"/>
        <v>0</v>
      </c>
    </row>
    <row r="86" spans="1:26" x14ac:dyDescent="0.25">
      <c r="A86" s="988">
        <v>73</v>
      </c>
      <c r="B86" s="989">
        <f t="shared" si="59"/>
        <v>0</v>
      </c>
      <c r="C86" s="785">
        <f>B85*$D$4</f>
        <v>0</v>
      </c>
      <c r="D86" s="990">
        <f t="shared" si="60"/>
        <v>0</v>
      </c>
      <c r="E86" s="785">
        <f t="shared" ref="E86:E91" si="72">IF(OR(C$6&gt;6,C86&lt;0.01),0,C$8-C86)</f>
        <v>0</v>
      </c>
      <c r="F86" s="990">
        <f t="shared" si="45"/>
        <v>0</v>
      </c>
      <c r="G86" s="785">
        <f t="shared" si="65"/>
        <v>0</v>
      </c>
      <c r="H86" s="988">
        <f t="shared" si="66"/>
        <v>0</v>
      </c>
      <c r="J86" s="988">
        <v>73</v>
      </c>
      <c r="K86" s="989">
        <f t="shared" si="61"/>
        <v>0</v>
      </c>
      <c r="L86" s="785">
        <f>K85*$M$4</f>
        <v>0</v>
      </c>
      <c r="M86" s="990">
        <f t="shared" si="62"/>
        <v>0</v>
      </c>
      <c r="N86" s="785">
        <f t="shared" si="55"/>
        <v>0</v>
      </c>
      <c r="O86" s="990">
        <f t="shared" si="47"/>
        <v>0</v>
      </c>
      <c r="P86" s="785">
        <f t="shared" si="67"/>
        <v>0</v>
      </c>
      <c r="Q86" s="988">
        <f t="shared" si="68"/>
        <v>0</v>
      </c>
      <c r="S86" s="988">
        <v>73</v>
      </c>
      <c r="T86" s="989">
        <f t="shared" si="63"/>
        <v>0</v>
      </c>
      <c r="U86" s="785">
        <f>T85*$V$4</f>
        <v>0</v>
      </c>
      <c r="V86" s="990">
        <f t="shared" si="64"/>
        <v>0</v>
      </c>
      <c r="W86" s="785">
        <f t="shared" si="56"/>
        <v>0</v>
      </c>
      <c r="X86" s="990">
        <f t="shared" si="49"/>
        <v>0</v>
      </c>
      <c r="Y86" s="785">
        <f t="shared" si="69"/>
        <v>0</v>
      </c>
      <c r="Z86" s="988">
        <f t="shared" si="70"/>
        <v>0</v>
      </c>
    </row>
    <row r="87" spans="1:26" x14ac:dyDescent="0.25">
      <c r="A87" s="988">
        <v>74</v>
      </c>
      <c r="B87" s="989">
        <f t="shared" si="59"/>
        <v>0</v>
      </c>
      <c r="C87" s="785">
        <f t="shared" si="53"/>
        <v>0</v>
      </c>
      <c r="D87" s="990">
        <f t="shared" si="60"/>
        <v>0</v>
      </c>
      <c r="E87" s="785">
        <f t="shared" si="72"/>
        <v>0</v>
      </c>
      <c r="F87" s="990">
        <f t="shared" si="45"/>
        <v>0</v>
      </c>
      <c r="G87" s="785">
        <f t="shared" si="65"/>
        <v>0</v>
      </c>
      <c r="H87" s="988">
        <f t="shared" si="66"/>
        <v>0</v>
      </c>
      <c r="J87" s="988">
        <v>74</v>
      </c>
      <c r="K87" s="989">
        <f t="shared" si="61"/>
        <v>0</v>
      </c>
      <c r="L87" s="785">
        <f>IF(+$M$7=4,0,K86*$M$4)</f>
        <v>0</v>
      </c>
      <c r="M87" s="990">
        <f t="shared" si="62"/>
        <v>0</v>
      </c>
      <c r="N87" s="785">
        <f t="shared" si="55"/>
        <v>0</v>
      </c>
      <c r="O87" s="990">
        <f t="shared" si="47"/>
        <v>0</v>
      </c>
      <c r="P87" s="785">
        <f t="shared" si="67"/>
        <v>0</v>
      </c>
      <c r="Q87" s="988">
        <f t="shared" si="68"/>
        <v>0</v>
      </c>
      <c r="S87" s="988">
        <v>74</v>
      </c>
      <c r="T87" s="989">
        <f t="shared" si="63"/>
        <v>0</v>
      </c>
      <c r="U87" s="785">
        <f>IF(+$V$7=4,0,T86*$V$4)</f>
        <v>0</v>
      </c>
      <c r="V87" s="990">
        <f t="shared" si="64"/>
        <v>0</v>
      </c>
      <c r="W87" s="785">
        <f t="shared" si="56"/>
        <v>0</v>
      </c>
      <c r="X87" s="990">
        <f t="shared" si="49"/>
        <v>0</v>
      </c>
      <c r="Y87" s="785">
        <f t="shared" si="69"/>
        <v>0</v>
      </c>
      <c r="Z87" s="988">
        <f t="shared" si="70"/>
        <v>0</v>
      </c>
    </row>
    <row r="88" spans="1:26" x14ac:dyDescent="0.25">
      <c r="A88" s="988">
        <v>75</v>
      </c>
      <c r="B88" s="989">
        <f t="shared" si="59"/>
        <v>0</v>
      </c>
      <c r="C88" s="785">
        <f t="shared" si="53"/>
        <v>0</v>
      </c>
      <c r="D88" s="990">
        <f t="shared" si="60"/>
        <v>0</v>
      </c>
      <c r="E88" s="785">
        <f t="shared" si="72"/>
        <v>0</v>
      </c>
      <c r="F88" s="990">
        <f t="shared" si="45"/>
        <v>0</v>
      </c>
      <c r="G88" s="785">
        <f t="shared" si="65"/>
        <v>0</v>
      </c>
      <c r="H88" s="988">
        <f t="shared" si="66"/>
        <v>0</v>
      </c>
      <c r="J88" s="988">
        <v>75</v>
      </c>
      <c r="K88" s="989">
        <f t="shared" si="61"/>
        <v>0</v>
      </c>
      <c r="L88" s="785">
        <f>IF(+$M$7=4,0,K87*$M$4)</f>
        <v>0</v>
      </c>
      <c r="M88" s="990">
        <f t="shared" si="62"/>
        <v>0</v>
      </c>
      <c r="N88" s="785">
        <f t="shared" si="55"/>
        <v>0</v>
      </c>
      <c r="O88" s="990">
        <f t="shared" si="47"/>
        <v>0</v>
      </c>
      <c r="P88" s="785">
        <f t="shared" si="67"/>
        <v>0</v>
      </c>
      <c r="Q88" s="988">
        <f t="shared" si="68"/>
        <v>0</v>
      </c>
      <c r="S88" s="988">
        <v>75</v>
      </c>
      <c r="T88" s="989">
        <f t="shared" si="63"/>
        <v>0</v>
      </c>
      <c r="U88" s="785">
        <f>IF(+$V$7=4,0,T87*$V$4)</f>
        <v>0</v>
      </c>
      <c r="V88" s="990">
        <f t="shared" si="64"/>
        <v>0</v>
      </c>
      <c r="W88" s="785">
        <f t="shared" si="56"/>
        <v>0</v>
      </c>
      <c r="X88" s="990">
        <f t="shared" si="49"/>
        <v>0</v>
      </c>
      <c r="Y88" s="785">
        <f t="shared" si="69"/>
        <v>0</v>
      </c>
      <c r="Z88" s="988">
        <f t="shared" si="70"/>
        <v>0</v>
      </c>
    </row>
    <row r="89" spans="1:26" x14ac:dyDescent="0.25">
      <c r="A89" s="988">
        <v>76</v>
      </c>
      <c r="B89" s="989">
        <f t="shared" si="59"/>
        <v>0</v>
      </c>
      <c r="C89" s="785">
        <f t="shared" si="53"/>
        <v>0</v>
      </c>
      <c r="D89" s="990">
        <f t="shared" si="60"/>
        <v>0</v>
      </c>
      <c r="E89" s="785">
        <f t="shared" si="72"/>
        <v>0</v>
      </c>
      <c r="F89" s="990">
        <f t="shared" si="45"/>
        <v>0</v>
      </c>
      <c r="G89" s="785">
        <f t="shared" si="65"/>
        <v>0</v>
      </c>
      <c r="H89" s="988">
        <f t="shared" si="66"/>
        <v>0</v>
      </c>
      <c r="J89" s="988">
        <v>76</v>
      </c>
      <c r="K89" s="989">
        <f t="shared" si="61"/>
        <v>0</v>
      </c>
      <c r="L89" s="785">
        <f>K88*$M$4</f>
        <v>0</v>
      </c>
      <c r="M89" s="990">
        <f t="shared" si="62"/>
        <v>0</v>
      </c>
      <c r="N89" s="785">
        <f t="shared" si="55"/>
        <v>0</v>
      </c>
      <c r="O89" s="990">
        <f t="shared" si="47"/>
        <v>0</v>
      </c>
      <c r="P89" s="785">
        <f t="shared" si="67"/>
        <v>0</v>
      </c>
      <c r="Q89" s="988">
        <f t="shared" si="68"/>
        <v>0</v>
      </c>
      <c r="S89" s="988">
        <v>76</v>
      </c>
      <c r="T89" s="989">
        <f t="shared" si="63"/>
        <v>0</v>
      </c>
      <c r="U89" s="785">
        <f>T88*$V$4</f>
        <v>0</v>
      </c>
      <c r="V89" s="990">
        <f t="shared" si="64"/>
        <v>0</v>
      </c>
      <c r="W89" s="785">
        <f t="shared" si="56"/>
        <v>0</v>
      </c>
      <c r="X89" s="990">
        <f t="shared" si="49"/>
        <v>0</v>
      </c>
      <c r="Y89" s="785">
        <f t="shared" si="69"/>
        <v>0</v>
      </c>
      <c r="Z89" s="988">
        <f t="shared" si="70"/>
        <v>0</v>
      </c>
    </row>
    <row r="90" spans="1:26" x14ac:dyDescent="0.25">
      <c r="A90" s="988">
        <v>77</v>
      </c>
      <c r="B90" s="989">
        <f t="shared" si="59"/>
        <v>0</v>
      </c>
      <c r="C90" s="785">
        <f>B89*$D$4</f>
        <v>0</v>
      </c>
      <c r="D90" s="990">
        <f t="shared" si="60"/>
        <v>0</v>
      </c>
      <c r="E90" s="785">
        <f t="shared" si="72"/>
        <v>0</v>
      </c>
      <c r="F90" s="990">
        <f t="shared" si="45"/>
        <v>0</v>
      </c>
      <c r="G90" s="785">
        <f t="shared" si="65"/>
        <v>0</v>
      </c>
      <c r="H90" s="988">
        <f t="shared" si="66"/>
        <v>0</v>
      </c>
      <c r="J90" s="988">
        <v>77</v>
      </c>
      <c r="K90" s="989">
        <f t="shared" si="61"/>
        <v>0</v>
      </c>
      <c r="L90" s="785">
        <f>IF(+$M$7=4,0,K89*$M$4)</f>
        <v>0</v>
      </c>
      <c r="M90" s="990">
        <f t="shared" si="62"/>
        <v>0</v>
      </c>
      <c r="N90" s="785">
        <f t="shared" si="55"/>
        <v>0</v>
      </c>
      <c r="O90" s="990">
        <f t="shared" si="47"/>
        <v>0</v>
      </c>
      <c r="P90" s="785">
        <f t="shared" si="67"/>
        <v>0</v>
      </c>
      <c r="Q90" s="988">
        <f t="shared" si="68"/>
        <v>0</v>
      </c>
      <c r="S90" s="988">
        <v>77</v>
      </c>
      <c r="T90" s="989">
        <f t="shared" si="63"/>
        <v>0</v>
      </c>
      <c r="U90" s="785">
        <f>IF(+$V$7=4,0,T89*$V$4)</f>
        <v>0</v>
      </c>
      <c r="V90" s="990">
        <f t="shared" si="64"/>
        <v>0</v>
      </c>
      <c r="W90" s="785">
        <f t="shared" si="56"/>
        <v>0</v>
      </c>
      <c r="X90" s="990">
        <f t="shared" si="49"/>
        <v>0</v>
      </c>
      <c r="Y90" s="785">
        <f t="shared" si="69"/>
        <v>0</v>
      </c>
      <c r="Z90" s="988">
        <f t="shared" si="70"/>
        <v>0</v>
      </c>
    </row>
    <row r="91" spans="1:26" x14ac:dyDescent="0.25">
      <c r="A91" s="988">
        <v>78</v>
      </c>
      <c r="B91" s="989">
        <f t="shared" si="59"/>
        <v>0</v>
      </c>
      <c r="C91" s="785">
        <f t="shared" si="53"/>
        <v>0</v>
      </c>
      <c r="D91" s="990">
        <f t="shared" si="60"/>
        <v>0</v>
      </c>
      <c r="E91" s="785">
        <f t="shared" si="72"/>
        <v>0</v>
      </c>
      <c r="F91" s="990">
        <f t="shared" si="45"/>
        <v>0</v>
      </c>
      <c r="G91" s="785">
        <f t="shared" si="65"/>
        <v>0</v>
      </c>
      <c r="H91" s="988">
        <f t="shared" si="66"/>
        <v>0</v>
      </c>
      <c r="J91" s="988">
        <v>78</v>
      </c>
      <c r="K91" s="989">
        <f t="shared" si="61"/>
        <v>0</v>
      </c>
      <c r="L91" s="785">
        <f>IF(+$M$7=4,0,K90*$M$4)</f>
        <v>0</v>
      </c>
      <c r="M91" s="990">
        <f t="shared" si="62"/>
        <v>0</v>
      </c>
      <c r="N91" s="785">
        <f t="shared" si="55"/>
        <v>0</v>
      </c>
      <c r="O91" s="990">
        <f t="shared" si="47"/>
        <v>0</v>
      </c>
      <c r="P91" s="785">
        <f t="shared" si="67"/>
        <v>0</v>
      </c>
      <c r="Q91" s="988">
        <f t="shared" si="68"/>
        <v>0</v>
      </c>
      <c r="S91" s="988">
        <v>78</v>
      </c>
      <c r="T91" s="989">
        <f t="shared" si="63"/>
        <v>0</v>
      </c>
      <c r="U91" s="785">
        <f>IF(+$V$7=4,0,T90*$V$4)</f>
        <v>0</v>
      </c>
      <c r="V91" s="990">
        <f t="shared" si="64"/>
        <v>0</v>
      </c>
      <c r="W91" s="785">
        <f t="shared" si="56"/>
        <v>0</v>
      </c>
      <c r="X91" s="990">
        <f t="shared" si="49"/>
        <v>0</v>
      </c>
      <c r="Y91" s="785">
        <f t="shared" si="69"/>
        <v>0</v>
      </c>
      <c r="Z91" s="988">
        <f t="shared" si="70"/>
        <v>0</v>
      </c>
    </row>
    <row r="92" spans="1:26" x14ac:dyDescent="0.25">
      <c r="A92" s="988">
        <v>79</v>
      </c>
      <c r="B92" s="989">
        <f t="shared" si="59"/>
        <v>0</v>
      </c>
      <c r="C92" s="785">
        <f t="shared" si="53"/>
        <v>0</v>
      </c>
      <c r="D92" s="990">
        <f t="shared" si="60"/>
        <v>0</v>
      </c>
      <c r="E92" s="785">
        <f t="shared" ref="E92:E97" si="73">IF(OR(C$6&gt;6.5,C92&lt;0.01),0,C$8-C92)</f>
        <v>0</v>
      </c>
      <c r="F92" s="990">
        <f t="shared" si="45"/>
        <v>0</v>
      </c>
      <c r="G92" s="785">
        <f t="shared" si="65"/>
        <v>0</v>
      </c>
      <c r="H92" s="988">
        <f t="shared" si="66"/>
        <v>0</v>
      </c>
      <c r="J92" s="988">
        <v>79</v>
      </c>
      <c r="K92" s="989">
        <f t="shared" si="61"/>
        <v>0</v>
      </c>
      <c r="L92" s="785">
        <f>K91*$M$4</f>
        <v>0</v>
      </c>
      <c r="M92" s="990">
        <f t="shared" si="62"/>
        <v>0</v>
      </c>
      <c r="N92" s="785">
        <f t="shared" si="55"/>
        <v>0</v>
      </c>
      <c r="O92" s="990">
        <f t="shared" si="47"/>
        <v>0</v>
      </c>
      <c r="P92" s="785">
        <f t="shared" si="67"/>
        <v>0</v>
      </c>
      <c r="Q92" s="988">
        <f t="shared" si="68"/>
        <v>0</v>
      </c>
      <c r="S92" s="988">
        <v>79</v>
      </c>
      <c r="T92" s="989">
        <f t="shared" si="63"/>
        <v>0</v>
      </c>
      <c r="U92" s="785">
        <f>T91*$V$4</f>
        <v>0</v>
      </c>
      <c r="V92" s="990">
        <f t="shared" si="64"/>
        <v>0</v>
      </c>
      <c r="W92" s="785">
        <f t="shared" si="56"/>
        <v>0</v>
      </c>
      <c r="X92" s="990">
        <f t="shared" si="49"/>
        <v>0</v>
      </c>
      <c r="Y92" s="785">
        <f t="shared" si="69"/>
        <v>0</v>
      </c>
      <c r="Z92" s="988">
        <f t="shared" si="70"/>
        <v>0</v>
      </c>
    </row>
    <row r="93" spans="1:26" x14ac:dyDescent="0.25">
      <c r="A93" s="988">
        <v>80</v>
      </c>
      <c r="B93" s="989">
        <f t="shared" si="59"/>
        <v>0</v>
      </c>
      <c r="C93" s="785">
        <f>B92*$D$4</f>
        <v>0</v>
      </c>
      <c r="D93" s="990">
        <f t="shared" si="60"/>
        <v>0</v>
      </c>
      <c r="E93" s="785">
        <f t="shared" si="73"/>
        <v>0</v>
      </c>
      <c r="F93" s="990">
        <f t="shared" si="45"/>
        <v>0</v>
      </c>
      <c r="G93" s="785">
        <f t="shared" si="65"/>
        <v>0</v>
      </c>
      <c r="H93" s="988">
        <f t="shared" si="66"/>
        <v>0</v>
      </c>
      <c r="J93" s="988">
        <v>80</v>
      </c>
      <c r="K93" s="989">
        <f t="shared" si="61"/>
        <v>0</v>
      </c>
      <c r="L93" s="785">
        <f>IF(+$M$7=4,0,K92*$M$4)</f>
        <v>0</v>
      </c>
      <c r="M93" s="990">
        <f t="shared" si="62"/>
        <v>0</v>
      </c>
      <c r="N93" s="785">
        <f t="shared" si="55"/>
        <v>0</v>
      </c>
      <c r="O93" s="990">
        <f t="shared" si="47"/>
        <v>0</v>
      </c>
      <c r="P93" s="785">
        <f t="shared" si="67"/>
        <v>0</v>
      </c>
      <c r="Q93" s="988">
        <f t="shared" si="68"/>
        <v>0</v>
      </c>
      <c r="S93" s="988">
        <v>80</v>
      </c>
      <c r="T93" s="989">
        <f t="shared" si="63"/>
        <v>0</v>
      </c>
      <c r="U93" s="785">
        <f>IF(+$V$7=4,0,T92*$V$4)</f>
        <v>0</v>
      </c>
      <c r="V93" s="990">
        <f t="shared" si="64"/>
        <v>0</v>
      </c>
      <c r="W93" s="785">
        <f t="shared" si="56"/>
        <v>0</v>
      </c>
      <c r="X93" s="990">
        <f t="shared" si="49"/>
        <v>0</v>
      </c>
      <c r="Y93" s="785">
        <f t="shared" si="69"/>
        <v>0</v>
      </c>
      <c r="Z93" s="988">
        <f t="shared" si="70"/>
        <v>0</v>
      </c>
    </row>
    <row r="94" spans="1:26" x14ac:dyDescent="0.25">
      <c r="A94" s="988">
        <v>81</v>
      </c>
      <c r="B94" s="989">
        <f t="shared" si="59"/>
        <v>0</v>
      </c>
      <c r="C94" s="785">
        <f t="shared" si="53"/>
        <v>0</v>
      </c>
      <c r="D94" s="990">
        <f t="shared" si="60"/>
        <v>0</v>
      </c>
      <c r="E94" s="785">
        <f t="shared" si="73"/>
        <v>0</v>
      </c>
      <c r="F94" s="990">
        <f t="shared" si="45"/>
        <v>0</v>
      </c>
      <c r="G94" s="785">
        <f t="shared" si="65"/>
        <v>0</v>
      </c>
      <c r="H94" s="988">
        <f t="shared" si="66"/>
        <v>0</v>
      </c>
      <c r="J94" s="988">
        <v>81</v>
      </c>
      <c r="K94" s="989">
        <f t="shared" si="61"/>
        <v>0</v>
      </c>
      <c r="L94" s="785">
        <f>IF(+$M$7=4,0,K93*$M$4)</f>
        <v>0</v>
      </c>
      <c r="M94" s="990">
        <f t="shared" si="62"/>
        <v>0</v>
      </c>
      <c r="N94" s="785">
        <f t="shared" si="55"/>
        <v>0</v>
      </c>
      <c r="O94" s="990">
        <f t="shared" si="47"/>
        <v>0</v>
      </c>
      <c r="P94" s="785">
        <f t="shared" si="67"/>
        <v>0</v>
      </c>
      <c r="Q94" s="988">
        <f t="shared" si="68"/>
        <v>0</v>
      </c>
      <c r="S94" s="988">
        <v>81</v>
      </c>
      <c r="T94" s="989">
        <f t="shared" si="63"/>
        <v>0</v>
      </c>
      <c r="U94" s="785">
        <f>IF(+$V$7=4,0,T93*$V$4)</f>
        <v>0</v>
      </c>
      <c r="V94" s="990">
        <f t="shared" si="64"/>
        <v>0</v>
      </c>
      <c r="W94" s="785">
        <f t="shared" si="56"/>
        <v>0</v>
      </c>
      <c r="X94" s="990">
        <f t="shared" si="49"/>
        <v>0</v>
      </c>
      <c r="Y94" s="785">
        <f t="shared" si="69"/>
        <v>0</v>
      </c>
      <c r="Z94" s="988">
        <f t="shared" si="70"/>
        <v>0</v>
      </c>
    </row>
    <row r="95" spans="1:26" x14ac:dyDescent="0.25">
      <c r="A95" s="988">
        <v>82</v>
      </c>
      <c r="B95" s="989">
        <f t="shared" si="59"/>
        <v>0</v>
      </c>
      <c r="C95" s="785">
        <f t="shared" si="53"/>
        <v>0</v>
      </c>
      <c r="D95" s="990">
        <f t="shared" si="60"/>
        <v>0</v>
      </c>
      <c r="E95" s="785">
        <f t="shared" si="73"/>
        <v>0</v>
      </c>
      <c r="F95" s="990">
        <f t="shared" si="45"/>
        <v>0</v>
      </c>
      <c r="G95" s="785">
        <f t="shared" si="65"/>
        <v>0</v>
      </c>
      <c r="H95" s="988">
        <f t="shared" si="66"/>
        <v>0</v>
      </c>
      <c r="J95" s="988">
        <v>82</v>
      </c>
      <c r="K95" s="989">
        <f t="shared" si="61"/>
        <v>0</v>
      </c>
      <c r="L95" s="785">
        <f>K94*$M$4</f>
        <v>0</v>
      </c>
      <c r="M95" s="990">
        <f t="shared" si="62"/>
        <v>0</v>
      </c>
      <c r="N95" s="785">
        <f t="shared" si="55"/>
        <v>0</v>
      </c>
      <c r="O95" s="990">
        <f t="shared" si="47"/>
        <v>0</v>
      </c>
      <c r="P95" s="785">
        <f t="shared" si="67"/>
        <v>0</v>
      </c>
      <c r="Q95" s="988">
        <f t="shared" si="68"/>
        <v>0</v>
      </c>
      <c r="S95" s="988">
        <v>82</v>
      </c>
      <c r="T95" s="989">
        <f t="shared" si="63"/>
        <v>0</v>
      </c>
      <c r="U95" s="785">
        <f>T94*$V$4</f>
        <v>0</v>
      </c>
      <c r="V95" s="990">
        <f t="shared" si="64"/>
        <v>0</v>
      </c>
      <c r="W95" s="785">
        <f t="shared" si="56"/>
        <v>0</v>
      </c>
      <c r="X95" s="990">
        <f t="shared" si="49"/>
        <v>0</v>
      </c>
      <c r="Y95" s="785">
        <f t="shared" si="69"/>
        <v>0</v>
      </c>
      <c r="Z95" s="988">
        <f t="shared" si="70"/>
        <v>0</v>
      </c>
    </row>
    <row r="96" spans="1:26" x14ac:dyDescent="0.25">
      <c r="A96" s="988">
        <v>83</v>
      </c>
      <c r="B96" s="989">
        <f t="shared" si="59"/>
        <v>0</v>
      </c>
      <c r="C96" s="785">
        <f>B95*$D$4</f>
        <v>0</v>
      </c>
      <c r="D96" s="990">
        <f t="shared" si="60"/>
        <v>0</v>
      </c>
      <c r="E96" s="785">
        <f t="shared" si="73"/>
        <v>0</v>
      </c>
      <c r="F96" s="990">
        <f t="shared" si="45"/>
        <v>0</v>
      </c>
      <c r="G96" s="785">
        <f t="shared" si="65"/>
        <v>0</v>
      </c>
      <c r="H96" s="988">
        <f t="shared" si="66"/>
        <v>0</v>
      </c>
      <c r="J96" s="988">
        <v>83</v>
      </c>
      <c r="K96" s="989">
        <f t="shared" si="61"/>
        <v>0</v>
      </c>
      <c r="L96" s="785">
        <f>IF(+$M$7=4,0,K95*$M$4)</f>
        <v>0</v>
      </c>
      <c r="M96" s="990">
        <f t="shared" si="62"/>
        <v>0</v>
      </c>
      <c r="N96" s="785">
        <f t="shared" si="55"/>
        <v>0</v>
      </c>
      <c r="O96" s="990">
        <f t="shared" si="47"/>
        <v>0</v>
      </c>
      <c r="P96" s="785">
        <f t="shared" si="67"/>
        <v>0</v>
      </c>
      <c r="Q96" s="988">
        <f t="shared" si="68"/>
        <v>0</v>
      </c>
      <c r="S96" s="988">
        <v>83</v>
      </c>
      <c r="T96" s="989">
        <f t="shared" si="63"/>
        <v>0</v>
      </c>
      <c r="U96" s="785">
        <f>IF(+$V$7=4,0,T95*$V$4)</f>
        <v>0</v>
      </c>
      <c r="V96" s="990">
        <f t="shared" si="64"/>
        <v>0</v>
      </c>
      <c r="W96" s="785">
        <f t="shared" si="56"/>
        <v>0</v>
      </c>
      <c r="X96" s="990">
        <f t="shared" si="49"/>
        <v>0</v>
      </c>
      <c r="Y96" s="785">
        <f t="shared" si="69"/>
        <v>0</v>
      </c>
      <c r="Z96" s="988">
        <f t="shared" si="70"/>
        <v>0</v>
      </c>
    </row>
    <row r="97" spans="1:26" x14ac:dyDescent="0.25">
      <c r="A97" s="988">
        <v>84</v>
      </c>
      <c r="B97" s="989">
        <f t="shared" si="59"/>
        <v>0</v>
      </c>
      <c r="C97" s="785">
        <f t="shared" si="53"/>
        <v>0</v>
      </c>
      <c r="D97" s="990">
        <f t="shared" si="60"/>
        <v>0</v>
      </c>
      <c r="E97" s="785">
        <f t="shared" si="73"/>
        <v>0</v>
      </c>
      <c r="F97" s="990">
        <f t="shared" si="45"/>
        <v>0</v>
      </c>
      <c r="G97" s="785">
        <f t="shared" si="65"/>
        <v>0</v>
      </c>
      <c r="H97" s="988">
        <f t="shared" si="66"/>
        <v>0</v>
      </c>
      <c r="J97" s="988">
        <v>84</v>
      </c>
      <c r="K97" s="989">
        <f t="shared" si="61"/>
        <v>0</v>
      </c>
      <c r="L97" s="785">
        <f>IF(+$M$7=4,0,K96*$M$4)</f>
        <v>0</v>
      </c>
      <c r="M97" s="990">
        <f t="shared" si="62"/>
        <v>0</v>
      </c>
      <c r="N97" s="785">
        <f t="shared" si="55"/>
        <v>0</v>
      </c>
      <c r="O97" s="990">
        <f t="shared" si="47"/>
        <v>0</v>
      </c>
      <c r="P97" s="785">
        <f t="shared" si="67"/>
        <v>0</v>
      </c>
      <c r="Q97" s="988">
        <f t="shared" si="68"/>
        <v>0</v>
      </c>
      <c r="S97" s="988">
        <v>84</v>
      </c>
      <c r="T97" s="989">
        <f t="shared" si="63"/>
        <v>0</v>
      </c>
      <c r="U97" s="785">
        <f>IF(+$V$7=4,0,T96*$V$4)</f>
        <v>0</v>
      </c>
      <c r="V97" s="990">
        <f t="shared" si="64"/>
        <v>0</v>
      </c>
      <c r="W97" s="785">
        <f t="shared" si="56"/>
        <v>0</v>
      </c>
      <c r="X97" s="990">
        <f t="shared" si="49"/>
        <v>0</v>
      </c>
      <c r="Y97" s="785">
        <f t="shared" si="69"/>
        <v>0</v>
      </c>
      <c r="Z97" s="988">
        <f t="shared" si="70"/>
        <v>0</v>
      </c>
    </row>
    <row r="98" spans="1:26" x14ac:dyDescent="0.25">
      <c r="A98" s="988">
        <v>85</v>
      </c>
      <c r="B98" s="989">
        <f t="shared" si="59"/>
        <v>0</v>
      </c>
      <c r="C98" s="785">
        <f t="shared" si="53"/>
        <v>0</v>
      </c>
      <c r="D98" s="990">
        <f t="shared" si="60"/>
        <v>0</v>
      </c>
      <c r="E98" s="785">
        <f t="shared" ref="E98:E103" si="74">IF(OR(C$6&gt;7,C98&lt;0.01),0,C$8-C98)</f>
        <v>0</v>
      </c>
      <c r="F98" s="990">
        <f t="shared" si="45"/>
        <v>0</v>
      </c>
      <c r="G98" s="785">
        <f t="shared" si="65"/>
        <v>0</v>
      </c>
      <c r="H98" s="988">
        <f t="shared" si="66"/>
        <v>0</v>
      </c>
      <c r="J98" s="988">
        <v>85</v>
      </c>
      <c r="K98" s="989">
        <f t="shared" si="61"/>
        <v>0</v>
      </c>
      <c r="L98" s="785">
        <f>K97*$M$4</f>
        <v>0</v>
      </c>
      <c r="M98" s="990">
        <f t="shared" si="62"/>
        <v>0</v>
      </c>
      <c r="N98" s="785">
        <f t="shared" si="55"/>
        <v>0</v>
      </c>
      <c r="O98" s="990">
        <f t="shared" si="47"/>
        <v>0</v>
      </c>
      <c r="P98" s="785">
        <f t="shared" si="67"/>
        <v>0</v>
      </c>
      <c r="Q98" s="988">
        <f t="shared" si="68"/>
        <v>0</v>
      </c>
      <c r="S98" s="988">
        <v>85</v>
      </c>
      <c r="T98" s="989">
        <f t="shared" si="63"/>
        <v>0</v>
      </c>
      <c r="U98" s="785">
        <f>T97*$V$4</f>
        <v>0</v>
      </c>
      <c r="V98" s="990">
        <f t="shared" si="64"/>
        <v>0</v>
      </c>
      <c r="W98" s="785">
        <f t="shared" si="56"/>
        <v>0</v>
      </c>
      <c r="X98" s="990">
        <f t="shared" si="49"/>
        <v>0</v>
      </c>
      <c r="Y98" s="785">
        <f t="shared" si="69"/>
        <v>0</v>
      </c>
      <c r="Z98" s="988">
        <f t="shared" si="70"/>
        <v>0</v>
      </c>
    </row>
    <row r="99" spans="1:26" x14ac:dyDescent="0.25">
      <c r="A99" s="988">
        <v>86</v>
      </c>
      <c r="B99" s="989">
        <f t="shared" si="59"/>
        <v>0</v>
      </c>
      <c r="C99" s="785">
        <f>B98*$D$4</f>
        <v>0</v>
      </c>
      <c r="D99" s="990">
        <f t="shared" si="60"/>
        <v>0</v>
      </c>
      <c r="E99" s="785">
        <f t="shared" si="74"/>
        <v>0</v>
      </c>
      <c r="F99" s="990">
        <f t="shared" si="45"/>
        <v>0</v>
      </c>
      <c r="G99" s="785">
        <f t="shared" si="65"/>
        <v>0</v>
      </c>
      <c r="H99" s="988">
        <f t="shared" si="66"/>
        <v>0</v>
      </c>
      <c r="J99" s="988">
        <v>86</v>
      </c>
      <c r="K99" s="989">
        <f t="shared" si="61"/>
        <v>0</v>
      </c>
      <c r="L99" s="785">
        <f>IF(+$M$7=4,0,K98*$M$4)</f>
        <v>0</v>
      </c>
      <c r="M99" s="990">
        <f t="shared" si="62"/>
        <v>0</v>
      </c>
      <c r="N99" s="785">
        <f t="shared" si="55"/>
        <v>0</v>
      </c>
      <c r="O99" s="990">
        <f t="shared" si="47"/>
        <v>0</v>
      </c>
      <c r="P99" s="785">
        <f t="shared" si="67"/>
        <v>0</v>
      </c>
      <c r="Q99" s="988">
        <f t="shared" si="68"/>
        <v>0</v>
      </c>
      <c r="S99" s="988">
        <v>86</v>
      </c>
      <c r="T99" s="989">
        <f t="shared" si="63"/>
        <v>0</v>
      </c>
      <c r="U99" s="785">
        <f>IF(+$V$7=4,0,T98*$V$4)</f>
        <v>0</v>
      </c>
      <c r="V99" s="990">
        <f t="shared" si="64"/>
        <v>0</v>
      </c>
      <c r="W99" s="785">
        <f t="shared" si="56"/>
        <v>0</v>
      </c>
      <c r="X99" s="990">
        <f t="shared" si="49"/>
        <v>0</v>
      </c>
      <c r="Y99" s="785">
        <f t="shared" si="69"/>
        <v>0</v>
      </c>
      <c r="Z99" s="988">
        <f t="shared" si="70"/>
        <v>0</v>
      </c>
    </row>
    <row r="100" spans="1:26" x14ac:dyDescent="0.25">
      <c r="A100" s="988">
        <v>87</v>
      </c>
      <c r="B100" s="989">
        <f t="shared" si="59"/>
        <v>0</v>
      </c>
      <c r="C100" s="785">
        <f t="shared" si="53"/>
        <v>0</v>
      </c>
      <c r="D100" s="990">
        <f t="shared" si="60"/>
        <v>0</v>
      </c>
      <c r="E100" s="785">
        <f t="shared" si="74"/>
        <v>0</v>
      </c>
      <c r="F100" s="990">
        <f t="shared" si="45"/>
        <v>0</v>
      </c>
      <c r="G100" s="785">
        <f t="shared" si="65"/>
        <v>0</v>
      </c>
      <c r="H100" s="988">
        <f t="shared" si="66"/>
        <v>0</v>
      </c>
      <c r="J100" s="988">
        <v>87</v>
      </c>
      <c r="K100" s="989">
        <f t="shared" si="61"/>
        <v>0</v>
      </c>
      <c r="L100" s="785">
        <f>IF(+$M$7=4,0,K99*$M$4)</f>
        <v>0</v>
      </c>
      <c r="M100" s="990">
        <f t="shared" si="62"/>
        <v>0</v>
      </c>
      <c r="N100" s="785">
        <f t="shared" si="55"/>
        <v>0</v>
      </c>
      <c r="O100" s="990">
        <f t="shared" si="47"/>
        <v>0</v>
      </c>
      <c r="P100" s="785">
        <f t="shared" si="67"/>
        <v>0</v>
      </c>
      <c r="Q100" s="988">
        <f t="shared" si="68"/>
        <v>0</v>
      </c>
      <c r="S100" s="988">
        <v>87</v>
      </c>
      <c r="T100" s="989">
        <f t="shared" si="63"/>
        <v>0</v>
      </c>
      <c r="U100" s="785">
        <f>IF(+$V$7=4,0,T99*$V$4)</f>
        <v>0</v>
      </c>
      <c r="V100" s="990">
        <f t="shared" si="64"/>
        <v>0</v>
      </c>
      <c r="W100" s="785">
        <f t="shared" si="56"/>
        <v>0</v>
      </c>
      <c r="X100" s="990">
        <f t="shared" si="49"/>
        <v>0</v>
      </c>
      <c r="Y100" s="785">
        <f t="shared" si="69"/>
        <v>0</v>
      </c>
      <c r="Z100" s="988">
        <f t="shared" si="70"/>
        <v>0</v>
      </c>
    </row>
    <row r="101" spans="1:26" x14ac:dyDescent="0.25">
      <c r="A101" s="988">
        <v>88</v>
      </c>
      <c r="B101" s="989">
        <f t="shared" si="59"/>
        <v>0</v>
      </c>
      <c r="C101" s="785">
        <f t="shared" si="53"/>
        <v>0</v>
      </c>
      <c r="D101" s="990">
        <f t="shared" si="60"/>
        <v>0</v>
      </c>
      <c r="E101" s="785">
        <f t="shared" si="74"/>
        <v>0</v>
      </c>
      <c r="F101" s="990">
        <f t="shared" si="45"/>
        <v>0</v>
      </c>
      <c r="G101" s="785">
        <f t="shared" si="65"/>
        <v>0</v>
      </c>
      <c r="H101" s="988">
        <f t="shared" si="66"/>
        <v>0</v>
      </c>
      <c r="J101" s="988">
        <v>88</v>
      </c>
      <c r="K101" s="989">
        <f t="shared" si="61"/>
        <v>0</v>
      </c>
      <c r="L101" s="785">
        <f>K100*$M$4</f>
        <v>0</v>
      </c>
      <c r="M101" s="990">
        <f t="shared" si="62"/>
        <v>0</v>
      </c>
      <c r="N101" s="785">
        <f t="shared" si="55"/>
        <v>0</v>
      </c>
      <c r="O101" s="990">
        <f t="shared" si="47"/>
        <v>0</v>
      </c>
      <c r="P101" s="785">
        <f t="shared" si="67"/>
        <v>0</v>
      </c>
      <c r="Q101" s="988">
        <f t="shared" si="68"/>
        <v>0</v>
      </c>
      <c r="S101" s="988">
        <v>88</v>
      </c>
      <c r="T101" s="989">
        <f t="shared" si="63"/>
        <v>0</v>
      </c>
      <c r="U101" s="785">
        <f>T100*$V$4</f>
        <v>0</v>
      </c>
      <c r="V101" s="990">
        <f t="shared" si="64"/>
        <v>0</v>
      </c>
      <c r="W101" s="785">
        <f t="shared" si="56"/>
        <v>0</v>
      </c>
      <c r="X101" s="990">
        <f t="shared" si="49"/>
        <v>0</v>
      </c>
      <c r="Y101" s="785">
        <f t="shared" si="69"/>
        <v>0</v>
      </c>
      <c r="Z101" s="988">
        <f t="shared" si="70"/>
        <v>0</v>
      </c>
    </row>
    <row r="102" spans="1:26" x14ac:dyDescent="0.25">
      <c r="A102" s="988">
        <v>89</v>
      </c>
      <c r="B102" s="989">
        <f t="shared" si="59"/>
        <v>0</v>
      </c>
      <c r="C102" s="785">
        <f>B101*$D$4</f>
        <v>0</v>
      </c>
      <c r="D102" s="990">
        <f t="shared" si="60"/>
        <v>0</v>
      </c>
      <c r="E102" s="785">
        <f t="shared" si="74"/>
        <v>0</v>
      </c>
      <c r="F102" s="990">
        <f t="shared" si="45"/>
        <v>0</v>
      </c>
      <c r="G102" s="785">
        <f t="shared" si="65"/>
        <v>0</v>
      </c>
      <c r="H102" s="988">
        <f t="shared" si="66"/>
        <v>0</v>
      </c>
      <c r="J102" s="988">
        <v>89</v>
      </c>
      <c r="K102" s="989">
        <f t="shared" si="61"/>
        <v>0</v>
      </c>
      <c r="L102" s="785">
        <f>IF(+$M$7=4,0,K101*$M$4)</f>
        <v>0</v>
      </c>
      <c r="M102" s="990">
        <f t="shared" si="62"/>
        <v>0</v>
      </c>
      <c r="N102" s="785">
        <f t="shared" si="55"/>
        <v>0</v>
      </c>
      <c r="O102" s="990">
        <f t="shared" si="47"/>
        <v>0</v>
      </c>
      <c r="P102" s="785">
        <f t="shared" si="67"/>
        <v>0</v>
      </c>
      <c r="Q102" s="988">
        <f t="shared" si="68"/>
        <v>0</v>
      </c>
      <c r="S102" s="988">
        <v>89</v>
      </c>
      <c r="T102" s="989">
        <f t="shared" si="63"/>
        <v>0</v>
      </c>
      <c r="U102" s="785">
        <f>IF(+$V$7=4,0,T101*$V$4)</f>
        <v>0</v>
      </c>
      <c r="V102" s="990">
        <f t="shared" si="64"/>
        <v>0</v>
      </c>
      <c r="W102" s="785">
        <f t="shared" si="56"/>
        <v>0</v>
      </c>
      <c r="X102" s="990">
        <f t="shared" si="49"/>
        <v>0</v>
      </c>
      <c r="Y102" s="785">
        <f t="shared" si="69"/>
        <v>0</v>
      </c>
      <c r="Z102" s="988">
        <f t="shared" si="70"/>
        <v>0</v>
      </c>
    </row>
    <row r="103" spans="1:26" x14ac:dyDescent="0.25">
      <c r="A103" s="988">
        <v>90</v>
      </c>
      <c r="B103" s="989">
        <f t="shared" si="59"/>
        <v>0</v>
      </c>
      <c r="C103" s="785">
        <f t="shared" si="53"/>
        <v>0</v>
      </c>
      <c r="D103" s="990">
        <f t="shared" si="60"/>
        <v>0</v>
      </c>
      <c r="E103" s="785">
        <f t="shared" si="74"/>
        <v>0</v>
      </c>
      <c r="F103" s="990">
        <f t="shared" si="45"/>
        <v>0</v>
      </c>
      <c r="G103" s="785">
        <f t="shared" si="65"/>
        <v>0</v>
      </c>
      <c r="H103" s="988">
        <f t="shared" si="66"/>
        <v>0</v>
      </c>
      <c r="J103" s="988">
        <v>90</v>
      </c>
      <c r="K103" s="989">
        <f t="shared" si="61"/>
        <v>0</v>
      </c>
      <c r="L103" s="785">
        <f>IF(+$M$7=4,0,K102*$M$4)</f>
        <v>0</v>
      </c>
      <c r="M103" s="990">
        <f t="shared" si="62"/>
        <v>0</v>
      </c>
      <c r="N103" s="785">
        <f t="shared" si="55"/>
        <v>0</v>
      </c>
      <c r="O103" s="990">
        <f t="shared" si="47"/>
        <v>0</v>
      </c>
      <c r="P103" s="785">
        <f t="shared" si="67"/>
        <v>0</v>
      </c>
      <c r="Q103" s="988">
        <f t="shared" si="68"/>
        <v>0</v>
      </c>
      <c r="S103" s="988">
        <v>90</v>
      </c>
      <c r="T103" s="989">
        <f t="shared" si="63"/>
        <v>0</v>
      </c>
      <c r="U103" s="785">
        <f>IF(+$V$7=4,0,T102*$V$4)</f>
        <v>0</v>
      </c>
      <c r="V103" s="990">
        <f t="shared" si="64"/>
        <v>0</v>
      </c>
      <c r="W103" s="785">
        <f t="shared" si="56"/>
        <v>0</v>
      </c>
      <c r="X103" s="990">
        <f t="shared" si="49"/>
        <v>0</v>
      </c>
      <c r="Y103" s="785">
        <f t="shared" si="69"/>
        <v>0</v>
      </c>
      <c r="Z103" s="988">
        <f t="shared" si="70"/>
        <v>0</v>
      </c>
    </row>
    <row r="104" spans="1:26" x14ac:dyDescent="0.25">
      <c r="A104" s="988">
        <v>91</v>
      </c>
      <c r="B104" s="989">
        <f t="shared" si="59"/>
        <v>0</v>
      </c>
      <c r="C104" s="785">
        <f t="shared" si="53"/>
        <v>0</v>
      </c>
      <c r="D104" s="990">
        <f t="shared" si="60"/>
        <v>0</v>
      </c>
      <c r="E104" s="785">
        <f t="shared" ref="E104:E109" si="75">IF(OR(C$6&gt;7.5,C104&lt;0.01),0,C$8-C104)</f>
        <v>0</v>
      </c>
      <c r="F104" s="990">
        <f t="shared" si="45"/>
        <v>0</v>
      </c>
      <c r="G104" s="785">
        <f t="shared" si="65"/>
        <v>0</v>
      </c>
      <c r="H104" s="988">
        <f t="shared" si="66"/>
        <v>0</v>
      </c>
      <c r="J104" s="988">
        <v>91</v>
      </c>
      <c r="K104" s="989">
        <f t="shared" si="61"/>
        <v>0</v>
      </c>
      <c r="L104" s="785">
        <f>K103*$M$4</f>
        <v>0</v>
      </c>
      <c r="M104" s="990">
        <f t="shared" si="62"/>
        <v>0</v>
      </c>
      <c r="N104" s="785">
        <f t="shared" si="55"/>
        <v>0</v>
      </c>
      <c r="O104" s="990">
        <f t="shared" si="47"/>
        <v>0</v>
      </c>
      <c r="P104" s="785">
        <f t="shared" si="67"/>
        <v>0</v>
      </c>
      <c r="Q104" s="988">
        <f t="shared" si="68"/>
        <v>0</v>
      </c>
      <c r="S104" s="988">
        <v>91</v>
      </c>
      <c r="T104" s="989">
        <f t="shared" si="63"/>
        <v>0</v>
      </c>
      <c r="U104" s="785">
        <f>T103*$V$4</f>
        <v>0</v>
      </c>
      <c r="V104" s="990">
        <f t="shared" si="64"/>
        <v>0</v>
      </c>
      <c r="W104" s="785">
        <f t="shared" si="56"/>
        <v>0</v>
      </c>
      <c r="X104" s="990">
        <f t="shared" si="49"/>
        <v>0</v>
      </c>
      <c r="Y104" s="785">
        <f t="shared" si="69"/>
        <v>0</v>
      </c>
      <c r="Z104" s="988">
        <f t="shared" si="70"/>
        <v>0</v>
      </c>
    </row>
    <row r="105" spans="1:26" x14ac:dyDescent="0.25">
      <c r="A105" s="988">
        <v>92</v>
      </c>
      <c r="B105" s="989">
        <f t="shared" si="59"/>
        <v>0</v>
      </c>
      <c r="C105" s="785">
        <f>B104*$D$4</f>
        <v>0</v>
      </c>
      <c r="D105" s="990">
        <f t="shared" si="60"/>
        <v>0</v>
      </c>
      <c r="E105" s="785">
        <f t="shared" si="75"/>
        <v>0</v>
      </c>
      <c r="F105" s="990">
        <f t="shared" si="45"/>
        <v>0</v>
      </c>
      <c r="G105" s="785">
        <f t="shared" si="65"/>
        <v>0</v>
      </c>
      <c r="H105" s="988">
        <f t="shared" si="66"/>
        <v>0</v>
      </c>
      <c r="J105" s="988">
        <v>92</v>
      </c>
      <c r="K105" s="989">
        <f t="shared" si="61"/>
        <v>0</v>
      </c>
      <c r="L105" s="785">
        <f>IF(+$M$7=4,0,K104*$M$4)</f>
        <v>0</v>
      </c>
      <c r="M105" s="990">
        <f t="shared" si="62"/>
        <v>0</v>
      </c>
      <c r="N105" s="785">
        <f t="shared" si="55"/>
        <v>0</v>
      </c>
      <c r="O105" s="990">
        <f t="shared" si="47"/>
        <v>0</v>
      </c>
      <c r="P105" s="785">
        <f t="shared" si="67"/>
        <v>0</v>
      </c>
      <c r="Q105" s="988">
        <f t="shared" si="68"/>
        <v>0</v>
      </c>
      <c r="S105" s="988">
        <v>92</v>
      </c>
      <c r="T105" s="989">
        <f t="shared" si="63"/>
        <v>0</v>
      </c>
      <c r="U105" s="785">
        <f>IF(+$V$7=4,0,T104*$V$4)</f>
        <v>0</v>
      </c>
      <c r="V105" s="990">
        <f t="shared" si="64"/>
        <v>0</v>
      </c>
      <c r="W105" s="785">
        <f t="shared" si="56"/>
        <v>0</v>
      </c>
      <c r="X105" s="990">
        <f t="shared" si="49"/>
        <v>0</v>
      </c>
      <c r="Y105" s="785">
        <f t="shared" si="69"/>
        <v>0</v>
      </c>
      <c r="Z105" s="988">
        <f t="shared" si="70"/>
        <v>0</v>
      </c>
    </row>
    <row r="106" spans="1:26" x14ac:dyDescent="0.25">
      <c r="A106" s="988">
        <v>93</v>
      </c>
      <c r="B106" s="989">
        <f t="shared" si="59"/>
        <v>0</v>
      </c>
      <c r="C106" s="785">
        <f t="shared" si="53"/>
        <v>0</v>
      </c>
      <c r="D106" s="990">
        <f t="shared" si="60"/>
        <v>0</v>
      </c>
      <c r="E106" s="785">
        <f t="shared" si="75"/>
        <v>0</v>
      </c>
      <c r="F106" s="990">
        <f t="shared" si="45"/>
        <v>0</v>
      </c>
      <c r="G106" s="785">
        <f t="shared" si="65"/>
        <v>0</v>
      </c>
      <c r="H106" s="988">
        <f t="shared" si="66"/>
        <v>0</v>
      </c>
      <c r="J106" s="988">
        <v>93</v>
      </c>
      <c r="K106" s="989">
        <f t="shared" si="61"/>
        <v>0</v>
      </c>
      <c r="L106" s="785">
        <f>IF(+$M$7=4,0,K105*$M$4)</f>
        <v>0</v>
      </c>
      <c r="M106" s="990">
        <f t="shared" si="62"/>
        <v>0</v>
      </c>
      <c r="N106" s="785">
        <f t="shared" si="55"/>
        <v>0</v>
      </c>
      <c r="O106" s="990">
        <f t="shared" si="47"/>
        <v>0</v>
      </c>
      <c r="P106" s="785">
        <f t="shared" si="67"/>
        <v>0</v>
      </c>
      <c r="Q106" s="988">
        <f t="shared" si="68"/>
        <v>0</v>
      </c>
      <c r="S106" s="988">
        <v>93</v>
      </c>
      <c r="T106" s="989">
        <f t="shared" si="63"/>
        <v>0</v>
      </c>
      <c r="U106" s="785">
        <f>IF(+$V$7=4,0,T105*$V$4)</f>
        <v>0</v>
      </c>
      <c r="V106" s="990">
        <f t="shared" si="64"/>
        <v>0</v>
      </c>
      <c r="W106" s="785">
        <f t="shared" si="56"/>
        <v>0</v>
      </c>
      <c r="X106" s="990">
        <f t="shared" si="49"/>
        <v>0</v>
      </c>
      <c r="Y106" s="785">
        <f t="shared" si="69"/>
        <v>0</v>
      </c>
      <c r="Z106" s="988">
        <f t="shared" si="70"/>
        <v>0</v>
      </c>
    </row>
    <row r="107" spans="1:26" x14ac:dyDescent="0.25">
      <c r="A107" s="988">
        <v>94</v>
      </c>
      <c r="B107" s="989">
        <f t="shared" si="59"/>
        <v>0</v>
      </c>
      <c r="C107" s="785">
        <f t="shared" si="53"/>
        <v>0</v>
      </c>
      <c r="D107" s="990">
        <f t="shared" si="60"/>
        <v>0</v>
      </c>
      <c r="E107" s="785">
        <f t="shared" si="75"/>
        <v>0</v>
      </c>
      <c r="F107" s="990">
        <f t="shared" si="45"/>
        <v>0</v>
      </c>
      <c r="G107" s="785">
        <f t="shared" si="65"/>
        <v>0</v>
      </c>
      <c r="H107" s="988">
        <f t="shared" si="66"/>
        <v>0</v>
      </c>
      <c r="J107" s="988">
        <v>94</v>
      </c>
      <c r="K107" s="989">
        <f t="shared" si="61"/>
        <v>0</v>
      </c>
      <c r="L107" s="785">
        <f>K106*$M$4</f>
        <v>0</v>
      </c>
      <c r="M107" s="990">
        <f t="shared" si="62"/>
        <v>0</v>
      </c>
      <c r="N107" s="785">
        <f t="shared" si="55"/>
        <v>0</v>
      </c>
      <c r="O107" s="990">
        <f t="shared" si="47"/>
        <v>0</v>
      </c>
      <c r="P107" s="785">
        <f t="shared" si="67"/>
        <v>0</v>
      </c>
      <c r="Q107" s="988">
        <f t="shared" si="68"/>
        <v>0</v>
      </c>
      <c r="S107" s="988">
        <v>94</v>
      </c>
      <c r="T107" s="989">
        <f t="shared" si="63"/>
        <v>0</v>
      </c>
      <c r="U107" s="785">
        <f>T106*$V$4</f>
        <v>0</v>
      </c>
      <c r="V107" s="990">
        <f t="shared" si="64"/>
        <v>0</v>
      </c>
      <c r="W107" s="785">
        <f t="shared" si="56"/>
        <v>0</v>
      </c>
      <c r="X107" s="990">
        <f t="shared" si="49"/>
        <v>0</v>
      </c>
      <c r="Y107" s="785">
        <f t="shared" si="69"/>
        <v>0</v>
      </c>
      <c r="Z107" s="988">
        <f t="shared" si="70"/>
        <v>0</v>
      </c>
    </row>
    <row r="108" spans="1:26" x14ac:dyDescent="0.25">
      <c r="A108" s="988">
        <v>95</v>
      </c>
      <c r="B108" s="989">
        <f t="shared" si="59"/>
        <v>0</v>
      </c>
      <c r="C108" s="785">
        <f>B107*$D$4</f>
        <v>0</v>
      </c>
      <c r="D108" s="990">
        <f t="shared" si="60"/>
        <v>0</v>
      </c>
      <c r="E108" s="785">
        <f t="shared" si="75"/>
        <v>0</v>
      </c>
      <c r="F108" s="990">
        <f t="shared" si="45"/>
        <v>0</v>
      </c>
      <c r="G108" s="785">
        <f t="shared" si="65"/>
        <v>0</v>
      </c>
      <c r="H108" s="988">
        <f t="shared" si="66"/>
        <v>0</v>
      </c>
      <c r="J108" s="988">
        <v>95</v>
      </c>
      <c r="K108" s="989">
        <f t="shared" si="61"/>
        <v>0</v>
      </c>
      <c r="L108" s="785">
        <f>IF(+$M$7=4,0,K107*$M$4)</f>
        <v>0</v>
      </c>
      <c r="M108" s="990">
        <f t="shared" si="62"/>
        <v>0</v>
      </c>
      <c r="N108" s="785">
        <f t="shared" si="55"/>
        <v>0</v>
      </c>
      <c r="O108" s="990">
        <f t="shared" si="47"/>
        <v>0</v>
      </c>
      <c r="P108" s="785">
        <f t="shared" si="67"/>
        <v>0</v>
      </c>
      <c r="Q108" s="988">
        <f t="shared" si="68"/>
        <v>0</v>
      </c>
      <c r="S108" s="988">
        <v>95</v>
      </c>
      <c r="T108" s="989">
        <f t="shared" si="63"/>
        <v>0</v>
      </c>
      <c r="U108" s="785">
        <f>IF(+$V$7=4,0,T107*$V$4)</f>
        <v>0</v>
      </c>
      <c r="V108" s="990">
        <f t="shared" si="64"/>
        <v>0</v>
      </c>
      <c r="W108" s="785">
        <f t="shared" si="56"/>
        <v>0</v>
      </c>
      <c r="X108" s="990">
        <f t="shared" si="49"/>
        <v>0</v>
      </c>
      <c r="Y108" s="785">
        <f t="shared" si="69"/>
        <v>0</v>
      </c>
      <c r="Z108" s="988">
        <f t="shared" si="70"/>
        <v>0</v>
      </c>
    </row>
    <row r="109" spans="1:26" x14ac:dyDescent="0.25">
      <c r="A109" s="988">
        <v>96</v>
      </c>
      <c r="B109" s="989">
        <f t="shared" si="59"/>
        <v>0</v>
      </c>
      <c r="C109" s="785">
        <f t="shared" si="53"/>
        <v>0</v>
      </c>
      <c r="D109" s="990">
        <f t="shared" si="60"/>
        <v>0</v>
      </c>
      <c r="E109" s="785">
        <f t="shared" si="75"/>
        <v>0</v>
      </c>
      <c r="F109" s="990">
        <f t="shared" si="45"/>
        <v>0</v>
      </c>
      <c r="G109" s="785">
        <f t="shared" si="65"/>
        <v>0</v>
      </c>
      <c r="H109" s="988">
        <f t="shared" si="66"/>
        <v>0</v>
      </c>
      <c r="J109" s="988">
        <v>96</v>
      </c>
      <c r="K109" s="989">
        <f t="shared" si="61"/>
        <v>0</v>
      </c>
      <c r="L109" s="785">
        <f>IF(+$M$7=4,0,K108*$M$4)</f>
        <v>0</v>
      </c>
      <c r="M109" s="990">
        <f t="shared" si="62"/>
        <v>0</v>
      </c>
      <c r="N109" s="785">
        <f t="shared" si="55"/>
        <v>0</v>
      </c>
      <c r="O109" s="990">
        <f t="shared" si="47"/>
        <v>0</v>
      </c>
      <c r="P109" s="785">
        <f t="shared" si="67"/>
        <v>0</v>
      </c>
      <c r="Q109" s="988">
        <f t="shared" si="68"/>
        <v>0</v>
      </c>
      <c r="S109" s="988">
        <v>96</v>
      </c>
      <c r="T109" s="989">
        <f t="shared" si="63"/>
        <v>0</v>
      </c>
      <c r="U109" s="785">
        <f>IF(+$V$7=4,0,T108*$V$4)</f>
        <v>0</v>
      </c>
      <c r="V109" s="990">
        <f t="shared" si="64"/>
        <v>0</v>
      </c>
      <c r="W109" s="785">
        <f t="shared" si="56"/>
        <v>0</v>
      </c>
      <c r="X109" s="990">
        <f t="shared" si="49"/>
        <v>0</v>
      </c>
      <c r="Y109" s="785">
        <f t="shared" si="69"/>
        <v>0</v>
      </c>
      <c r="Z109" s="988">
        <f t="shared" si="70"/>
        <v>0</v>
      </c>
    </row>
    <row r="110" spans="1:26" x14ac:dyDescent="0.25">
      <c r="A110" s="988">
        <v>97</v>
      </c>
      <c r="B110" s="989">
        <f t="shared" si="59"/>
        <v>0</v>
      </c>
      <c r="C110" s="785">
        <f t="shared" si="53"/>
        <v>0</v>
      </c>
      <c r="D110" s="990">
        <f t="shared" si="60"/>
        <v>0</v>
      </c>
      <c r="E110" s="785">
        <f t="shared" ref="E110:E115" si="76">IF(OR(C$6&gt;8,C110&lt;0.01),0,C$8-C110)</f>
        <v>0</v>
      </c>
      <c r="F110" s="990">
        <f t="shared" si="45"/>
        <v>0</v>
      </c>
      <c r="G110" s="785">
        <f t="shared" si="65"/>
        <v>0</v>
      </c>
      <c r="H110" s="988">
        <f t="shared" si="66"/>
        <v>0</v>
      </c>
      <c r="J110" s="988">
        <v>97</v>
      </c>
      <c r="K110" s="989">
        <f t="shared" si="61"/>
        <v>0</v>
      </c>
      <c r="L110" s="785">
        <f>K109*$M$4</f>
        <v>0</v>
      </c>
      <c r="M110" s="990">
        <f t="shared" si="62"/>
        <v>0</v>
      </c>
      <c r="N110" s="785">
        <f t="shared" si="55"/>
        <v>0</v>
      </c>
      <c r="O110" s="990">
        <f t="shared" si="47"/>
        <v>0</v>
      </c>
      <c r="P110" s="785">
        <f t="shared" si="67"/>
        <v>0</v>
      </c>
      <c r="Q110" s="988">
        <f t="shared" si="68"/>
        <v>0</v>
      </c>
      <c r="S110" s="988">
        <v>97</v>
      </c>
      <c r="T110" s="989">
        <f t="shared" si="63"/>
        <v>0</v>
      </c>
      <c r="U110" s="785">
        <f>T109*$V$4</f>
        <v>0</v>
      </c>
      <c r="V110" s="990">
        <f t="shared" si="64"/>
        <v>0</v>
      </c>
      <c r="W110" s="785">
        <f t="shared" si="56"/>
        <v>0</v>
      </c>
      <c r="X110" s="990">
        <f t="shared" si="49"/>
        <v>0</v>
      </c>
      <c r="Y110" s="785">
        <f t="shared" si="69"/>
        <v>0</v>
      </c>
      <c r="Z110" s="988">
        <f t="shared" si="70"/>
        <v>0</v>
      </c>
    </row>
    <row r="111" spans="1:26" x14ac:dyDescent="0.25">
      <c r="A111" s="988">
        <v>98</v>
      </c>
      <c r="B111" s="989">
        <f t="shared" si="59"/>
        <v>0</v>
      </c>
      <c r="C111" s="785">
        <f>B110*$D$4</f>
        <v>0</v>
      </c>
      <c r="D111" s="990">
        <f t="shared" si="60"/>
        <v>0</v>
      </c>
      <c r="E111" s="785">
        <f t="shared" si="76"/>
        <v>0</v>
      </c>
      <c r="F111" s="990">
        <f t="shared" si="45"/>
        <v>0</v>
      </c>
      <c r="G111" s="785">
        <f t="shared" si="65"/>
        <v>0</v>
      </c>
      <c r="H111" s="988">
        <f t="shared" si="66"/>
        <v>0</v>
      </c>
      <c r="J111" s="988">
        <v>98</v>
      </c>
      <c r="K111" s="989">
        <f t="shared" si="61"/>
        <v>0</v>
      </c>
      <c r="L111" s="785">
        <f>IF(+$M$7=4,0,K110*$M$4)</f>
        <v>0</v>
      </c>
      <c r="M111" s="990">
        <f t="shared" si="62"/>
        <v>0</v>
      </c>
      <c r="N111" s="785">
        <f t="shared" si="55"/>
        <v>0</v>
      </c>
      <c r="O111" s="990">
        <f t="shared" si="47"/>
        <v>0</v>
      </c>
      <c r="P111" s="785">
        <f t="shared" si="67"/>
        <v>0</v>
      </c>
      <c r="Q111" s="988">
        <f t="shared" si="68"/>
        <v>0</v>
      </c>
      <c r="S111" s="988">
        <v>98</v>
      </c>
      <c r="T111" s="989">
        <f t="shared" si="63"/>
        <v>0</v>
      </c>
      <c r="U111" s="785">
        <f>IF(+$V$7=4,0,T110*$V$4)</f>
        <v>0</v>
      </c>
      <c r="V111" s="990">
        <f t="shared" si="64"/>
        <v>0</v>
      </c>
      <c r="W111" s="785">
        <f t="shared" si="56"/>
        <v>0</v>
      </c>
      <c r="X111" s="990">
        <f t="shared" si="49"/>
        <v>0</v>
      </c>
      <c r="Y111" s="785">
        <f t="shared" si="69"/>
        <v>0</v>
      </c>
      <c r="Z111" s="988">
        <f t="shared" si="70"/>
        <v>0</v>
      </c>
    </row>
    <row r="112" spans="1:26" x14ac:dyDescent="0.25">
      <c r="A112" s="988">
        <v>99</v>
      </c>
      <c r="B112" s="989">
        <f t="shared" si="59"/>
        <v>0</v>
      </c>
      <c r="C112" s="785">
        <f t="shared" si="53"/>
        <v>0</v>
      </c>
      <c r="D112" s="990">
        <f t="shared" si="60"/>
        <v>0</v>
      </c>
      <c r="E112" s="785">
        <f t="shared" si="76"/>
        <v>0</v>
      </c>
      <c r="F112" s="990">
        <f t="shared" si="45"/>
        <v>0</v>
      </c>
      <c r="G112" s="785">
        <f t="shared" si="65"/>
        <v>0</v>
      </c>
      <c r="H112" s="988">
        <f t="shared" si="66"/>
        <v>0</v>
      </c>
      <c r="J112" s="988">
        <v>99</v>
      </c>
      <c r="K112" s="989">
        <f t="shared" si="61"/>
        <v>0</v>
      </c>
      <c r="L112" s="785">
        <f>IF(+$M$7=4,0,K111*$M$4)</f>
        <v>0</v>
      </c>
      <c r="M112" s="990">
        <f t="shared" si="62"/>
        <v>0</v>
      </c>
      <c r="N112" s="785">
        <f t="shared" si="55"/>
        <v>0</v>
      </c>
      <c r="O112" s="990">
        <f t="shared" si="47"/>
        <v>0</v>
      </c>
      <c r="P112" s="785">
        <f t="shared" si="67"/>
        <v>0</v>
      </c>
      <c r="Q112" s="988">
        <f t="shared" si="68"/>
        <v>0</v>
      </c>
      <c r="S112" s="988">
        <v>99</v>
      </c>
      <c r="T112" s="989">
        <f t="shared" si="63"/>
        <v>0</v>
      </c>
      <c r="U112" s="785">
        <f>IF(+$V$7=4,0,T111*$V$4)</f>
        <v>0</v>
      </c>
      <c r="V112" s="990">
        <f t="shared" si="64"/>
        <v>0</v>
      </c>
      <c r="W112" s="785">
        <f t="shared" si="56"/>
        <v>0</v>
      </c>
      <c r="X112" s="990">
        <f t="shared" si="49"/>
        <v>0</v>
      </c>
      <c r="Y112" s="785">
        <f t="shared" si="69"/>
        <v>0</v>
      </c>
      <c r="Z112" s="988">
        <f t="shared" si="70"/>
        <v>0</v>
      </c>
    </row>
    <row r="113" spans="1:26" x14ac:dyDescent="0.25">
      <c r="A113" s="988">
        <v>100</v>
      </c>
      <c r="B113" s="989">
        <f t="shared" si="59"/>
        <v>0</v>
      </c>
      <c r="C113" s="785">
        <f t="shared" si="53"/>
        <v>0</v>
      </c>
      <c r="D113" s="990">
        <f t="shared" si="60"/>
        <v>0</v>
      </c>
      <c r="E113" s="785">
        <f t="shared" si="76"/>
        <v>0</v>
      </c>
      <c r="F113" s="990">
        <f t="shared" si="45"/>
        <v>0</v>
      </c>
      <c r="G113" s="785">
        <f t="shared" si="65"/>
        <v>0</v>
      </c>
      <c r="H113" s="988">
        <f t="shared" si="66"/>
        <v>0</v>
      </c>
      <c r="J113" s="988">
        <v>100</v>
      </c>
      <c r="K113" s="989">
        <f t="shared" si="61"/>
        <v>0</v>
      </c>
      <c r="L113" s="785">
        <f>K112*$M$4</f>
        <v>0</v>
      </c>
      <c r="M113" s="990">
        <f t="shared" si="62"/>
        <v>0</v>
      </c>
      <c r="N113" s="785">
        <f t="shared" si="55"/>
        <v>0</v>
      </c>
      <c r="O113" s="990">
        <f t="shared" si="47"/>
        <v>0</v>
      </c>
      <c r="P113" s="785">
        <f t="shared" si="67"/>
        <v>0</v>
      </c>
      <c r="Q113" s="988">
        <f t="shared" si="68"/>
        <v>0</v>
      </c>
      <c r="S113" s="988">
        <v>100</v>
      </c>
      <c r="T113" s="989">
        <f t="shared" si="63"/>
        <v>0</v>
      </c>
      <c r="U113" s="785">
        <f>T112*$V$4</f>
        <v>0</v>
      </c>
      <c r="V113" s="990">
        <f t="shared" si="64"/>
        <v>0</v>
      </c>
      <c r="W113" s="785">
        <f t="shared" si="56"/>
        <v>0</v>
      </c>
      <c r="X113" s="990">
        <f t="shared" si="49"/>
        <v>0</v>
      </c>
      <c r="Y113" s="785">
        <f t="shared" si="69"/>
        <v>0</v>
      </c>
      <c r="Z113" s="988">
        <f t="shared" si="70"/>
        <v>0</v>
      </c>
    </row>
    <row r="114" spans="1:26" x14ac:dyDescent="0.25">
      <c r="A114" s="988">
        <v>101</v>
      </c>
      <c r="B114" s="989">
        <f t="shared" si="59"/>
        <v>0</v>
      </c>
      <c r="C114" s="785">
        <f>B113*$D$4</f>
        <v>0</v>
      </c>
      <c r="D114" s="990">
        <f t="shared" si="60"/>
        <v>0</v>
      </c>
      <c r="E114" s="785">
        <f t="shared" si="76"/>
        <v>0</v>
      </c>
      <c r="F114" s="990">
        <f t="shared" ref="F114:F177" si="77">IF(D114=0,0,F113+E114)</f>
        <v>0</v>
      </c>
      <c r="G114" s="785">
        <f t="shared" si="65"/>
        <v>0</v>
      </c>
      <c r="H114" s="988">
        <f t="shared" si="66"/>
        <v>0</v>
      </c>
      <c r="J114" s="988">
        <v>101</v>
      </c>
      <c r="K114" s="989">
        <f t="shared" si="61"/>
        <v>0</v>
      </c>
      <c r="L114" s="785">
        <f>IF(+$M$7=4,0,K113*$M$4)</f>
        <v>0</v>
      </c>
      <c r="M114" s="990">
        <f t="shared" si="62"/>
        <v>0</v>
      </c>
      <c r="N114" s="785">
        <f t="shared" si="55"/>
        <v>0</v>
      </c>
      <c r="O114" s="990">
        <f t="shared" ref="O114:O177" si="78">IF(M114=0,0,O113+N114)</f>
        <v>0</v>
      </c>
      <c r="P114" s="785">
        <f t="shared" si="67"/>
        <v>0</v>
      </c>
      <c r="Q114" s="988">
        <f t="shared" si="68"/>
        <v>0</v>
      </c>
      <c r="S114" s="988">
        <v>101</v>
      </c>
      <c r="T114" s="989">
        <f t="shared" si="63"/>
        <v>0</v>
      </c>
      <c r="U114" s="785">
        <f>IF(+$V$7=4,0,T113*$V$4)</f>
        <v>0</v>
      </c>
      <c r="V114" s="990">
        <f t="shared" si="64"/>
        <v>0</v>
      </c>
      <c r="W114" s="785">
        <f t="shared" si="56"/>
        <v>0</v>
      </c>
      <c r="X114" s="990">
        <f t="shared" ref="X114:X177" si="79">IF(V114=0,0,X113+W114)</f>
        <v>0</v>
      </c>
      <c r="Y114" s="785">
        <f t="shared" si="69"/>
        <v>0</v>
      </c>
      <c r="Z114" s="988">
        <f t="shared" si="70"/>
        <v>0</v>
      </c>
    </row>
    <row r="115" spans="1:26" x14ac:dyDescent="0.25">
      <c r="A115" s="988">
        <v>102</v>
      </c>
      <c r="B115" s="989">
        <f t="shared" si="59"/>
        <v>0</v>
      </c>
      <c r="C115" s="785">
        <f t="shared" si="53"/>
        <v>0</v>
      </c>
      <c r="D115" s="990">
        <f t="shared" si="60"/>
        <v>0</v>
      </c>
      <c r="E115" s="785">
        <f t="shared" si="76"/>
        <v>0</v>
      </c>
      <c r="F115" s="990">
        <f t="shared" si="77"/>
        <v>0</v>
      </c>
      <c r="G115" s="785">
        <f t="shared" si="65"/>
        <v>0</v>
      </c>
      <c r="H115" s="988">
        <f t="shared" si="66"/>
        <v>0</v>
      </c>
      <c r="J115" s="988">
        <v>102</v>
      </c>
      <c r="K115" s="989">
        <f t="shared" si="61"/>
        <v>0</v>
      </c>
      <c r="L115" s="785">
        <f>IF(+$M$7=4,0,K114*$M$4)</f>
        <v>0</v>
      </c>
      <c r="M115" s="990">
        <f t="shared" si="62"/>
        <v>0</v>
      </c>
      <c r="N115" s="785">
        <f t="shared" si="55"/>
        <v>0</v>
      </c>
      <c r="O115" s="990">
        <f t="shared" si="78"/>
        <v>0</v>
      </c>
      <c r="P115" s="785">
        <f t="shared" si="67"/>
        <v>0</v>
      </c>
      <c r="Q115" s="988">
        <f t="shared" si="68"/>
        <v>0</v>
      </c>
      <c r="S115" s="988">
        <v>102</v>
      </c>
      <c r="T115" s="989">
        <f t="shared" si="63"/>
        <v>0</v>
      </c>
      <c r="U115" s="785">
        <f>IF(+$V$7=4,0,T114*$V$4)</f>
        <v>0</v>
      </c>
      <c r="V115" s="990">
        <f t="shared" si="64"/>
        <v>0</v>
      </c>
      <c r="W115" s="785">
        <f t="shared" si="56"/>
        <v>0</v>
      </c>
      <c r="X115" s="990">
        <f t="shared" si="79"/>
        <v>0</v>
      </c>
      <c r="Y115" s="785">
        <f t="shared" si="69"/>
        <v>0</v>
      </c>
      <c r="Z115" s="988">
        <f t="shared" si="70"/>
        <v>0</v>
      </c>
    </row>
    <row r="116" spans="1:26" x14ac:dyDescent="0.25">
      <c r="A116" s="988">
        <v>103</v>
      </c>
      <c r="B116" s="989">
        <f t="shared" si="59"/>
        <v>0</v>
      </c>
      <c r="C116" s="785">
        <f t="shared" si="53"/>
        <v>0</v>
      </c>
      <c r="D116" s="990">
        <f t="shared" si="60"/>
        <v>0</v>
      </c>
      <c r="E116" s="785">
        <f t="shared" ref="E116:E121" si="80">IF(OR(C$6&gt;8.5,C116&lt;0.01),0,C$8-C116)</f>
        <v>0</v>
      </c>
      <c r="F116" s="990">
        <f t="shared" si="77"/>
        <v>0</v>
      </c>
      <c r="G116" s="785">
        <f t="shared" si="65"/>
        <v>0</v>
      </c>
      <c r="H116" s="988">
        <f t="shared" si="66"/>
        <v>0</v>
      </c>
      <c r="J116" s="988">
        <v>103</v>
      </c>
      <c r="K116" s="989">
        <f t="shared" si="61"/>
        <v>0</v>
      </c>
      <c r="L116" s="785">
        <f>K115*$M$4</f>
        <v>0</v>
      </c>
      <c r="M116" s="990">
        <f t="shared" si="62"/>
        <v>0</v>
      </c>
      <c r="N116" s="785">
        <f t="shared" si="55"/>
        <v>0</v>
      </c>
      <c r="O116" s="990">
        <f t="shared" si="78"/>
        <v>0</v>
      </c>
      <c r="P116" s="785">
        <f t="shared" si="67"/>
        <v>0</v>
      </c>
      <c r="Q116" s="988">
        <f t="shared" si="68"/>
        <v>0</v>
      </c>
      <c r="S116" s="988">
        <v>103</v>
      </c>
      <c r="T116" s="989">
        <f t="shared" si="63"/>
        <v>0</v>
      </c>
      <c r="U116" s="785">
        <f>T115*$V$4</f>
        <v>0</v>
      </c>
      <c r="V116" s="990">
        <f t="shared" si="64"/>
        <v>0</v>
      </c>
      <c r="W116" s="785">
        <f t="shared" si="56"/>
        <v>0</v>
      </c>
      <c r="X116" s="990">
        <f t="shared" si="79"/>
        <v>0</v>
      </c>
      <c r="Y116" s="785">
        <f t="shared" si="69"/>
        <v>0</v>
      </c>
      <c r="Z116" s="988">
        <f t="shared" si="70"/>
        <v>0</v>
      </c>
    </row>
    <row r="117" spans="1:26" x14ac:dyDescent="0.25">
      <c r="A117" s="988">
        <v>104</v>
      </c>
      <c r="B117" s="989">
        <f t="shared" si="59"/>
        <v>0</v>
      </c>
      <c r="C117" s="785">
        <f>B116*$D$4</f>
        <v>0</v>
      </c>
      <c r="D117" s="990">
        <f t="shared" si="60"/>
        <v>0</v>
      </c>
      <c r="E117" s="785">
        <f t="shared" si="80"/>
        <v>0</v>
      </c>
      <c r="F117" s="990">
        <f t="shared" si="77"/>
        <v>0</v>
      </c>
      <c r="G117" s="785">
        <f t="shared" si="65"/>
        <v>0</v>
      </c>
      <c r="H117" s="988">
        <f t="shared" si="66"/>
        <v>0</v>
      </c>
      <c r="J117" s="988">
        <v>104</v>
      </c>
      <c r="K117" s="989">
        <f t="shared" si="61"/>
        <v>0</v>
      </c>
      <c r="L117" s="785">
        <f>IF(+$M$7=4,0,K116*$M$4)</f>
        <v>0</v>
      </c>
      <c r="M117" s="990">
        <f t="shared" si="62"/>
        <v>0</v>
      </c>
      <c r="N117" s="785">
        <f t="shared" si="55"/>
        <v>0</v>
      </c>
      <c r="O117" s="990">
        <f t="shared" si="78"/>
        <v>0</v>
      </c>
      <c r="P117" s="785">
        <f t="shared" si="67"/>
        <v>0</v>
      </c>
      <c r="Q117" s="988">
        <f t="shared" si="68"/>
        <v>0</v>
      </c>
      <c r="S117" s="988">
        <v>104</v>
      </c>
      <c r="T117" s="989">
        <f t="shared" si="63"/>
        <v>0</v>
      </c>
      <c r="U117" s="785">
        <f>IF(+$V$7=4,0,T116*$V$4)</f>
        <v>0</v>
      </c>
      <c r="V117" s="990">
        <f t="shared" si="64"/>
        <v>0</v>
      </c>
      <c r="W117" s="785">
        <f t="shared" si="56"/>
        <v>0</v>
      </c>
      <c r="X117" s="990">
        <f t="shared" si="79"/>
        <v>0</v>
      </c>
      <c r="Y117" s="785">
        <f t="shared" si="69"/>
        <v>0</v>
      </c>
      <c r="Z117" s="988">
        <f t="shared" si="70"/>
        <v>0</v>
      </c>
    </row>
    <row r="118" spans="1:26" x14ac:dyDescent="0.25">
      <c r="A118" s="988">
        <v>105</v>
      </c>
      <c r="B118" s="989">
        <f t="shared" si="59"/>
        <v>0</v>
      </c>
      <c r="C118" s="785">
        <f t="shared" si="53"/>
        <v>0</v>
      </c>
      <c r="D118" s="990">
        <f t="shared" si="60"/>
        <v>0</v>
      </c>
      <c r="E118" s="785">
        <f t="shared" si="80"/>
        <v>0</v>
      </c>
      <c r="F118" s="990">
        <f t="shared" si="77"/>
        <v>0</v>
      </c>
      <c r="G118" s="785">
        <f t="shared" si="65"/>
        <v>0</v>
      </c>
      <c r="H118" s="988">
        <f t="shared" si="66"/>
        <v>0</v>
      </c>
      <c r="J118" s="988">
        <v>105</v>
      </c>
      <c r="K118" s="989">
        <f t="shared" si="61"/>
        <v>0</v>
      </c>
      <c r="L118" s="785">
        <f>IF(+$M$7=4,0,K117*$M$4)</f>
        <v>0</v>
      </c>
      <c r="M118" s="990">
        <f t="shared" si="62"/>
        <v>0</v>
      </c>
      <c r="N118" s="785">
        <f t="shared" si="55"/>
        <v>0</v>
      </c>
      <c r="O118" s="990">
        <f t="shared" si="78"/>
        <v>0</v>
      </c>
      <c r="P118" s="785">
        <f t="shared" si="67"/>
        <v>0</v>
      </c>
      <c r="Q118" s="988">
        <f t="shared" si="68"/>
        <v>0</v>
      </c>
      <c r="S118" s="988">
        <v>105</v>
      </c>
      <c r="T118" s="989">
        <f t="shared" si="63"/>
        <v>0</v>
      </c>
      <c r="U118" s="785">
        <f>IF(+$V$7=4,0,T117*$V$4)</f>
        <v>0</v>
      </c>
      <c r="V118" s="990">
        <f t="shared" si="64"/>
        <v>0</v>
      </c>
      <c r="W118" s="785">
        <f t="shared" si="56"/>
        <v>0</v>
      </c>
      <c r="X118" s="990">
        <f t="shared" si="79"/>
        <v>0</v>
      </c>
      <c r="Y118" s="785">
        <f t="shared" si="69"/>
        <v>0</v>
      </c>
      <c r="Z118" s="988">
        <f t="shared" si="70"/>
        <v>0</v>
      </c>
    </row>
    <row r="119" spans="1:26" x14ac:dyDescent="0.25">
      <c r="A119" s="988">
        <v>106</v>
      </c>
      <c r="B119" s="989">
        <f t="shared" si="59"/>
        <v>0</v>
      </c>
      <c r="C119" s="785">
        <f t="shared" si="53"/>
        <v>0</v>
      </c>
      <c r="D119" s="990">
        <f t="shared" si="60"/>
        <v>0</v>
      </c>
      <c r="E119" s="785">
        <f t="shared" si="80"/>
        <v>0</v>
      </c>
      <c r="F119" s="990">
        <f t="shared" si="77"/>
        <v>0</v>
      </c>
      <c r="G119" s="785">
        <f t="shared" si="65"/>
        <v>0</v>
      </c>
      <c r="H119" s="988">
        <f t="shared" si="66"/>
        <v>0</v>
      </c>
      <c r="J119" s="988">
        <v>106</v>
      </c>
      <c r="K119" s="989">
        <f t="shared" si="61"/>
        <v>0</v>
      </c>
      <c r="L119" s="785">
        <f>K118*$M$4</f>
        <v>0</v>
      </c>
      <c r="M119" s="990">
        <f t="shared" si="62"/>
        <v>0</v>
      </c>
      <c r="N119" s="785">
        <f t="shared" si="55"/>
        <v>0</v>
      </c>
      <c r="O119" s="990">
        <f t="shared" si="78"/>
        <v>0</v>
      </c>
      <c r="P119" s="785">
        <f t="shared" si="67"/>
        <v>0</v>
      </c>
      <c r="Q119" s="988">
        <f t="shared" si="68"/>
        <v>0</v>
      </c>
      <c r="S119" s="988">
        <v>106</v>
      </c>
      <c r="T119" s="989">
        <f t="shared" si="63"/>
        <v>0</v>
      </c>
      <c r="U119" s="785">
        <f>T118*$V$4</f>
        <v>0</v>
      </c>
      <c r="V119" s="990">
        <f t="shared" si="64"/>
        <v>0</v>
      </c>
      <c r="W119" s="785">
        <f t="shared" si="56"/>
        <v>0</v>
      </c>
      <c r="X119" s="990">
        <f t="shared" si="79"/>
        <v>0</v>
      </c>
      <c r="Y119" s="785">
        <f t="shared" si="69"/>
        <v>0</v>
      </c>
      <c r="Z119" s="988">
        <f t="shared" si="70"/>
        <v>0</v>
      </c>
    </row>
    <row r="120" spans="1:26" x14ac:dyDescent="0.25">
      <c r="A120" s="988">
        <v>107</v>
      </c>
      <c r="B120" s="989">
        <f t="shared" si="59"/>
        <v>0</v>
      </c>
      <c r="C120" s="785">
        <f>B119*$D$4</f>
        <v>0</v>
      </c>
      <c r="D120" s="990">
        <f t="shared" si="60"/>
        <v>0</v>
      </c>
      <c r="E120" s="785">
        <f t="shared" si="80"/>
        <v>0</v>
      </c>
      <c r="F120" s="990">
        <f t="shared" si="77"/>
        <v>0</v>
      </c>
      <c r="G120" s="785">
        <f t="shared" si="65"/>
        <v>0</v>
      </c>
      <c r="H120" s="988">
        <f t="shared" si="66"/>
        <v>0</v>
      </c>
      <c r="J120" s="988">
        <v>107</v>
      </c>
      <c r="K120" s="989">
        <f t="shared" si="61"/>
        <v>0</v>
      </c>
      <c r="L120" s="785">
        <f>IF(+$M$7=4,0,K119*$M$4)</f>
        <v>0</v>
      </c>
      <c r="M120" s="990">
        <f t="shared" si="62"/>
        <v>0</v>
      </c>
      <c r="N120" s="785">
        <f t="shared" si="55"/>
        <v>0</v>
      </c>
      <c r="O120" s="990">
        <f t="shared" si="78"/>
        <v>0</v>
      </c>
      <c r="P120" s="785">
        <f t="shared" si="67"/>
        <v>0</v>
      </c>
      <c r="Q120" s="988">
        <f t="shared" si="68"/>
        <v>0</v>
      </c>
      <c r="S120" s="988">
        <v>107</v>
      </c>
      <c r="T120" s="989">
        <f t="shared" si="63"/>
        <v>0</v>
      </c>
      <c r="U120" s="785">
        <f>IF(+$V$7=4,0,T119*$V$4)</f>
        <v>0</v>
      </c>
      <c r="V120" s="990">
        <f t="shared" si="64"/>
        <v>0</v>
      </c>
      <c r="W120" s="785">
        <f t="shared" si="56"/>
        <v>0</v>
      </c>
      <c r="X120" s="990">
        <f t="shared" si="79"/>
        <v>0</v>
      </c>
      <c r="Y120" s="785">
        <f t="shared" si="69"/>
        <v>0</v>
      </c>
      <c r="Z120" s="988">
        <f t="shared" si="70"/>
        <v>0</v>
      </c>
    </row>
    <row r="121" spans="1:26" x14ac:dyDescent="0.25">
      <c r="A121" s="988">
        <v>108</v>
      </c>
      <c r="B121" s="989">
        <f t="shared" si="59"/>
        <v>0</v>
      </c>
      <c r="C121" s="785">
        <f t="shared" si="53"/>
        <v>0</v>
      </c>
      <c r="D121" s="990">
        <f t="shared" si="60"/>
        <v>0</v>
      </c>
      <c r="E121" s="785">
        <f t="shared" si="80"/>
        <v>0</v>
      </c>
      <c r="F121" s="990">
        <f t="shared" si="77"/>
        <v>0</v>
      </c>
      <c r="G121" s="785">
        <f t="shared" si="65"/>
        <v>0</v>
      </c>
      <c r="H121" s="988">
        <f t="shared" si="66"/>
        <v>0</v>
      </c>
      <c r="J121" s="988">
        <v>108</v>
      </c>
      <c r="K121" s="989">
        <f t="shared" si="61"/>
        <v>0</v>
      </c>
      <c r="L121" s="785">
        <f>IF(+$M$7=4,0,K120*$M$4)</f>
        <v>0</v>
      </c>
      <c r="M121" s="990">
        <f t="shared" si="62"/>
        <v>0</v>
      </c>
      <c r="N121" s="785">
        <f t="shared" si="55"/>
        <v>0</v>
      </c>
      <c r="O121" s="990">
        <f t="shared" si="78"/>
        <v>0</v>
      </c>
      <c r="P121" s="785">
        <f t="shared" si="67"/>
        <v>0</v>
      </c>
      <c r="Q121" s="988">
        <f t="shared" si="68"/>
        <v>0</v>
      </c>
      <c r="S121" s="988">
        <v>108</v>
      </c>
      <c r="T121" s="989">
        <f t="shared" si="63"/>
        <v>0</v>
      </c>
      <c r="U121" s="785">
        <f>IF(+$V$7=4,0,T120*$V$4)</f>
        <v>0</v>
      </c>
      <c r="V121" s="990">
        <f t="shared" si="64"/>
        <v>0</v>
      </c>
      <c r="W121" s="785">
        <f t="shared" si="56"/>
        <v>0</v>
      </c>
      <c r="X121" s="990">
        <f t="shared" si="79"/>
        <v>0</v>
      </c>
      <c r="Y121" s="785">
        <f t="shared" si="69"/>
        <v>0</v>
      </c>
      <c r="Z121" s="988">
        <f t="shared" si="70"/>
        <v>0</v>
      </c>
    </row>
    <row r="122" spans="1:26" x14ac:dyDescent="0.25">
      <c r="A122" s="988">
        <v>109</v>
      </c>
      <c r="B122" s="989">
        <f t="shared" si="59"/>
        <v>0</v>
      </c>
      <c r="C122" s="785">
        <f t="shared" si="53"/>
        <v>0</v>
      </c>
      <c r="D122" s="990">
        <f t="shared" si="60"/>
        <v>0</v>
      </c>
      <c r="E122" s="785">
        <f t="shared" ref="E122:E127" si="81">IF(OR(C$6&gt;9,C122&lt;0.01),0,C$8-C122)</f>
        <v>0</v>
      </c>
      <c r="F122" s="990">
        <f t="shared" si="77"/>
        <v>0</v>
      </c>
      <c r="G122" s="785">
        <f t="shared" si="65"/>
        <v>0</v>
      </c>
      <c r="H122" s="988">
        <f t="shared" si="66"/>
        <v>0</v>
      </c>
      <c r="J122" s="988">
        <v>109</v>
      </c>
      <c r="K122" s="989">
        <f t="shared" si="61"/>
        <v>0</v>
      </c>
      <c r="L122" s="785">
        <f>K121*$M$4</f>
        <v>0</v>
      </c>
      <c r="M122" s="990">
        <f t="shared" si="62"/>
        <v>0</v>
      </c>
      <c r="N122" s="785">
        <f t="shared" si="55"/>
        <v>0</v>
      </c>
      <c r="O122" s="990">
        <f t="shared" si="78"/>
        <v>0</v>
      </c>
      <c r="P122" s="785">
        <f t="shared" si="67"/>
        <v>0</v>
      </c>
      <c r="Q122" s="988">
        <f t="shared" si="68"/>
        <v>0</v>
      </c>
      <c r="S122" s="988">
        <v>109</v>
      </c>
      <c r="T122" s="989">
        <f t="shared" si="63"/>
        <v>0</v>
      </c>
      <c r="U122" s="785">
        <f>T121*$V$4</f>
        <v>0</v>
      </c>
      <c r="V122" s="990">
        <f t="shared" si="64"/>
        <v>0</v>
      </c>
      <c r="W122" s="785">
        <f t="shared" si="56"/>
        <v>0</v>
      </c>
      <c r="X122" s="990">
        <f t="shared" si="79"/>
        <v>0</v>
      </c>
      <c r="Y122" s="785">
        <f t="shared" si="69"/>
        <v>0</v>
      </c>
      <c r="Z122" s="988">
        <f t="shared" si="70"/>
        <v>0</v>
      </c>
    </row>
    <row r="123" spans="1:26" x14ac:dyDescent="0.25">
      <c r="A123" s="988">
        <v>110</v>
      </c>
      <c r="B123" s="989">
        <f t="shared" si="59"/>
        <v>0</v>
      </c>
      <c r="C123" s="785">
        <f>B122*$D$4</f>
        <v>0</v>
      </c>
      <c r="D123" s="990">
        <f t="shared" si="60"/>
        <v>0</v>
      </c>
      <c r="E123" s="785">
        <f t="shared" si="81"/>
        <v>0</v>
      </c>
      <c r="F123" s="990">
        <f t="shared" si="77"/>
        <v>0</v>
      </c>
      <c r="G123" s="785">
        <f t="shared" si="65"/>
        <v>0</v>
      </c>
      <c r="H123" s="988">
        <f t="shared" si="66"/>
        <v>0</v>
      </c>
      <c r="J123" s="988">
        <v>110</v>
      </c>
      <c r="K123" s="989">
        <f t="shared" si="61"/>
        <v>0</v>
      </c>
      <c r="L123" s="785">
        <f>IF(+$M$7=4,0,K122*$M$4)</f>
        <v>0</v>
      </c>
      <c r="M123" s="990">
        <f t="shared" si="62"/>
        <v>0</v>
      </c>
      <c r="N123" s="785">
        <f t="shared" si="55"/>
        <v>0</v>
      </c>
      <c r="O123" s="990">
        <f t="shared" si="78"/>
        <v>0</v>
      </c>
      <c r="P123" s="785">
        <f t="shared" si="67"/>
        <v>0</v>
      </c>
      <c r="Q123" s="988">
        <f t="shared" si="68"/>
        <v>0</v>
      </c>
      <c r="S123" s="988">
        <v>110</v>
      </c>
      <c r="T123" s="989">
        <f t="shared" si="63"/>
        <v>0</v>
      </c>
      <c r="U123" s="785">
        <f>IF(+$V$7=4,0,T122*$V$4)</f>
        <v>0</v>
      </c>
      <c r="V123" s="990">
        <f t="shared" si="64"/>
        <v>0</v>
      </c>
      <c r="W123" s="785">
        <f t="shared" si="56"/>
        <v>0</v>
      </c>
      <c r="X123" s="990">
        <f t="shared" si="79"/>
        <v>0</v>
      </c>
      <c r="Y123" s="785">
        <f t="shared" si="69"/>
        <v>0</v>
      </c>
      <c r="Z123" s="988">
        <f t="shared" si="70"/>
        <v>0</v>
      </c>
    </row>
    <row r="124" spans="1:26" x14ac:dyDescent="0.25">
      <c r="A124" s="988">
        <v>111</v>
      </c>
      <c r="B124" s="989">
        <f t="shared" si="59"/>
        <v>0</v>
      </c>
      <c r="C124" s="785">
        <f t="shared" si="53"/>
        <v>0</v>
      </c>
      <c r="D124" s="990">
        <f t="shared" si="60"/>
        <v>0</v>
      </c>
      <c r="E124" s="785">
        <f t="shared" si="81"/>
        <v>0</v>
      </c>
      <c r="F124" s="990">
        <f t="shared" si="77"/>
        <v>0</v>
      </c>
      <c r="G124" s="785">
        <f t="shared" si="65"/>
        <v>0</v>
      </c>
      <c r="H124" s="988">
        <f t="shared" si="66"/>
        <v>0</v>
      </c>
      <c r="J124" s="988">
        <v>111</v>
      </c>
      <c r="K124" s="989">
        <f t="shared" si="61"/>
        <v>0</v>
      </c>
      <c r="L124" s="785">
        <f>IF(+$M$7=4,0,K123*$M$4)</f>
        <v>0</v>
      </c>
      <c r="M124" s="990">
        <f t="shared" si="62"/>
        <v>0</v>
      </c>
      <c r="N124" s="785">
        <f t="shared" si="55"/>
        <v>0</v>
      </c>
      <c r="O124" s="990">
        <f t="shared" si="78"/>
        <v>0</v>
      </c>
      <c r="P124" s="785">
        <f t="shared" si="67"/>
        <v>0</v>
      </c>
      <c r="Q124" s="988">
        <f t="shared" si="68"/>
        <v>0</v>
      </c>
      <c r="S124" s="988">
        <v>111</v>
      </c>
      <c r="T124" s="989">
        <f t="shared" si="63"/>
        <v>0</v>
      </c>
      <c r="U124" s="785">
        <f>IF(+$V$7=4,0,T123*$V$4)</f>
        <v>0</v>
      </c>
      <c r="V124" s="990">
        <f t="shared" si="64"/>
        <v>0</v>
      </c>
      <c r="W124" s="785">
        <f t="shared" si="56"/>
        <v>0</v>
      </c>
      <c r="X124" s="990">
        <f t="shared" si="79"/>
        <v>0</v>
      </c>
      <c r="Y124" s="785">
        <f t="shared" si="69"/>
        <v>0</v>
      </c>
      <c r="Z124" s="988">
        <f t="shared" si="70"/>
        <v>0</v>
      </c>
    </row>
    <row r="125" spans="1:26" x14ac:dyDescent="0.25">
      <c r="A125" s="988">
        <v>112</v>
      </c>
      <c r="B125" s="989">
        <f t="shared" si="59"/>
        <v>0</v>
      </c>
      <c r="C125" s="785">
        <f>IF(+$D$7=4,0,B124*$D$4)</f>
        <v>0</v>
      </c>
      <c r="D125" s="990">
        <f t="shared" si="60"/>
        <v>0</v>
      </c>
      <c r="E125" s="785">
        <f t="shared" si="81"/>
        <v>0</v>
      </c>
      <c r="F125" s="990">
        <f t="shared" si="77"/>
        <v>0</v>
      </c>
      <c r="G125" s="785">
        <f t="shared" si="65"/>
        <v>0</v>
      </c>
      <c r="H125" s="988">
        <f t="shared" si="66"/>
        <v>0</v>
      </c>
      <c r="J125" s="988">
        <v>112</v>
      </c>
      <c r="K125" s="989">
        <f t="shared" si="61"/>
        <v>0</v>
      </c>
      <c r="L125" s="785">
        <f>K124*$M$4</f>
        <v>0</v>
      </c>
      <c r="M125" s="990">
        <f t="shared" si="62"/>
        <v>0</v>
      </c>
      <c r="N125" s="785">
        <f t="shared" si="55"/>
        <v>0</v>
      </c>
      <c r="O125" s="990">
        <f t="shared" si="78"/>
        <v>0</v>
      </c>
      <c r="P125" s="785">
        <f t="shared" si="67"/>
        <v>0</v>
      </c>
      <c r="Q125" s="988">
        <f t="shared" si="68"/>
        <v>0</v>
      </c>
      <c r="S125" s="988">
        <v>112</v>
      </c>
      <c r="T125" s="989">
        <f t="shared" si="63"/>
        <v>0</v>
      </c>
      <c r="U125" s="785">
        <f>T124*$V$4</f>
        <v>0</v>
      </c>
      <c r="V125" s="990">
        <f t="shared" si="64"/>
        <v>0</v>
      </c>
      <c r="W125" s="785">
        <f t="shared" si="56"/>
        <v>0</v>
      </c>
      <c r="X125" s="990">
        <f t="shared" si="79"/>
        <v>0</v>
      </c>
      <c r="Y125" s="785">
        <f t="shared" si="69"/>
        <v>0</v>
      </c>
      <c r="Z125" s="988">
        <f t="shared" si="70"/>
        <v>0</v>
      </c>
    </row>
    <row r="126" spans="1:26" x14ac:dyDescent="0.25">
      <c r="A126" s="988">
        <v>113</v>
      </c>
      <c r="B126" s="989">
        <f t="shared" si="59"/>
        <v>0</v>
      </c>
      <c r="C126" s="785">
        <f>B125*$D$4</f>
        <v>0</v>
      </c>
      <c r="D126" s="990">
        <f t="shared" si="60"/>
        <v>0</v>
      </c>
      <c r="E126" s="785">
        <f t="shared" si="81"/>
        <v>0</v>
      </c>
      <c r="F126" s="990">
        <f t="shared" si="77"/>
        <v>0</v>
      </c>
      <c r="G126" s="785">
        <f t="shared" si="65"/>
        <v>0</v>
      </c>
      <c r="H126" s="988">
        <f t="shared" si="66"/>
        <v>0</v>
      </c>
      <c r="J126" s="988">
        <v>113</v>
      </c>
      <c r="K126" s="989">
        <f t="shared" si="61"/>
        <v>0</v>
      </c>
      <c r="L126" s="785">
        <f>IF(+$M$7=4,0,K125*$M$4)</f>
        <v>0</v>
      </c>
      <c r="M126" s="990">
        <f t="shared" si="62"/>
        <v>0</v>
      </c>
      <c r="N126" s="785">
        <f t="shared" si="55"/>
        <v>0</v>
      </c>
      <c r="O126" s="990">
        <f t="shared" si="78"/>
        <v>0</v>
      </c>
      <c r="P126" s="785">
        <f t="shared" si="67"/>
        <v>0</v>
      </c>
      <c r="Q126" s="988">
        <f t="shared" si="68"/>
        <v>0</v>
      </c>
      <c r="S126" s="988">
        <v>113</v>
      </c>
      <c r="T126" s="989">
        <f t="shared" si="63"/>
        <v>0</v>
      </c>
      <c r="U126" s="785">
        <f>IF(+$V$7=4,0,T125*$V$4)</f>
        <v>0</v>
      </c>
      <c r="V126" s="990">
        <f t="shared" si="64"/>
        <v>0</v>
      </c>
      <c r="W126" s="785">
        <f t="shared" si="56"/>
        <v>0</v>
      </c>
      <c r="X126" s="990">
        <f t="shared" si="79"/>
        <v>0</v>
      </c>
      <c r="Y126" s="785">
        <f t="shared" si="69"/>
        <v>0</v>
      </c>
      <c r="Z126" s="988">
        <f t="shared" si="70"/>
        <v>0</v>
      </c>
    </row>
    <row r="127" spans="1:26" x14ac:dyDescent="0.25">
      <c r="A127" s="988">
        <v>114</v>
      </c>
      <c r="B127" s="989">
        <f t="shared" si="59"/>
        <v>0</v>
      </c>
      <c r="C127" s="785">
        <f>IF(+$D$7=4,0,B126*$D$4)</f>
        <v>0</v>
      </c>
      <c r="D127" s="990">
        <f t="shared" si="60"/>
        <v>0</v>
      </c>
      <c r="E127" s="785">
        <f t="shared" si="81"/>
        <v>0</v>
      </c>
      <c r="F127" s="990">
        <f t="shared" si="77"/>
        <v>0</v>
      </c>
      <c r="G127" s="785">
        <f t="shared" si="65"/>
        <v>0</v>
      </c>
      <c r="H127" s="988">
        <f t="shared" si="66"/>
        <v>0</v>
      </c>
      <c r="J127" s="988">
        <v>114</v>
      </c>
      <c r="K127" s="989">
        <f t="shared" si="61"/>
        <v>0</v>
      </c>
      <c r="L127" s="785">
        <f>IF(+$M$7=4,0,K126*$M$4)</f>
        <v>0</v>
      </c>
      <c r="M127" s="990">
        <f t="shared" si="62"/>
        <v>0</v>
      </c>
      <c r="N127" s="785">
        <f t="shared" ref="N127:N190" si="82">IF(L127&lt;1,0,L$8-L127)</f>
        <v>0</v>
      </c>
      <c r="O127" s="990">
        <f t="shared" si="78"/>
        <v>0</v>
      </c>
      <c r="P127" s="785">
        <f t="shared" si="67"/>
        <v>0</v>
      </c>
      <c r="Q127" s="988">
        <f t="shared" si="68"/>
        <v>0</v>
      </c>
      <c r="S127" s="988">
        <v>114</v>
      </c>
      <c r="T127" s="989">
        <f t="shared" si="63"/>
        <v>0</v>
      </c>
      <c r="U127" s="785">
        <f>IF(+$V$7=4,0,T126*$V$4)</f>
        <v>0</v>
      </c>
      <c r="V127" s="990">
        <f t="shared" si="64"/>
        <v>0</v>
      </c>
      <c r="W127" s="785">
        <f t="shared" ref="W127:W190" si="83">IF(U127&lt;1,0,U$8-U127)</f>
        <v>0</v>
      </c>
      <c r="X127" s="990">
        <f t="shared" si="79"/>
        <v>0</v>
      </c>
      <c r="Y127" s="785">
        <f t="shared" si="69"/>
        <v>0</v>
      </c>
      <c r="Z127" s="988">
        <f t="shared" si="70"/>
        <v>0</v>
      </c>
    </row>
    <row r="128" spans="1:26" x14ac:dyDescent="0.25">
      <c r="A128" s="988">
        <v>115</v>
      </c>
      <c r="B128" s="989">
        <f t="shared" si="59"/>
        <v>0</v>
      </c>
      <c r="C128" s="785">
        <f>IF(+$D$7=4,0,B127*$D$4)</f>
        <v>0</v>
      </c>
      <c r="D128" s="990">
        <f t="shared" si="60"/>
        <v>0</v>
      </c>
      <c r="E128" s="785">
        <f t="shared" ref="E128:E133" si="84">IF(OR(C$6&gt;9.5,C128&lt;0.01),0,C$8-C128)</f>
        <v>0</v>
      </c>
      <c r="F128" s="990">
        <f t="shared" si="77"/>
        <v>0</v>
      </c>
      <c r="G128" s="785">
        <f t="shared" si="65"/>
        <v>0</v>
      </c>
      <c r="H128" s="988">
        <f t="shared" si="66"/>
        <v>0</v>
      </c>
      <c r="J128" s="988">
        <v>115</v>
      </c>
      <c r="K128" s="989">
        <f t="shared" si="61"/>
        <v>0</v>
      </c>
      <c r="L128" s="785">
        <f>K127*$M$4</f>
        <v>0</v>
      </c>
      <c r="M128" s="990">
        <f t="shared" si="62"/>
        <v>0</v>
      </c>
      <c r="N128" s="785">
        <f t="shared" si="82"/>
        <v>0</v>
      </c>
      <c r="O128" s="990">
        <f t="shared" si="78"/>
        <v>0</v>
      </c>
      <c r="P128" s="785">
        <f t="shared" si="67"/>
        <v>0</v>
      </c>
      <c r="Q128" s="988">
        <f t="shared" si="68"/>
        <v>0</v>
      </c>
      <c r="S128" s="988">
        <v>115</v>
      </c>
      <c r="T128" s="989">
        <f t="shared" si="63"/>
        <v>0</v>
      </c>
      <c r="U128" s="785">
        <f>T127*$V$4</f>
        <v>0</v>
      </c>
      <c r="V128" s="990">
        <f t="shared" si="64"/>
        <v>0</v>
      </c>
      <c r="W128" s="785">
        <f t="shared" si="83"/>
        <v>0</v>
      </c>
      <c r="X128" s="990">
        <f t="shared" si="79"/>
        <v>0</v>
      </c>
      <c r="Y128" s="785">
        <f t="shared" si="69"/>
        <v>0</v>
      </c>
      <c r="Z128" s="988">
        <f t="shared" si="70"/>
        <v>0</v>
      </c>
    </row>
    <row r="129" spans="1:26" x14ac:dyDescent="0.25">
      <c r="A129" s="988">
        <v>116</v>
      </c>
      <c r="B129" s="989">
        <f t="shared" si="59"/>
        <v>0</v>
      </c>
      <c r="C129" s="785">
        <f>B128*$D$4</f>
        <v>0</v>
      </c>
      <c r="D129" s="990">
        <f t="shared" si="60"/>
        <v>0</v>
      </c>
      <c r="E129" s="785">
        <f t="shared" si="84"/>
        <v>0</v>
      </c>
      <c r="F129" s="990">
        <f t="shared" si="77"/>
        <v>0</v>
      </c>
      <c r="G129" s="785">
        <f t="shared" si="65"/>
        <v>0</v>
      </c>
      <c r="H129" s="988">
        <f t="shared" si="66"/>
        <v>0</v>
      </c>
      <c r="J129" s="988">
        <v>116</v>
      </c>
      <c r="K129" s="989">
        <f t="shared" si="61"/>
        <v>0</v>
      </c>
      <c r="L129" s="785">
        <f>IF(+$M$7=4,0,K128*$M$4)</f>
        <v>0</v>
      </c>
      <c r="M129" s="990">
        <f t="shared" si="62"/>
        <v>0</v>
      </c>
      <c r="N129" s="785">
        <f t="shared" si="82"/>
        <v>0</v>
      </c>
      <c r="O129" s="990">
        <f t="shared" si="78"/>
        <v>0</v>
      </c>
      <c r="P129" s="785">
        <f t="shared" si="67"/>
        <v>0</v>
      </c>
      <c r="Q129" s="988">
        <f t="shared" si="68"/>
        <v>0</v>
      </c>
      <c r="S129" s="988">
        <v>116</v>
      </c>
      <c r="T129" s="989">
        <f t="shared" si="63"/>
        <v>0</v>
      </c>
      <c r="U129" s="785">
        <f>IF(+$V$7=4,0,T128*$V$4)</f>
        <v>0</v>
      </c>
      <c r="V129" s="990">
        <f t="shared" si="64"/>
        <v>0</v>
      </c>
      <c r="W129" s="785">
        <f t="shared" si="83"/>
        <v>0</v>
      </c>
      <c r="X129" s="990">
        <f t="shared" si="79"/>
        <v>0</v>
      </c>
      <c r="Y129" s="785">
        <f t="shared" si="69"/>
        <v>0</v>
      </c>
      <c r="Z129" s="988">
        <f t="shared" si="70"/>
        <v>0</v>
      </c>
    </row>
    <row r="130" spans="1:26" x14ac:dyDescent="0.25">
      <c r="A130" s="988">
        <v>117</v>
      </c>
      <c r="B130" s="989">
        <f t="shared" si="59"/>
        <v>0</v>
      </c>
      <c r="C130" s="785">
        <f>IF(+$D$7=4,0,B129*$D$4)</f>
        <v>0</v>
      </c>
      <c r="D130" s="990">
        <f t="shared" si="60"/>
        <v>0</v>
      </c>
      <c r="E130" s="785">
        <f t="shared" si="84"/>
        <v>0</v>
      </c>
      <c r="F130" s="990">
        <f t="shared" si="77"/>
        <v>0</v>
      </c>
      <c r="G130" s="785">
        <f t="shared" si="65"/>
        <v>0</v>
      </c>
      <c r="H130" s="988">
        <f t="shared" si="66"/>
        <v>0</v>
      </c>
      <c r="J130" s="988">
        <v>117</v>
      </c>
      <c r="K130" s="989">
        <f t="shared" si="61"/>
        <v>0</v>
      </c>
      <c r="L130" s="785">
        <f>IF(+$M$7=4,0,K129*$M$4)</f>
        <v>0</v>
      </c>
      <c r="M130" s="990">
        <f t="shared" si="62"/>
        <v>0</v>
      </c>
      <c r="N130" s="785">
        <f t="shared" si="82"/>
        <v>0</v>
      </c>
      <c r="O130" s="990">
        <f t="shared" si="78"/>
        <v>0</v>
      </c>
      <c r="P130" s="785">
        <f t="shared" si="67"/>
        <v>0</v>
      </c>
      <c r="Q130" s="988">
        <f t="shared" si="68"/>
        <v>0</v>
      </c>
      <c r="S130" s="988">
        <v>117</v>
      </c>
      <c r="T130" s="989">
        <f t="shared" si="63"/>
        <v>0</v>
      </c>
      <c r="U130" s="785">
        <f>IF(+$V$7=4,0,T129*$V$4)</f>
        <v>0</v>
      </c>
      <c r="V130" s="990">
        <f t="shared" si="64"/>
        <v>0</v>
      </c>
      <c r="W130" s="785">
        <f t="shared" si="83"/>
        <v>0</v>
      </c>
      <c r="X130" s="990">
        <f t="shared" si="79"/>
        <v>0</v>
      </c>
      <c r="Y130" s="785">
        <f t="shared" si="69"/>
        <v>0</v>
      </c>
      <c r="Z130" s="988">
        <f t="shared" si="70"/>
        <v>0</v>
      </c>
    </row>
    <row r="131" spans="1:26" x14ac:dyDescent="0.25">
      <c r="A131" s="988">
        <v>118</v>
      </c>
      <c r="B131" s="989">
        <f t="shared" si="59"/>
        <v>0</v>
      </c>
      <c r="C131" s="785">
        <f>IF(+$D$7=4,0,B130*$D$4)</f>
        <v>0</v>
      </c>
      <c r="D131" s="990">
        <f t="shared" si="60"/>
        <v>0</v>
      </c>
      <c r="E131" s="785">
        <f t="shared" si="84"/>
        <v>0</v>
      </c>
      <c r="F131" s="990">
        <f t="shared" si="77"/>
        <v>0</v>
      </c>
      <c r="G131" s="785">
        <f t="shared" si="65"/>
        <v>0</v>
      </c>
      <c r="H131" s="988">
        <f t="shared" si="66"/>
        <v>0</v>
      </c>
      <c r="J131" s="988">
        <v>118</v>
      </c>
      <c r="K131" s="989">
        <f t="shared" si="61"/>
        <v>0</v>
      </c>
      <c r="L131" s="785">
        <f>K130*$M$4</f>
        <v>0</v>
      </c>
      <c r="M131" s="990">
        <f t="shared" si="62"/>
        <v>0</v>
      </c>
      <c r="N131" s="785">
        <f t="shared" si="82"/>
        <v>0</v>
      </c>
      <c r="O131" s="990">
        <f t="shared" si="78"/>
        <v>0</v>
      </c>
      <c r="P131" s="785">
        <f t="shared" si="67"/>
        <v>0</v>
      </c>
      <c r="Q131" s="988">
        <f t="shared" si="68"/>
        <v>0</v>
      </c>
      <c r="S131" s="988">
        <v>118</v>
      </c>
      <c r="T131" s="989">
        <f t="shared" si="63"/>
        <v>0</v>
      </c>
      <c r="U131" s="785">
        <f>T130*$V$4</f>
        <v>0</v>
      </c>
      <c r="V131" s="990">
        <f t="shared" si="64"/>
        <v>0</v>
      </c>
      <c r="W131" s="785">
        <f t="shared" si="83"/>
        <v>0</v>
      </c>
      <c r="X131" s="990">
        <f t="shared" si="79"/>
        <v>0</v>
      </c>
      <c r="Y131" s="785">
        <f t="shared" si="69"/>
        <v>0</v>
      </c>
      <c r="Z131" s="988">
        <f t="shared" si="70"/>
        <v>0</v>
      </c>
    </row>
    <row r="132" spans="1:26" x14ac:dyDescent="0.25">
      <c r="A132" s="988">
        <v>119</v>
      </c>
      <c r="B132" s="989">
        <f t="shared" si="59"/>
        <v>0</v>
      </c>
      <c r="C132" s="785">
        <f>B131*$D$4</f>
        <v>0</v>
      </c>
      <c r="D132" s="990">
        <f t="shared" si="60"/>
        <v>0</v>
      </c>
      <c r="E132" s="785">
        <f t="shared" si="84"/>
        <v>0</v>
      </c>
      <c r="F132" s="990">
        <f t="shared" si="77"/>
        <v>0</v>
      </c>
      <c r="G132" s="785">
        <f t="shared" si="65"/>
        <v>0</v>
      </c>
      <c r="H132" s="988">
        <f t="shared" si="66"/>
        <v>0</v>
      </c>
      <c r="J132" s="988">
        <v>119</v>
      </c>
      <c r="K132" s="989">
        <f t="shared" si="61"/>
        <v>0</v>
      </c>
      <c r="L132" s="785">
        <f>IF(+$M$7=4,0,K131*$M$4)</f>
        <v>0</v>
      </c>
      <c r="M132" s="990">
        <f t="shared" si="62"/>
        <v>0</v>
      </c>
      <c r="N132" s="785">
        <f t="shared" si="82"/>
        <v>0</v>
      </c>
      <c r="O132" s="990">
        <f t="shared" si="78"/>
        <v>0</v>
      </c>
      <c r="P132" s="785">
        <f t="shared" si="67"/>
        <v>0</v>
      </c>
      <c r="Q132" s="988">
        <f t="shared" si="68"/>
        <v>0</v>
      </c>
      <c r="S132" s="988">
        <v>119</v>
      </c>
      <c r="T132" s="989">
        <f t="shared" si="63"/>
        <v>0</v>
      </c>
      <c r="U132" s="785">
        <f>IF(+$V$7=4,0,T131*$V$4)</f>
        <v>0</v>
      </c>
      <c r="V132" s="990">
        <f t="shared" si="64"/>
        <v>0</v>
      </c>
      <c r="W132" s="785">
        <f t="shared" si="83"/>
        <v>0</v>
      </c>
      <c r="X132" s="990">
        <f t="shared" si="79"/>
        <v>0</v>
      </c>
      <c r="Y132" s="785">
        <f t="shared" si="69"/>
        <v>0</v>
      </c>
      <c r="Z132" s="988">
        <f t="shared" si="70"/>
        <v>0</v>
      </c>
    </row>
    <row r="133" spans="1:26" x14ac:dyDescent="0.25">
      <c r="A133" s="988">
        <v>120</v>
      </c>
      <c r="B133" s="989">
        <f t="shared" si="59"/>
        <v>0</v>
      </c>
      <c r="C133" s="785">
        <f>IF(+$D$7=4,0,B132*$D$4)</f>
        <v>0</v>
      </c>
      <c r="D133" s="990">
        <f t="shared" si="60"/>
        <v>0</v>
      </c>
      <c r="E133" s="785">
        <f t="shared" si="84"/>
        <v>0</v>
      </c>
      <c r="F133" s="990">
        <f t="shared" si="77"/>
        <v>0</v>
      </c>
      <c r="G133" s="785">
        <f t="shared" si="65"/>
        <v>0</v>
      </c>
      <c r="H133" s="988">
        <f t="shared" si="66"/>
        <v>0</v>
      </c>
      <c r="J133" s="988">
        <v>120</v>
      </c>
      <c r="K133" s="989">
        <f t="shared" si="61"/>
        <v>0</v>
      </c>
      <c r="L133" s="785">
        <f>IF(+$M$7=4,0,K132*$M$4)</f>
        <v>0</v>
      </c>
      <c r="M133" s="990">
        <f t="shared" si="62"/>
        <v>0</v>
      </c>
      <c r="N133" s="785">
        <f t="shared" si="82"/>
        <v>0</v>
      </c>
      <c r="O133" s="990">
        <f t="shared" si="78"/>
        <v>0</v>
      </c>
      <c r="P133" s="785">
        <f t="shared" si="67"/>
        <v>0</v>
      </c>
      <c r="Q133" s="988">
        <f t="shared" si="68"/>
        <v>0</v>
      </c>
      <c r="S133" s="988">
        <v>120</v>
      </c>
      <c r="T133" s="989">
        <f t="shared" si="63"/>
        <v>0</v>
      </c>
      <c r="U133" s="785">
        <f>IF(+$V$7=4,0,T132*$V$4)</f>
        <v>0</v>
      </c>
      <c r="V133" s="990">
        <f t="shared" si="64"/>
        <v>0</v>
      </c>
      <c r="W133" s="785">
        <f t="shared" si="83"/>
        <v>0</v>
      </c>
      <c r="X133" s="990">
        <f t="shared" si="79"/>
        <v>0</v>
      </c>
      <c r="Y133" s="785">
        <f t="shared" si="69"/>
        <v>0</v>
      </c>
      <c r="Z133" s="988">
        <f t="shared" si="70"/>
        <v>0</v>
      </c>
    </row>
    <row r="134" spans="1:26" x14ac:dyDescent="0.25">
      <c r="A134" s="988">
        <v>121</v>
      </c>
      <c r="B134" s="989">
        <f t="shared" si="59"/>
        <v>0</v>
      </c>
      <c r="C134" s="785">
        <f>IF(+$D$7=4,0,B133*$D$4)</f>
        <v>0</v>
      </c>
      <c r="D134" s="990">
        <f t="shared" si="60"/>
        <v>0</v>
      </c>
      <c r="E134" s="785">
        <f>IF(OR(C$6&gt;0,C134&lt;0.01),0,C$8-C134)</f>
        <v>0</v>
      </c>
      <c r="F134" s="990">
        <f t="shared" si="77"/>
        <v>0</v>
      </c>
      <c r="G134" s="785">
        <f t="shared" si="65"/>
        <v>0</v>
      </c>
      <c r="H134" s="988">
        <f t="shared" si="66"/>
        <v>0</v>
      </c>
      <c r="J134" s="988">
        <v>121</v>
      </c>
      <c r="K134" s="989">
        <f t="shared" si="61"/>
        <v>0</v>
      </c>
      <c r="L134" s="785">
        <f>K133*$M$4</f>
        <v>0</v>
      </c>
      <c r="M134" s="990">
        <f t="shared" si="62"/>
        <v>0</v>
      </c>
      <c r="N134" s="785">
        <f t="shared" si="82"/>
        <v>0</v>
      </c>
      <c r="O134" s="990">
        <f t="shared" si="78"/>
        <v>0</v>
      </c>
      <c r="P134" s="785">
        <f t="shared" si="67"/>
        <v>0</v>
      </c>
      <c r="Q134" s="988">
        <f t="shared" si="68"/>
        <v>0</v>
      </c>
      <c r="S134" s="988">
        <v>121</v>
      </c>
      <c r="T134" s="989">
        <f t="shared" si="63"/>
        <v>0</v>
      </c>
      <c r="U134" s="785">
        <f>T133*$V$4</f>
        <v>0</v>
      </c>
      <c r="V134" s="990">
        <f t="shared" si="64"/>
        <v>0</v>
      </c>
      <c r="W134" s="785">
        <f t="shared" si="83"/>
        <v>0</v>
      </c>
      <c r="X134" s="990">
        <f t="shared" si="79"/>
        <v>0</v>
      </c>
      <c r="Y134" s="785">
        <f t="shared" si="69"/>
        <v>0</v>
      </c>
      <c r="Z134" s="988">
        <f t="shared" si="70"/>
        <v>0</v>
      </c>
    </row>
    <row r="135" spans="1:26" x14ac:dyDescent="0.25">
      <c r="A135" s="988">
        <v>122</v>
      </c>
      <c r="B135" s="989">
        <f t="shared" si="59"/>
        <v>0</v>
      </c>
      <c r="C135" s="785">
        <f>B134*$D$4</f>
        <v>0</v>
      </c>
      <c r="D135" s="990">
        <f t="shared" si="60"/>
        <v>0</v>
      </c>
      <c r="E135" s="785">
        <f t="shared" ref="E135:E140" si="85">IF(OR(C$6&gt;10,C135&lt;0.01),0,C$8-C135)</f>
        <v>0</v>
      </c>
      <c r="F135" s="990">
        <f t="shared" si="77"/>
        <v>0</v>
      </c>
      <c r="G135" s="785">
        <f t="shared" si="65"/>
        <v>0</v>
      </c>
      <c r="H135" s="988">
        <f t="shared" si="66"/>
        <v>0</v>
      </c>
      <c r="J135" s="988">
        <v>122</v>
      </c>
      <c r="K135" s="989">
        <f t="shared" si="61"/>
        <v>0</v>
      </c>
      <c r="L135" s="785">
        <f>IF(+$M$7=4,0,K134*$M$4)</f>
        <v>0</v>
      </c>
      <c r="M135" s="990">
        <f t="shared" si="62"/>
        <v>0</v>
      </c>
      <c r="N135" s="785">
        <f t="shared" si="82"/>
        <v>0</v>
      </c>
      <c r="O135" s="990">
        <f t="shared" si="78"/>
        <v>0</v>
      </c>
      <c r="P135" s="785">
        <f t="shared" si="67"/>
        <v>0</v>
      </c>
      <c r="Q135" s="988">
        <f t="shared" si="68"/>
        <v>0</v>
      </c>
      <c r="S135" s="988">
        <v>122</v>
      </c>
      <c r="T135" s="989">
        <f t="shared" si="63"/>
        <v>0</v>
      </c>
      <c r="U135" s="785">
        <f>IF(+$V$7=4,0,T134*$V$4)</f>
        <v>0</v>
      </c>
      <c r="V135" s="990">
        <f t="shared" si="64"/>
        <v>0</v>
      </c>
      <c r="W135" s="785">
        <f t="shared" si="83"/>
        <v>0</v>
      </c>
      <c r="X135" s="990">
        <f t="shared" si="79"/>
        <v>0</v>
      </c>
      <c r="Y135" s="785">
        <f t="shared" si="69"/>
        <v>0</v>
      </c>
      <c r="Z135" s="988">
        <f t="shared" si="70"/>
        <v>0</v>
      </c>
    </row>
    <row r="136" spans="1:26" x14ac:dyDescent="0.25">
      <c r="A136" s="988">
        <v>123</v>
      </c>
      <c r="B136" s="989">
        <f t="shared" si="59"/>
        <v>0</v>
      </c>
      <c r="C136" s="785">
        <f>IF(+$D$7=4,0,B135*$D$4)</f>
        <v>0</v>
      </c>
      <c r="D136" s="990">
        <f t="shared" si="60"/>
        <v>0</v>
      </c>
      <c r="E136" s="785">
        <f t="shared" si="85"/>
        <v>0</v>
      </c>
      <c r="F136" s="990">
        <f t="shared" si="77"/>
        <v>0</v>
      </c>
      <c r="G136" s="785">
        <f t="shared" si="65"/>
        <v>0</v>
      </c>
      <c r="H136" s="988">
        <f t="shared" si="66"/>
        <v>0</v>
      </c>
      <c r="J136" s="988">
        <v>123</v>
      </c>
      <c r="K136" s="989">
        <f t="shared" si="61"/>
        <v>0</v>
      </c>
      <c r="L136" s="785">
        <f>IF(+$M$7=4,0,K135*$M$4)</f>
        <v>0</v>
      </c>
      <c r="M136" s="990">
        <f t="shared" si="62"/>
        <v>0</v>
      </c>
      <c r="N136" s="785">
        <f t="shared" si="82"/>
        <v>0</v>
      </c>
      <c r="O136" s="990">
        <f t="shared" si="78"/>
        <v>0</v>
      </c>
      <c r="P136" s="785">
        <f t="shared" si="67"/>
        <v>0</v>
      </c>
      <c r="Q136" s="988">
        <f t="shared" si="68"/>
        <v>0</v>
      </c>
      <c r="S136" s="988">
        <v>123</v>
      </c>
      <c r="T136" s="989">
        <f t="shared" si="63"/>
        <v>0</v>
      </c>
      <c r="U136" s="785">
        <f>IF(+$V$7=4,0,T135*$V$4)</f>
        <v>0</v>
      </c>
      <c r="V136" s="990">
        <f t="shared" si="64"/>
        <v>0</v>
      </c>
      <c r="W136" s="785">
        <f t="shared" si="83"/>
        <v>0</v>
      </c>
      <c r="X136" s="990">
        <f t="shared" si="79"/>
        <v>0</v>
      </c>
      <c r="Y136" s="785">
        <f t="shared" si="69"/>
        <v>0</v>
      </c>
      <c r="Z136" s="988">
        <f t="shared" si="70"/>
        <v>0</v>
      </c>
    </row>
    <row r="137" spans="1:26" x14ac:dyDescent="0.25">
      <c r="A137" s="988">
        <v>124</v>
      </c>
      <c r="B137" s="989">
        <f t="shared" si="59"/>
        <v>0</v>
      </c>
      <c r="C137" s="785">
        <f>IF(+$D$7=4,0,B136*$D$4)</f>
        <v>0</v>
      </c>
      <c r="D137" s="990">
        <f t="shared" si="60"/>
        <v>0</v>
      </c>
      <c r="E137" s="785">
        <f t="shared" si="85"/>
        <v>0</v>
      </c>
      <c r="F137" s="990">
        <f t="shared" si="77"/>
        <v>0</v>
      </c>
      <c r="G137" s="785">
        <f t="shared" si="65"/>
        <v>0</v>
      </c>
      <c r="H137" s="988">
        <f t="shared" si="66"/>
        <v>0</v>
      </c>
      <c r="J137" s="988">
        <v>124</v>
      </c>
      <c r="K137" s="989">
        <f t="shared" si="61"/>
        <v>0</v>
      </c>
      <c r="L137" s="785">
        <f>K136*$M$4</f>
        <v>0</v>
      </c>
      <c r="M137" s="990">
        <f t="shared" si="62"/>
        <v>0</v>
      </c>
      <c r="N137" s="785">
        <f t="shared" si="82"/>
        <v>0</v>
      </c>
      <c r="O137" s="990">
        <f t="shared" si="78"/>
        <v>0</v>
      </c>
      <c r="P137" s="785">
        <f t="shared" si="67"/>
        <v>0</v>
      </c>
      <c r="Q137" s="988">
        <f t="shared" si="68"/>
        <v>0</v>
      </c>
      <c r="S137" s="988">
        <v>124</v>
      </c>
      <c r="T137" s="989">
        <f t="shared" si="63"/>
        <v>0</v>
      </c>
      <c r="U137" s="785">
        <f>T136*$V$4</f>
        <v>0</v>
      </c>
      <c r="V137" s="990">
        <f t="shared" si="64"/>
        <v>0</v>
      </c>
      <c r="W137" s="785">
        <f t="shared" si="83"/>
        <v>0</v>
      </c>
      <c r="X137" s="990">
        <f t="shared" si="79"/>
        <v>0</v>
      </c>
      <c r="Y137" s="785">
        <f t="shared" si="69"/>
        <v>0</v>
      </c>
      <c r="Z137" s="988">
        <f t="shared" si="70"/>
        <v>0</v>
      </c>
    </row>
    <row r="138" spans="1:26" x14ac:dyDescent="0.25">
      <c r="A138" s="988">
        <v>125</v>
      </c>
      <c r="B138" s="989">
        <f t="shared" si="59"/>
        <v>0</v>
      </c>
      <c r="C138" s="785">
        <f>B137*$D$4</f>
        <v>0</v>
      </c>
      <c r="D138" s="990">
        <f t="shared" si="60"/>
        <v>0</v>
      </c>
      <c r="E138" s="785">
        <f t="shared" si="85"/>
        <v>0</v>
      </c>
      <c r="F138" s="990">
        <f t="shared" si="77"/>
        <v>0</v>
      </c>
      <c r="G138" s="785">
        <f t="shared" si="65"/>
        <v>0</v>
      </c>
      <c r="H138" s="988">
        <f t="shared" si="66"/>
        <v>0</v>
      </c>
      <c r="J138" s="988">
        <v>125</v>
      </c>
      <c r="K138" s="989">
        <f t="shared" si="61"/>
        <v>0</v>
      </c>
      <c r="L138" s="785">
        <f>IF(+$M$7=4,0,K137*$M$4)</f>
        <v>0</v>
      </c>
      <c r="M138" s="990">
        <f t="shared" si="62"/>
        <v>0</v>
      </c>
      <c r="N138" s="785">
        <f t="shared" si="82"/>
        <v>0</v>
      </c>
      <c r="O138" s="990">
        <f t="shared" si="78"/>
        <v>0</v>
      </c>
      <c r="P138" s="785">
        <f t="shared" si="67"/>
        <v>0</v>
      </c>
      <c r="Q138" s="988">
        <f t="shared" si="68"/>
        <v>0</v>
      </c>
      <c r="S138" s="988">
        <v>125</v>
      </c>
      <c r="T138" s="989">
        <f t="shared" si="63"/>
        <v>0</v>
      </c>
      <c r="U138" s="785">
        <f>IF(+$V$7=4,0,T137*$V$4)</f>
        <v>0</v>
      </c>
      <c r="V138" s="990">
        <f t="shared" si="64"/>
        <v>0</v>
      </c>
      <c r="W138" s="785">
        <f t="shared" si="83"/>
        <v>0</v>
      </c>
      <c r="X138" s="990">
        <f t="shared" si="79"/>
        <v>0</v>
      </c>
      <c r="Y138" s="785">
        <f t="shared" si="69"/>
        <v>0</v>
      </c>
      <c r="Z138" s="988">
        <f t="shared" si="70"/>
        <v>0</v>
      </c>
    </row>
    <row r="139" spans="1:26" x14ac:dyDescent="0.25">
      <c r="A139" s="988">
        <v>126</v>
      </c>
      <c r="B139" s="989">
        <f t="shared" si="59"/>
        <v>0</v>
      </c>
      <c r="C139" s="785">
        <f>IF(+$D$7=4,0,B138*$D$4)</f>
        <v>0</v>
      </c>
      <c r="D139" s="990">
        <f t="shared" si="60"/>
        <v>0</v>
      </c>
      <c r="E139" s="785">
        <f t="shared" si="85"/>
        <v>0</v>
      </c>
      <c r="F139" s="990">
        <f t="shared" si="77"/>
        <v>0</v>
      </c>
      <c r="G139" s="785">
        <f t="shared" si="65"/>
        <v>0</v>
      </c>
      <c r="H139" s="988">
        <f t="shared" si="66"/>
        <v>0</v>
      </c>
      <c r="J139" s="988">
        <v>126</v>
      </c>
      <c r="K139" s="989">
        <f t="shared" si="61"/>
        <v>0</v>
      </c>
      <c r="L139" s="785">
        <f>IF(+$M$7=4,0,K138*$M$4)</f>
        <v>0</v>
      </c>
      <c r="M139" s="990">
        <f t="shared" si="62"/>
        <v>0</v>
      </c>
      <c r="N139" s="785">
        <f t="shared" si="82"/>
        <v>0</v>
      </c>
      <c r="O139" s="990">
        <f t="shared" si="78"/>
        <v>0</v>
      </c>
      <c r="P139" s="785">
        <f t="shared" si="67"/>
        <v>0</v>
      </c>
      <c r="Q139" s="988">
        <f t="shared" si="68"/>
        <v>0</v>
      </c>
      <c r="S139" s="988">
        <v>126</v>
      </c>
      <c r="T139" s="989">
        <f t="shared" si="63"/>
        <v>0</v>
      </c>
      <c r="U139" s="785">
        <f>IF(+$V$7=4,0,T138*$V$4)</f>
        <v>0</v>
      </c>
      <c r="V139" s="990">
        <f t="shared" si="64"/>
        <v>0</v>
      </c>
      <c r="W139" s="785">
        <f t="shared" si="83"/>
        <v>0</v>
      </c>
      <c r="X139" s="990">
        <f t="shared" si="79"/>
        <v>0</v>
      </c>
      <c r="Y139" s="785">
        <f t="shared" si="69"/>
        <v>0</v>
      </c>
      <c r="Z139" s="988">
        <f t="shared" si="70"/>
        <v>0</v>
      </c>
    </row>
    <row r="140" spans="1:26" x14ac:dyDescent="0.25">
      <c r="A140" s="988">
        <v>127</v>
      </c>
      <c r="B140" s="989">
        <f t="shared" si="59"/>
        <v>0</v>
      </c>
      <c r="C140" s="785">
        <f>IF(+$D$7=4,0,B139*$D$4)</f>
        <v>0</v>
      </c>
      <c r="D140" s="990">
        <f t="shared" si="60"/>
        <v>0</v>
      </c>
      <c r="E140" s="785">
        <f t="shared" si="85"/>
        <v>0</v>
      </c>
      <c r="F140" s="990">
        <f t="shared" si="77"/>
        <v>0</v>
      </c>
      <c r="G140" s="785">
        <f t="shared" si="65"/>
        <v>0</v>
      </c>
      <c r="H140" s="988">
        <f t="shared" si="66"/>
        <v>0</v>
      </c>
      <c r="J140" s="988">
        <v>127</v>
      </c>
      <c r="K140" s="989">
        <f t="shared" si="61"/>
        <v>0</v>
      </c>
      <c r="L140" s="785">
        <f>K139*$M$4</f>
        <v>0</v>
      </c>
      <c r="M140" s="990">
        <f t="shared" si="62"/>
        <v>0</v>
      </c>
      <c r="N140" s="785">
        <f t="shared" si="82"/>
        <v>0</v>
      </c>
      <c r="O140" s="990">
        <f t="shared" si="78"/>
        <v>0</v>
      </c>
      <c r="P140" s="785">
        <f t="shared" si="67"/>
        <v>0</v>
      </c>
      <c r="Q140" s="988">
        <f t="shared" si="68"/>
        <v>0</v>
      </c>
      <c r="S140" s="988">
        <v>127</v>
      </c>
      <c r="T140" s="989">
        <f t="shared" si="63"/>
        <v>0</v>
      </c>
      <c r="U140" s="785">
        <f>T139*$V$4</f>
        <v>0</v>
      </c>
      <c r="V140" s="990">
        <f t="shared" si="64"/>
        <v>0</v>
      </c>
      <c r="W140" s="785">
        <f t="shared" si="83"/>
        <v>0</v>
      </c>
      <c r="X140" s="990">
        <f t="shared" si="79"/>
        <v>0</v>
      </c>
      <c r="Y140" s="785">
        <f t="shared" si="69"/>
        <v>0</v>
      </c>
      <c r="Z140" s="988">
        <f t="shared" si="70"/>
        <v>0</v>
      </c>
    </row>
    <row r="141" spans="1:26" x14ac:dyDescent="0.25">
      <c r="A141" s="988">
        <v>128</v>
      </c>
      <c r="B141" s="989">
        <f t="shared" si="59"/>
        <v>0</v>
      </c>
      <c r="C141" s="785">
        <f>B140*$D$4</f>
        <v>0</v>
      </c>
      <c r="D141" s="990">
        <f t="shared" si="60"/>
        <v>0</v>
      </c>
      <c r="E141" s="785">
        <f t="shared" ref="E141:E146" si="86">IF(OR(C$6&gt;10.5,C141&lt;0.01),0,C$8-C141)</f>
        <v>0</v>
      </c>
      <c r="F141" s="990">
        <f t="shared" si="77"/>
        <v>0</v>
      </c>
      <c r="G141" s="785">
        <f t="shared" si="65"/>
        <v>0</v>
      </c>
      <c r="H141" s="988">
        <f t="shared" si="66"/>
        <v>0</v>
      </c>
      <c r="J141" s="988">
        <v>128</v>
      </c>
      <c r="K141" s="989">
        <f t="shared" si="61"/>
        <v>0</v>
      </c>
      <c r="L141" s="785">
        <f>IF(+$M$7=4,0,K140*$M$4)</f>
        <v>0</v>
      </c>
      <c r="M141" s="990">
        <f t="shared" si="62"/>
        <v>0</v>
      </c>
      <c r="N141" s="785">
        <f t="shared" si="82"/>
        <v>0</v>
      </c>
      <c r="O141" s="990">
        <f t="shared" si="78"/>
        <v>0</v>
      </c>
      <c r="P141" s="785">
        <f t="shared" si="67"/>
        <v>0</v>
      </c>
      <c r="Q141" s="988">
        <f t="shared" si="68"/>
        <v>0</v>
      </c>
      <c r="S141" s="988">
        <v>128</v>
      </c>
      <c r="T141" s="989">
        <f t="shared" si="63"/>
        <v>0</v>
      </c>
      <c r="U141" s="785">
        <f>IF(+$V$7=4,0,T140*$V$4)</f>
        <v>0</v>
      </c>
      <c r="V141" s="990">
        <f t="shared" si="64"/>
        <v>0</v>
      </c>
      <c r="W141" s="785">
        <f t="shared" si="83"/>
        <v>0</v>
      </c>
      <c r="X141" s="990">
        <f t="shared" si="79"/>
        <v>0</v>
      </c>
      <c r="Y141" s="785">
        <f t="shared" si="69"/>
        <v>0</v>
      </c>
      <c r="Z141" s="988">
        <f t="shared" si="70"/>
        <v>0</v>
      </c>
    </row>
    <row r="142" spans="1:26" x14ac:dyDescent="0.25">
      <c r="A142" s="988">
        <v>129</v>
      </c>
      <c r="B142" s="989">
        <f t="shared" ref="B142:B189" si="87">IF(B141&lt;1,0,B141-E142)</f>
        <v>0</v>
      </c>
      <c r="C142" s="785">
        <f>IF(+$D$7=4,0,B141*$D$4)</f>
        <v>0</v>
      </c>
      <c r="D142" s="990">
        <f t="shared" ref="D142:D189" si="88">IF(B142=0,0,D141+C142)</f>
        <v>0</v>
      </c>
      <c r="E142" s="785">
        <f t="shared" si="86"/>
        <v>0</v>
      </c>
      <c r="F142" s="990">
        <f t="shared" si="77"/>
        <v>0</v>
      </c>
      <c r="G142" s="785">
        <f t="shared" si="65"/>
        <v>0</v>
      </c>
      <c r="H142" s="988">
        <f t="shared" si="66"/>
        <v>0</v>
      </c>
      <c r="J142" s="988">
        <v>129</v>
      </c>
      <c r="K142" s="989">
        <f t="shared" ref="K142:K189" si="89">IF(K141&lt;1,0,K141-N142)</f>
        <v>0</v>
      </c>
      <c r="L142" s="785">
        <f>IF(+$M$7=4,0,K141*$M$4)</f>
        <v>0</v>
      </c>
      <c r="M142" s="990">
        <f t="shared" ref="M142:M189" si="90">IF(K142=0,0,M141+L142)</f>
        <v>0</v>
      </c>
      <c r="N142" s="785">
        <f t="shared" si="82"/>
        <v>0</v>
      </c>
      <c r="O142" s="990">
        <f t="shared" si="78"/>
        <v>0</v>
      </c>
      <c r="P142" s="785">
        <f t="shared" si="67"/>
        <v>0</v>
      </c>
      <c r="Q142" s="988">
        <f t="shared" si="68"/>
        <v>0</v>
      </c>
      <c r="S142" s="988">
        <v>129</v>
      </c>
      <c r="T142" s="989">
        <f t="shared" ref="T142:T189" si="91">IF(T141&lt;1,0,T141-W142)</f>
        <v>0</v>
      </c>
      <c r="U142" s="785">
        <f>IF(+$V$7=4,0,T141*$V$4)</f>
        <v>0</v>
      </c>
      <c r="V142" s="990">
        <f t="shared" ref="V142:V189" si="92">IF(T142=0,0,V141+U142)</f>
        <v>0</v>
      </c>
      <c r="W142" s="785">
        <f t="shared" si="83"/>
        <v>0</v>
      </c>
      <c r="X142" s="990">
        <f t="shared" si="79"/>
        <v>0</v>
      </c>
      <c r="Y142" s="785">
        <f t="shared" si="69"/>
        <v>0</v>
      </c>
      <c r="Z142" s="988">
        <f t="shared" si="70"/>
        <v>0</v>
      </c>
    </row>
    <row r="143" spans="1:26" x14ac:dyDescent="0.25">
      <c r="A143" s="988">
        <v>130</v>
      </c>
      <c r="B143" s="989">
        <f t="shared" si="87"/>
        <v>0</v>
      </c>
      <c r="C143" s="785">
        <f>IF(+$D$7=4,0,B142*$D$4)</f>
        <v>0</v>
      </c>
      <c r="D143" s="990">
        <f t="shared" si="88"/>
        <v>0</v>
      </c>
      <c r="E143" s="785">
        <f t="shared" si="86"/>
        <v>0</v>
      </c>
      <c r="F143" s="990">
        <f t="shared" si="77"/>
        <v>0</v>
      </c>
      <c r="G143" s="785">
        <f t="shared" ref="G143:G192" si="93">C$8*H143</f>
        <v>0</v>
      </c>
      <c r="H143" s="988">
        <f t="shared" ref="H143:H193" si="94">IF(E143=0,0,A143-D$6)</f>
        <v>0</v>
      </c>
      <c r="J143" s="988">
        <v>130</v>
      </c>
      <c r="K143" s="989">
        <f t="shared" si="89"/>
        <v>0</v>
      </c>
      <c r="L143" s="785">
        <f>K142*$M$4</f>
        <v>0</v>
      </c>
      <c r="M143" s="990">
        <f t="shared" si="90"/>
        <v>0</v>
      </c>
      <c r="N143" s="785">
        <f t="shared" si="82"/>
        <v>0</v>
      </c>
      <c r="O143" s="990">
        <f t="shared" si="78"/>
        <v>0</v>
      </c>
      <c r="P143" s="785">
        <f t="shared" ref="P143:P192" si="95">L$8*Q143</f>
        <v>0</v>
      </c>
      <c r="Q143" s="988">
        <f t="shared" ref="Q143:Q193" si="96">IF(N143=0,0,J143-M$6)</f>
        <v>0</v>
      </c>
      <c r="S143" s="988">
        <v>130</v>
      </c>
      <c r="T143" s="989">
        <f t="shared" si="91"/>
        <v>0</v>
      </c>
      <c r="U143" s="785">
        <f>T142*$V$4</f>
        <v>0</v>
      </c>
      <c r="V143" s="990">
        <f t="shared" si="92"/>
        <v>0</v>
      </c>
      <c r="W143" s="785">
        <f t="shared" si="83"/>
        <v>0</v>
      </c>
      <c r="X143" s="990">
        <f t="shared" si="79"/>
        <v>0</v>
      </c>
      <c r="Y143" s="785">
        <f t="shared" ref="Y143:Y192" si="97">U$8*Z143</f>
        <v>0</v>
      </c>
      <c r="Z143" s="988">
        <f t="shared" ref="Z143:Z193" si="98">IF(W143=0,0,S143-V$6)</f>
        <v>0</v>
      </c>
    </row>
    <row r="144" spans="1:26" x14ac:dyDescent="0.25">
      <c r="A144" s="988">
        <v>131</v>
      </c>
      <c r="B144" s="989">
        <f t="shared" si="87"/>
        <v>0</v>
      </c>
      <c r="C144" s="785">
        <f>B143*$D$4</f>
        <v>0</v>
      </c>
      <c r="D144" s="990">
        <f t="shared" si="88"/>
        <v>0</v>
      </c>
      <c r="E144" s="785">
        <f t="shared" si="86"/>
        <v>0</v>
      </c>
      <c r="F144" s="990">
        <f t="shared" si="77"/>
        <v>0</v>
      </c>
      <c r="G144" s="785">
        <f t="shared" si="93"/>
        <v>0</v>
      </c>
      <c r="H144" s="988">
        <f t="shared" si="94"/>
        <v>0</v>
      </c>
      <c r="J144" s="988">
        <v>131</v>
      </c>
      <c r="K144" s="989">
        <f t="shared" si="89"/>
        <v>0</v>
      </c>
      <c r="L144" s="785">
        <f>IF(+$M$7=4,0,K143*$M$4)</f>
        <v>0</v>
      </c>
      <c r="M144" s="990">
        <f t="shared" si="90"/>
        <v>0</v>
      </c>
      <c r="N144" s="785">
        <f t="shared" si="82"/>
        <v>0</v>
      </c>
      <c r="O144" s="990">
        <f t="shared" si="78"/>
        <v>0</v>
      </c>
      <c r="P144" s="785">
        <f t="shared" si="95"/>
        <v>0</v>
      </c>
      <c r="Q144" s="988">
        <f t="shared" si="96"/>
        <v>0</v>
      </c>
      <c r="S144" s="988">
        <v>131</v>
      </c>
      <c r="T144" s="989">
        <f t="shared" si="91"/>
        <v>0</v>
      </c>
      <c r="U144" s="785">
        <f>IF(+$V$7=4,0,T143*$V$4)</f>
        <v>0</v>
      </c>
      <c r="V144" s="990">
        <f t="shared" si="92"/>
        <v>0</v>
      </c>
      <c r="W144" s="785">
        <f t="shared" si="83"/>
        <v>0</v>
      </c>
      <c r="X144" s="990">
        <f t="shared" si="79"/>
        <v>0</v>
      </c>
      <c r="Y144" s="785">
        <f t="shared" si="97"/>
        <v>0</v>
      </c>
      <c r="Z144" s="988">
        <f t="shared" si="98"/>
        <v>0</v>
      </c>
    </row>
    <row r="145" spans="1:26" x14ac:dyDescent="0.25">
      <c r="A145" s="988">
        <v>132</v>
      </c>
      <c r="B145" s="989">
        <f t="shared" si="87"/>
        <v>0</v>
      </c>
      <c r="C145" s="785">
        <f>IF(+$D$7=4,0,B144*$D$4)</f>
        <v>0</v>
      </c>
      <c r="D145" s="990">
        <f t="shared" si="88"/>
        <v>0</v>
      </c>
      <c r="E145" s="785">
        <f t="shared" si="86"/>
        <v>0</v>
      </c>
      <c r="F145" s="990">
        <f t="shared" si="77"/>
        <v>0</v>
      </c>
      <c r="G145" s="785">
        <f t="shared" si="93"/>
        <v>0</v>
      </c>
      <c r="H145" s="988">
        <f t="shared" si="94"/>
        <v>0</v>
      </c>
      <c r="J145" s="988">
        <v>132</v>
      </c>
      <c r="K145" s="989">
        <f t="shared" si="89"/>
        <v>0</v>
      </c>
      <c r="L145" s="785">
        <f>IF(+$M$7=4,0,K144*$M$4)</f>
        <v>0</v>
      </c>
      <c r="M145" s="990">
        <f t="shared" si="90"/>
        <v>0</v>
      </c>
      <c r="N145" s="785">
        <f t="shared" si="82"/>
        <v>0</v>
      </c>
      <c r="O145" s="990">
        <f t="shared" si="78"/>
        <v>0</v>
      </c>
      <c r="P145" s="785">
        <f t="shared" si="95"/>
        <v>0</v>
      </c>
      <c r="Q145" s="988">
        <f t="shared" si="96"/>
        <v>0</v>
      </c>
      <c r="S145" s="988">
        <v>132</v>
      </c>
      <c r="T145" s="989">
        <f t="shared" si="91"/>
        <v>0</v>
      </c>
      <c r="U145" s="785">
        <f>IF(+$V$7=4,0,T144*$V$4)</f>
        <v>0</v>
      </c>
      <c r="V145" s="990">
        <f t="shared" si="92"/>
        <v>0</v>
      </c>
      <c r="W145" s="785">
        <f t="shared" si="83"/>
        <v>0</v>
      </c>
      <c r="X145" s="990">
        <f t="shared" si="79"/>
        <v>0</v>
      </c>
      <c r="Y145" s="785">
        <f t="shared" si="97"/>
        <v>0</v>
      </c>
      <c r="Z145" s="988">
        <f t="shared" si="98"/>
        <v>0</v>
      </c>
    </row>
    <row r="146" spans="1:26" x14ac:dyDescent="0.25">
      <c r="A146" s="988">
        <v>133</v>
      </c>
      <c r="B146" s="989">
        <f t="shared" si="87"/>
        <v>0</v>
      </c>
      <c r="C146" s="785">
        <f>IF(+$D$7=4,0,B145*$D$4)</f>
        <v>0</v>
      </c>
      <c r="D146" s="990">
        <f t="shared" si="88"/>
        <v>0</v>
      </c>
      <c r="E146" s="785">
        <f t="shared" si="86"/>
        <v>0</v>
      </c>
      <c r="F146" s="990">
        <f t="shared" si="77"/>
        <v>0</v>
      </c>
      <c r="G146" s="785">
        <f t="shared" si="93"/>
        <v>0</v>
      </c>
      <c r="H146" s="988">
        <f t="shared" si="94"/>
        <v>0</v>
      </c>
      <c r="J146" s="988">
        <v>133</v>
      </c>
      <c r="K146" s="989">
        <f t="shared" si="89"/>
        <v>0</v>
      </c>
      <c r="L146" s="785">
        <f>K145*$M$4</f>
        <v>0</v>
      </c>
      <c r="M146" s="990">
        <f t="shared" si="90"/>
        <v>0</v>
      </c>
      <c r="N146" s="785">
        <f t="shared" si="82"/>
        <v>0</v>
      </c>
      <c r="O146" s="990">
        <f t="shared" si="78"/>
        <v>0</v>
      </c>
      <c r="P146" s="785">
        <f t="shared" si="95"/>
        <v>0</v>
      </c>
      <c r="Q146" s="988">
        <f t="shared" si="96"/>
        <v>0</v>
      </c>
      <c r="S146" s="988">
        <v>133</v>
      </c>
      <c r="T146" s="989">
        <f t="shared" si="91"/>
        <v>0</v>
      </c>
      <c r="U146" s="785">
        <f>T145*$V$4</f>
        <v>0</v>
      </c>
      <c r="V146" s="990">
        <f t="shared" si="92"/>
        <v>0</v>
      </c>
      <c r="W146" s="785">
        <f t="shared" si="83"/>
        <v>0</v>
      </c>
      <c r="X146" s="990">
        <f t="shared" si="79"/>
        <v>0</v>
      </c>
      <c r="Y146" s="785">
        <f t="shared" si="97"/>
        <v>0</v>
      </c>
      <c r="Z146" s="988">
        <f t="shared" si="98"/>
        <v>0</v>
      </c>
    </row>
    <row r="147" spans="1:26" x14ac:dyDescent="0.25">
      <c r="A147" s="988">
        <v>134</v>
      </c>
      <c r="B147" s="989">
        <f t="shared" si="87"/>
        <v>0</v>
      </c>
      <c r="C147" s="785">
        <f>B146*$D$4</f>
        <v>0</v>
      </c>
      <c r="D147" s="990">
        <f t="shared" si="88"/>
        <v>0</v>
      </c>
      <c r="E147" s="785">
        <f t="shared" ref="E147:E152" si="99">IF(OR(C$6&gt;11,C147&lt;0.01),0,C$8-C147)</f>
        <v>0</v>
      </c>
      <c r="F147" s="990">
        <f t="shared" si="77"/>
        <v>0</v>
      </c>
      <c r="G147" s="785">
        <f t="shared" si="93"/>
        <v>0</v>
      </c>
      <c r="H147" s="988">
        <f t="shared" si="94"/>
        <v>0</v>
      </c>
      <c r="J147" s="988">
        <v>134</v>
      </c>
      <c r="K147" s="989">
        <f t="shared" si="89"/>
        <v>0</v>
      </c>
      <c r="L147" s="785">
        <f>IF(+$M$7=4,0,K146*$M$4)</f>
        <v>0</v>
      </c>
      <c r="M147" s="990">
        <f t="shared" si="90"/>
        <v>0</v>
      </c>
      <c r="N147" s="785">
        <f t="shared" si="82"/>
        <v>0</v>
      </c>
      <c r="O147" s="990">
        <f t="shared" si="78"/>
        <v>0</v>
      </c>
      <c r="P147" s="785">
        <f t="shared" si="95"/>
        <v>0</v>
      </c>
      <c r="Q147" s="988">
        <f t="shared" si="96"/>
        <v>0</v>
      </c>
      <c r="S147" s="988">
        <v>134</v>
      </c>
      <c r="T147" s="989">
        <f t="shared" si="91"/>
        <v>0</v>
      </c>
      <c r="U147" s="785">
        <f>IF(+$V$7=4,0,T146*$V$4)</f>
        <v>0</v>
      </c>
      <c r="V147" s="990">
        <f t="shared" si="92"/>
        <v>0</v>
      </c>
      <c r="W147" s="785">
        <f t="shared" si="83"/>
        <v>0</v>
      </c>
      <c r="X147" s="990">
        <f t="shared" si="79"/>
        <v>0</v>
      </c>
      <c r="Y147" s="785">
        <f t="shared" si="97"/>
        <v>0</v>
      </c>
      <c r="Z147" s="988">
        <f t="shared" si="98"/>
        <v>0</v>
      </c>
    </row>
    <row r="148" spans="1:26" x14ac:dyDescent="0.25">
      <c r="A148" s="988">
        <v>135</v>
      </c>
      <c r="B148" s="989">
        <f t="shared" si="87"/>
        <v>0</v>
      </c>
      <c r="C148" s="785">
        <f>IF(+$D$7=4,0,B147*$D$4)</f>
        <v>0</v>
      </c>
      <c r="D148" s="990">
        <f t="shared" si="88"/>
        <v>0</v>
      </c>
      <c r="E148" s="785">
        <f t="shared" si="99"/>
        <v>0</v>
      </c>
      <c r="F148" s="990">
        <f t="shared" si="77"/>
        <v>0</v>
      </c>
      <c r="G148" s="785">
        <f t="shared" si="93"/>
        <v>0</v>
      </c>
      <c r="H148" s="988">
        <f t="shared" si="94"/>
        <v>0</v>
      </c>
      <c r="J148" s="988">
        <v>135</v>
      </c>
      <c r="K148" s="989">
        <f t="shared" si="89"/>
        <v>0</v>
      </c>
      <c r="L148" s="785">
        <f>IF(+$M$7=4,0,K147*$M$4)</f>
        <v>0</v>
      </c>
      <c r="M148" s="990">
        <f t="shared" si="90"/>
        <v>0</v>
      </c>
      <c r="N148" s="785">
        <f t="shared" si="82"/>
        <v>0</v>
      </c>
      <c r="O148" s="990">
        <f t="shared" si="78"/>
        <v>0</v>
      </c>
      <c r="P148" s="785">
        <f t="shared" si="95"/>
        <v>0</v>
      </c>
      <c r="Q148" s="988">
        <f t="shared" si="96"/>
        <v>0</v>
      </c>
      <c r="S148" s="988">
        <v>135</v>
      </c>
      <c r="T148" s="989">
        <f t="shared" si="91"/>
        <v>0</v>
      </c>
      <c r="U148" s="785">
        <f>IF(+$V$7=4,0,T147*$V$4)</f>
        <v>0</v>
      </c>
      <c r="V148" s="990">
        <f t="shared" si="92"/>
        <v>0</v>
      </c>
      <c r="W148" s="785">
        <f t="shared" si="83"/>
        <v>0</v>
      </c>
      <c r="X148" s="990">
        <f t="shared" si="79"/>
        <v>0</v>
      </c>
      <c r="Y148" s="785">
        <f t="shared" si="97"/>
        <v>0</v>
      </c>
      <c r="Z148" s="988">
        <f t="shared" si="98"/>
        <v>0</v>
      </c>
    </row>
    <row r="149" spans="1:26" x14ac:dyDescent="0.25">
      <c r="A149" s="988">
        <v>136</v>
      </c>
      <c r="B149" s="989">
        <f t="shared" si="87"/>
        <v>0</v>
      </c>
      <c r="C149" s="785">
        <f>IF(+$D$7=4,0,B148*$D$4)</f>
        <v>0</v>
      </c>
      <c r="D149" s="990">
        <f t="shared" si="88"/>
        <v>0</v>
      </c>
      <c r="E149" s="785">
        <f t="shared" si="99"/>
        <v>0</v>
      </c>
      <c r="F149" s="990">
        <f t="shared" si="77"/>
        <v>0</v>
      </c>
      <c r="G149" s="785">
        <f t="shared" si="93"/>
        <v>0</v>
      </c>
      <c r="H149" s="988">
        <f t="shared" si="94"/>
        <v>0</v>
      </c>
      <c r="J149" s="988">
        <v>136</v>
      </c>
      <c r="K149" s="989">
        <f t="shared" si="89"/>
        <v>0</v>
      </c>
      <c r="L149" s="785">
        <f>K148*$M$4</f>
        <v>0</v>
      </c>
      <c r="M149" s="990">
        <f t="shared" si="90"/>
        <v>0</v>
      </c>
      <c r="N149" s="785">
        <f t="shared" si="82"/>
        <v>0</v>
      </c>
      <c r="O149" s="990">
        <f t="shared" si="78"/>
        <v>0</v>
      </c>
      <c r="P149" s="785">
        <f t="shared" si="95"/>
        <v>0</v>
      </c>
      <c r="Q149" s="988">
        <f t="shared" si="96"/>
        <v>0</v>
      </c>
      <c r="S149" s="988">
        <v>136</v>
      </c>
      <c r="T149" s="989">
        <f t="shared" si="91"/>
        <v>0</v>
      </c>
      <c r="U149" s="785">
        <f>T148*$V$4</f>
        <v>0</v>
      </c>
      <c r="V149" s="990">
        <f t="shared" si="92"/>
        <v>0</v>
      </c>
      <c r="W149" s="785">
        <f t="shared" si="83"/>
        <v>0</v>
      </c>
      <c r="X149" s="990">
        <f t="shared" si="79"/>
        <v>0</v>
      </c>
      <c r="Y149" s="785">
        <f t="shared" si="97"/>
        <v>0</v>
      </c>
      <c r="Z149" s="988">
        <f t="shared" si="98"/>
        <v>0</v>
      </c>
    </row>
    <row r="150" spans="1:26" x14ac:dyDescent="0.25">
      <c r="A150" s="988">
        <v>137</v>
      </c>
      <c r="B150" s="989">
        <f t="shared" si="87"/>
        <v>0</v>
      </c>
      <c r="C150" s="785">
        <f>B149*$D$4</f>
        <v>0</v>
      </c>
      <c r="D150" s="990">
        <f t="shared" si="88"/>
        <v>0</v>
      </c>
      <c r="E150" s="785">
        <f t="shared" si="99"/>
        <v>0</v>
      </c>
      <c r="F150" s="990">
        <f t="shared" si="77"/>
        <v>0</v>
      </c>
      <c r="G150" s="785">
        <f t="shared" si="93"/>
        <v>0</v>
      </c>
      <c r="H150" s="988">
        <f t="shared" si="94"/>
        <v>0</v>
      </c>
      <c r="J150" s="988">
        <v>137</v>
      </c>
      <c r="K150" s="989">
        <f t="shared" si="89"/>
        <v>0</v>
      </c>
      <c r="L150" s="785">
        <f>IF(+$M$7=4,0,K149*$M$4)</f>
        <v>0</v>
      </c>
      <c r="M150" s="990">
        <f t="shared" si="90"/>
        <v>0</v>
      </c>
      <c r="N150" s="785">
        <f t="shared" si="82"/>
        <v>0</v>
      </c>
      <c r="O150" s="990">
        <f t="shared" si="78"/>
        <v>0</v>
      </c>
      <c r="P150" s="785">
        <f t="shared" si="95"/>
        <v>0</v>
      </c>
      <c r="Q150" s="988">
        <f t="shared" si="96"/>
        <v>0</v>
      </c>
      <c r="S150" s="988">
        <v>137</v>
      </c>
      <c r="T150" s="989">
        <f t="shared" si="91"/>
        <v>0</v>
      </c>
      <c r="U150" s="785">
        <f>IF(+$V$7=4,0,T149*$V$4)</f>
        <v>0</v>
      </c>
      <c r="V150" s="990">
        <f t="shared" si="92"/>
        <v>0</v>
      </c>
      <c r="W150" s="785">
        <f t="shared" si="83"/>
        <v>0</v>
      </c>
      <c r="X150" s="990">
        <f t="shared" si="79"/>
        <v>0</v>
      </c>
      <c r="Y150" s="785">
        <f t="shared" si="97"/>
        <v>0</v>
      </c>
      <c r="Z150" s="988">
        <f t="shared" si="98"/>
        <v>0</v>
      </c>
    </row>
    <row r="151" spans="1:26" x14ac:dyDescent="0.25">
      <c r="A151" s="988">
        <v>138</v>
      </c>
      <c r="B151" s="989">
        <f t="shared" si="87"/>
        <v>0</v>
      </c>
      <c r="C151" s="785">
        <f>IF(+$D$7=4,0,B150*$D$4)</f>
        <v>0</v>
      </c>
      <c r="D151" s="990">
        <f t="shared" si="88"/>
        <v>0</v>
      </c>
      <c r="E151" s="785">
        <f t="shared" si="99"/>
        <v>0</v>
      </c>
      <c r="F151" s="990">
        <f t="shared" si="77"/>
        <v>0</v>
      </c>
      <c r="G151" s="785">
        <f t="shared" si="93"/>
        <v>0</v>
      </c>
      <c r="H151" s="988">
        <f t="shared" si="94"/>
        <v>0</v>
      </c>
      <c r="J151" s="988">
        <v>138</v>
      </c>
      <c r="K151" s="989">
        <f t="shared" si="89"/>
        <v>0</v>
      </c>
      <c r="L151" s="785">
        <f>IF(+$M$7=4,0,K150*$M$4)</f>
        <v>0</v>
      </c>
      <c r="M151" s="990">
        <f t="shared" si="90"/>
        <v>0</v>
      </c>
      <c r="N151" s="785">
        <f t="shared" si="82"/>
        <v>0</v>
      </c>
      <c r="O151" s="990">
        <f t="shared" si="78"/>
        <v>0</v>
      </c>
      <c r="P151" s="785">
        <f t="shared" si="95"/>
        <v>0</v>
      </c>
      <c r="Q151" s="988">
        <f t="shared" si="96"/>
        <v>0</v>
      </c>
      <c r="S151" s="988">
        <v>138</v>
      </c>
      <c r="T151" s="989">
        <f t="shared" si="91"/>
        <v>0</v>
      </c>
      <c r="U151" s="785">
        <f>IF(+$V$7=4,0,T150*$V$4)</f>
        <v>0</v>
      </c>
      <c r="V151" s="990">
        <f t="shared" si="92"/>
        <v>0</v>
      </c>
      <c r="W151" s="785">
        <f t="shared" si="83"/>
        <v>0</v>
      </c>
      <c r="X151" s="990">
        <f t="shared" si="79"/>
        <v>0</v>
      </c>
      <c r="Y151" s="785">
        <f t="shared" si="97"/>
        <v>0</v>
      </c>
      <c r="Z151" s="988">
        <f t="shared" si="98"/>
        <v>0</v>
      </c>
    </row>
    <row r="152" spans="1:26" x14ac:dyDescent="0.25">
      <c r="A152" s="988">
        <v>139</v>
      </c>
      <c r="B152" s="989">
        <f t="shared" si="87"/>
        <v>0</v>
      </c>
      <c r="C152" s="785">
        <f>IF(+$D$7=4,0,B151*$D$4)</f>
        <v>0</v>
      </c>
      <c r="D152" s="990">
        <f t="shared" si="88"/>
        <v>0</v>
      </c>
      <c r="E152" s="785">
        <f t="shared" si="99"/>
        <v>0</v>
      </c>
      <c r="F152" s="990">
        <f t="shared" si="77"/>
        <v>0</v>
      </c>
      <c r="G152" s="785">
        <f t="shared" si="93"/>
        <v>0</v>
      </c>
      <c r="H152" s="988">
        <f t="shared" si="94"/>
        <v>0</v>
      </c>
      <c r="J152" s="988">
        <v>139</v>
      </c>
      <c r="K152" s="989">
        <f t="shared" si="89"/>
        <v>0</v>
      </c>
      <c r="L152" s="785">
        <f>K151*$M$4</f>
        <v>0</v>
      </c>
      <c r="M152" s="990">
        <f t="shared" si="90"/>
        <v>0</v>
      </c>
      <c r="N152" s="785">
        <f t="shared" si="82"/>
        <v>0</v>
      </c>
      <c r="O152" s="990">
        <f t="shared" si="78"/>
        <v>0</v>
      </c>
      <c r="P152" s="785">
        <f t="shared" si="95"/>
        <v>0</v>
      </c>
      <c r="Q152" s="988">
        <f t="shared" si="96"/>
        <v>0</v>
      </c>
      <c r="S152" s="988">
        <v>139</v>
      </c>
      <c r="T152" s="989">
        <f t="shared" si="91"/>
        <v>0</v>
      </c>
      <c r="U152" s="785">
        <f>T151*$V$4</f>
        <v>0</v>
      </c>
      <c r="V152" s="990">
        <f t="shared" si="92"/>
        <v>0</v>
      </c>
      <c r="W152" s="785">
        <f t="shared" si="83"/>
        <v>0</v>
      </c>
      <c r="X152" s="990">
        <f t="shared" si="79"/>
        <v>0</v>
      </c>
      <c r="Y152" s="785">
        <f t="shared" si="97"/>
        <v>0</v>
      </c>
      <c r="Z152" s="988">
        <f t="shared" si="98"/>
        <v>0</v>
      </c>
    </row>
    <row r="153" spans="1:26" x14ac:dyDescent="0.25">
      <c r="A153" s="988">
        <v>140</v>
      </c>
      <c r="B153" s="989">
        <f t="shared" si="87"/>
        <v>0</v>
      </c>
      <c r="C153" s="785">
        <f>B152*$D$4</f>
        <v>0</v>
      </c>
      <c r="D153" s="990">
        <f t="shared" si="88"/>
        <v>0</v>
      </c>
      <c r="E153" s="785">
        <f t="shared" ref="E153:E158" si="100">IF(OR(C$6&gt;11.5,C153&lt;0.01),0,C$8-C153)</f>
        <v>0</v>
      </c>
      <c r="F153" s="990">
        <f t="shared" si="77"/>
        <v>0</v>
      </c>
      <c r="G153" s="785">
        <f t="shared" si="93"/>
        <v>0</v>
      </c>
      <c r="H153" s="988">
        <f t="shared" si="94"/>
        <v>0</v>
      </c>
      <c r="J153" s="988">
        <v>140</v>
      </c>
      <c r="K153" s="989">
        <f t="shared" si="89"/>
        <v>0</v>
      </c>
      <c r="L153" s="785">
        <f>IF(+$M$7=4,0,K152*$M$4)</f>
        <v>0</v>
      </c>
      <c r="M153" s="990">
        <f t="shared" si="90"/>
        <v>0</v>
      </c>
      <c r="N153" s="785">
        <f t="shared" si="82"/>
        <v>0</v>
      </c>
      <c r="O153" s="990">
        <f t="shared" si="78"/>
        <v>0</v>
      </c>
      <c r="P153" s="785">
        <f t="shared" si="95"/>
        <v>0</v>
      </c>
      <c r="Q153" s="988">
        <f t="shared" si="96"/>
        <v>0</v>
      </c>
      <c r="S153" s="988">
        <v>140</v>
      </c>
      <c r="T153" s="989">
        <f t="shared" si="91"/>
        <v>0</v>
      </c>
      <c r="U153" s="785">
        <f>IF(+$V$7=4,0,T152*$V$4)</f>
        <v>0</v>
      </c>
      <c r="V153" s="990">
        <f t="shared" si="92"/>
        <v>0</v>
      </c>
      <c r="W153" s="785">
        <f t="shared" si="83"/>
        <v>0</v>
      </c>
      <c r="X153" s="990">
        <f t="shared" si="79"/>
        <v>0</v>
      </c>
      <c r="Y153" s="785">
        <f t="shared" si="97"/>
        <v>0</v>
      </c>
      <c r="Z153" s="988">
        <f t="shared" si="98"/>
        <v>0</v>
      </c>
    </row>
    <row r="154" spans="1:26" x14ac:dyDescent="0.25">
      <c r="A154" s="988">
        <v>141</v>
      </c>
      <c r="B154" s="989">
        <f t="shared" si="87"/>
        <v>0</v>
      </c>
      <c r="C154" s="785">
        <f>IF(+$D$7=4,0,B153*$D$4)</f>
        <v>0</v>
      </c>
      <c r="D154" s="990">
        <f t="shared" si="88"/>
        <v>0</v>
      </c>
      <c r="E154" s="785">
        <f t="shared" si="100"/>
        <v>0</v>
      </c>
      <c r="F154" s="990">
        <f t="shared" si="77"/>
        <v>0</v>
      </c>
      <c r="G154" s="785">
        <f t="shared" si="93"/>
        <v>0</v>
      </c>
      <c r="H154" s="988">
        <f t="shared" si="94"/>
        <v>0</v>
      </c>
      <c r="J154" s="988">
        <v>141</v>
      </c>
      <c r="K154" s="989">
        <f t="shared" si="89"/>
        <v>0</v>
      </c>
      <c r="L154" s="785">
        <f>IF(+$M$7=4,0,K153*$M$4)</f>
        <v>0</v>
      </c>
      <c r="M154" s="990">
        <f t="shared" si="90"/>
        <v>0</v>
      </c>
      <c r="N154" s="785">
        <f t="shared" si="82"/>
        <v>0</v>
      </c>
      <c r="O154" s="990">
        <f t="shared" si="78"/>
        <v>0</v>
      </c>
      <c r="P154" s="785">
        <f t="shared" si="95"/>
        <v>0</v>
      </c>
      <c r="Q154" s="988">
        <f t="shared" si="96"/>
        <v>0</v>
      </c>
      <c r="S154" s="988">
        <v>141</v>
      </c>
      <c r="T154" s="989">
        <f t="shared" si="91"/>
        <v>0</v>
      </c>
      <c r="U154" s="785">
        <f>IF(+$V$7=4,0,T153*$V$4)</f>
        <v>0</v>
      </c>
      <c r="V154" s="990">
        <f t="shared" si="92"/>
        <v>0</v>
      </c>
      <c r="W154" s="785">
        <f t="shared" si="83"/>
        <v>0</v>
      </c>
      <c r="X154" s="990">
        <f t="shared" si="79"/>
        <v>0</v>
      </c>
      <c r="Y154" s="785">
        <f t="shared" si="97"/>
        <v>0</v>
      </c>
      <c r="Z154" s="988">
        <f t="shared" si="98"/>
        <v>0</v>
      </c>
    </row>
    <row r="155" spans="1:26" x14ac:dyDescent="0.25">
      <c r="A155" s="988">
        <v>142</v>
      </c>
      <c r="B155" s="989">
        <f t="shared" si="87"/>
        <v>0</v>
      </c>
      <c r="C155" s="785">
        <f>IF(+$D$7=4,0,B154*$D$4)</f>
        <v>0</v>
      </c>
      <c r="D155" s="990">
        <f t="shared" si="88"/>
        <v>0</v>
      </c>
      <c r="E155" s="785">
        <f t="shared" si="100"/>
        <v>0</v>
      </c>
      <c r="F155" s="990">
        <f t="shared" si="77"/>
        <v>0</v>
      </c>
      <c r="G155" s="785">
        <f t="shared" si="93"/>
        <v>0</v>
      </c>
      <c r="H155" s="988">
        <f t="shared" si="94"/>
        <v>0</v>
      </c>
      <c r="J155" s="988">
        <v>142</v>
      </c>
      <c r="K155" s="989">
        <f t="shared" si="89"/>
        <v>0</v>
      </c>
      <c r="L155" s="785">
        <f>K154*$M$4</f>
        <v>0</v>
      </c>
      <c r="M155" s="990">
        <f t="shared" si="90"/>
        <v>0</v>
      </c>
      <c r="N155" s="785">
        <f t="shared" si="82"/>
        <v>0</v>
      </c>
      <c r="O155" s="990">
        <f t="shared" si="78"/>
        <v>0</v>
      </c>
      <c r="P155" s="785">
        <f t="shared" si="95"/>
        <v>0</v>
      </c>
      <c r="Q155" s="988">
        <f t="shared" si="96"/>
        <v>0</v>
      </c>
      <c r="S155" s="988">
        <v>142</v>
      </c>
      <c r="T155" s="989">
        <f t="shared" si="91"/>
        <v>0</v>
      </c>
      <c r="U155" s="785">
        <f>T154*$V$4</f>
        <v>0</v>
      </c>
      <c r="V155" s="990">
        <f t="shared" si="92"/>
        <v>0</v>
      </c>
      <c r="W155" s="785">
        <f t="shared" si="83"/>
        <v>0</v>
      </c>
      <c r="X155" s="990">
        <f t="shared" si="79"/>
        <v>0</v>
      </c>
      <c r="Y155" s="785">
        <f t="shared" si="97"/>
        <v>0</v>
      </c>
      <c r="Z155" s="988">
        <f t="shared" si="98"/>
        <v>0</v>
      </c>
    </row>
    <row r="156" spans="1:26" x14ac:dyDescent="0.25">
      <c r="A156" s="988">
        <v>143</v>
      </c>
      <c r="B156" s="989">
        <f t="shared" si="87"/>
        <v>0</v>
      </c>
      <c r="C156" s="785">
        <f>B155*$D$4</f>
        <v>0</v>
      </c>
      <c r="D156" s="990">
        <f t="shared" si="88"/>
        <v>0</v>
      </c>
      <c r="E156" s="785">
        <f t="shared" si="100"/>
        <v>0</v>
      </c>
      <c r="F156" s="990">
        <f t="shared" si="77"/>
        <v>0</v>
      </c>
      <c r="G156" s="785">
        <f t="shared" si="93"/>
        <v>0</v>
      </c>
      <c r="H156" s="988">
        <f t="shared" si="94"/>
        <v>0</v>
      </c>
      <c r="J156" s="988">
        <v>143</v>
      </c>
      <c r="K156" s="989">
        <f t="shared" si="89"/>
        <v>0</v>
      </c>
      <c r="L156" s="785">
        <f>IF(+$M$7=4,0,K155*$M$4)</f>
        <v>0</v>
      </c>
      <c r="M156" s="990">
        <f t="shared" si="90"/>
        <v>0</v>
      </c>
      <c r="N156" s="785">
        <f t="shared" si="82"/>
        <v>0</v>
      </c>
      <c r="O156" s="990">
        <f t="shared" si="78"/>
        <v>0</v>
      </c>
      <c r="P156" s="785">
        <f t="shared" si="95"/>
        <v>0</v>
      </c>
      <c r="Q156" s="988">
        <f t="shared" si="96"/>
        <v>0</v>
      </c>
      <c r="S156" s="988">
        <v>143</v>
      </c>
      <c r="T156" s="989">
        <f t="shared" si="91"/>
        <v>0</v>
      </c>
      <c r="U156" s="785">
        <f>IF(+$V$7=4,0,T155*$V$4)</f>
        <v>0</v>
      </c>
      <c r="V156" s="990">
        <f t="shared" si="92"/>
        <v>0</v>
      </c>
      <c r="W156" s="785">
        <f t="shared" si="83"/>
        <v>0</v>
      </c>
      <c r="X156" s="990">
        <f t="shared" si="79"/>
        <v>0</v>
      </c>
      <c r="Y156" s="785">
        <f t="shared" si="97"/>
        <v>0</v>
      </c>
      <c r="Z156" s="988">
        <f t="shared" si="98"/>
        <v>0</v>
      </c>
    </row>
    <row r="157" spans="1:26" x14ac:dyDescent="0.25">
      <c r="A157" s="988">
        <v>144</v>
      </c>
      <c r="B157" s="989">
        <f t="shared" si="87"/>
        <v>0</v>
      </c>
      <c r="C157" s="785">
        <f>IF(+$D$7=4,0,B156*$D$4)</f>
        <v>0</v>
      </c>
      <c r="D157" s="990">
        <f t="shared" si="88"/>
        <v>0</v>
      </c>
      <c r="E157" s="785">
        <f t="shared" si="100"/>
        <v>0</v>
      </c>
      <c r="F157" s="990">
        <f t="shared" si="77"/>
        <v>0</v>
      </c>
      <c r="G157" s="785">
        <f t="shared" si="93"/>
        <v>0</v>
      </c>
      <c r="H157" s="988">
        <f t="shared" si="94"/>
        <v>0</v>
      </c>
      <c r="J157" s="988">
        <v>144</v>
      </c>
      <c r="K157" s="989">
        <f t="shared" si="89"/>
        <v>0</v>
      </c>
      <c r="L157" s="785">
        <f>IF(+$M$7=4,0,K156*$M$4)</f>
        <v>0</v>
      </c>
      <c r="M157" s="990">
        <f t="shared" si="90"/>
        <v>0</v>
      </c>
      <c r="N157" s="785">
        <f t="shared" si="82"/>
        <v>0</v>
      </c>
      <c r="O157" s="990">
        <f t="shared" si="78"/>
        <v>0</v>
      </c>
      <c r="P157" s="785">
        <f t="shared" si="95"/>
        <v>0</v>
      </c>
      <c r="Q157" s="988">
        <f t="shared" si="96"/>
        <v>0</v>
      </c>
      <c r="S157" s="988">
        <v>144</v>
      </c>
      <c r="T157" s="989">
        <f t="shared" si="91"/>
        <v>0</v>
      </c>
      <c r="U157" s="785">
        <f>IF(+$V$7=4,0,T156*$V$4)</f>
        <v>0</v>
      </c>
      <c r="V157" s="990">
        <f t="shared" si="92"/>
        <v>0</v>
      </c>
      <c r="W157" s="785">
        <f t="shared" si="83"/>
        <v>0</v>
      </c>
      <c r="X157" s="990">
        <f t="shared" si="79"/>
        <v>0</v>
      </c>
      <c r="Y157" s="785">
        <f t="shared" si="97"/>
        <v>0</v>
      </c>
      <c r="Z157" s="988">
        <f t="shared" si="98"/>
        <v>0</v>
      </c>
    </row>
    <row r="158" spans="1:26" x14ac:dyDescent="0.25">
      <c r="A158" s="988">
        <v>145</v>
      </c>
      <c r="B158" s="989">
        <f t="shared" si="87"/>
        <v>0</v>
      </c>
      <c r="C158" s="785">
        <f>IF(+$D$7=4,0,B157*$D$4)</f>
        <v>0</v>
      </c>
      <c r="D158" s="990">
        <f t="shared" si="88"/>
        <v>0</v>
      </c>
      <c r="E158" s="785">
        <f t="shared" si="100"/>
        <v>0</v>
      </c>
      <c r="F158" s="990">
        <f t="shared" si="77"/>
        <v>0</v>
      </c>
      <c r="G158" s="785">
        <f t="shared" si="93"/>
        <v>0</v>
      </c>
      <c r="H158" s="988">
        <f t="shared" si="94"/>
        <v>0</v>
      </c>
      <c r="J158" s="988">
        <v>145</v>
      </c>
      <c r="K158" s="989">
        <f t="shared" si="89"/>
        <v>0</v>
      </c>
      <c r="L158" s="785">
        <f>K157*$M$4</f>
        <v>0</v>
      </c>
      <c r="M158" s="990">
        <f t="shared" si="90"/>
        <v>0</v>
      </c>
      <c r="N158" s="785">
        <f t="shared" si="82"/>
        <v>0</v>
      </c>
      <c r="O158" s="990">
        <f t="shared" si="78"/>
        <v>0</v>
      </c>
      <c r="P158" s="785">
        <f t="shared" si="95"/>
        <v>0</v>
      </c>
      <c r="Q158" s="988">
        <f t="shared" si="96"/>
        <v>0</v>
      </c>
      <c r="S158" s="988">
        <v>145</v>
      </c>
      <c r="T158" s="989">
        <f t="shared" si="91"/>
        <v>0</v>
      </c>
      <c r="U158" s="785">
        <f>T157*$V$4</f>
        <v>0</v>
      </c>
      <c r="V158" s="990">
        <f t="shared" si="92"/>
        <v>0</v>
      </c>
      <c r="W158" s="785">
        <f t="shared" si="83"/>
        <v>0</v>
      </c>
      <c r="X158" s="990">
        <f t="shared" si="79"/>
        <v>0</v>
      </c>
      <c r="Y158" s="785">
        <f t="shared" si="97"/>
        <v>0</v>
      </c>
      <c r="Z158" s="988">
        <f t="shared" si="98"/>
        <v>0</v>
      </c>
    </row>
    <row r="159" spans="1:26" x14ac:dyDescent="0.25">
      <c r="A159" s="988">
        <v>146</v>
      </c>
      <c r="B159" s="989">
        <f t="shared" si="87"/>
        <v>0</v>
      </c>
      <c r="C159" s="785">
        <f>B158*$D$4</f>
        <v>0</v>
      </c>
      <c r="D159" s="990">
        <f t="shared" si="88"/>
        <v>0</v>
      </c>
      <c r="E159" s="785">
        <f t="shared" ref="E159:E164" si="101">IF(OR(C$6&gt;12,C159&lt;0.01),0,C$8-C159)</f>
        <v>0</v>
      </c>
      <c r="F159" s="990">
        <f t="shared" si="77"/>
        <v>0</v>
      </c>
      <c r="G159" s="785">
        <f t="shared" si="93"/>
        <v>0</v>
      </c>
      <c r="H159" s="988">
        <f t="shared" si="94"/>
        <v>0</v>
      </c>
      <c r="J159" s="988">
        <v>146</v>
      </c>
      <c r="K159" s="989">
        <f t="shared" si="89"/>
        <v>0</v>
      </c>
      <c r="L159" s="785">
        <f>IF(+$M$7=4,0,K158*$M$4)</f>
        <v>0</v>
      </c>
      <c r="M159" s="990">
        <f t="shared" si="90"/>
        <v>0</v>
      </c>
      <c r="N159" s="785">
        <f t="shared" si="82"/>
        <v>0</v>
      </c>
      <c r="O159" s="990">
        <f t="shared" si="78"/>
        <v>0</v>
      </c>
      <c r="P159" s="785">
        <f t="shared" si="95"/>
        <v>0</v>
      </c>
      <c r="Q159" s="988">
        <f t="shared" si="96"/>
        <v>0</v>
      </c>
      <c r="S159" s="988">
        <v>146</v>
      </c>
      <c r="T159" s="989">
        <f t="shared" si="91"/>
        <v>0</v>
      </c>
      <c r="U159" s="785">
        <f>IF(+$V$7=4,0,T158*$V$4)</f>
        <v>0</v>
      </c>
      <c r="V159" s="990">
        <f t="shared" si="92"/>
        <v>0</v>
      </c>
      <c r="W159" s="785">
        <f t="shared" si="83"/>
        <v>0</v>
      </c>
      <c r="X159" s="990">
        <f t="shared" si="79"/>
        <v>0</v>
      </c>
      <c r="Y159" s="785">
        <f t="shared" si="97"/>
        <v>0</v>
      </c>
      <c r="Z159" s="988">
        <f t="shared" si="98"/>
        <v>0</v>
      </c>
    </row>
    <row r="160" spans="1:26" x14ac:dyDescent="0.25">
      <c r="A160" s="988">
        <v>147</v>
      </c>
      <c r="B160" s="989">
        <f t="shared" si="87"/>
        <v>0</v>
      </c>
      <c r="C160" s="785">
        <f>IF(+$D$7=4,0,B159*$D$4)</f>
        <v>0</v>
      </c>
      <c r="D160" s="990">
        <f t="shared" si="88"/>
        <v>0</v>
      </c>
      <c r="E160" s="785">
        <f t="shared" si="101"/>
        <v>0</v>
      </c>
      <c r="F160" s="990">
        <f t="shared" si="77"/>
        <v>0</v>
      </c>
      <c r="G160" s="785">
        <f t="shared" si="93"/>
        <v>0</v>
      </c>
      <c r="H160" s="988">
        <f t="shared" si="94"/>
        <v>0</v>
      </c>
      <c r="J160" s="988">
        <v>147</v>
      </c>
      <c r="K160" s="989">
        <f t="shared" si="89"/>
        <v>0</v>
      </c>
      <c r="L160" s="785">
        <f>IF(+$M$7=4,0,K159*$M$4)</f>
        <v>0</v>
      </c>
      <c r="M160" s="990">
        <f t="shared" si="90"/>
        <v>0</v>
      </c>
      <c r="N160" s="785">
        <f t="shared" si="82"/>
        <v>0</v>
      </c>
      <c r="O160" s="990">
        <f t="shared" si="78"/>
        <v>0</v>
      </c>
      <c r="P160" s="785">
        <f t="shared" si="95"/>
        <v>0</v>
      </c>
      <c r="Q160" s="988">
        <f t="shared" si="96"/>
        <v>0</v>
      </c>
      <c r="S160" s="988">
        <v>147</v>
      </c>
      <c r="T160" s="989">
        <f t="shared" si="91"/>
        <v>0</v>
      </c>
      <c r="U160" s="785">
        <f>IF(+$V$7=4,0,T159*$V$4)</f>
        <v>0</v>
      </c>
      <c r="V160" s="990">
        <f t="shared" si="92"/>
        <v>0</v>
      </c>
      <c r="W160" s="785">
        <f t="shared" si="83"/>
        <v>0</v>
      </c>
      <c r="X160" s="990">
        <f t="shared" si="79"/>
        <v>0</v>
      </c>
      <c r="Y160" s="785">
        <f t="shared" si="97"/>
        <v>0</v>
      </c>
      <c r="Z160" s="988">
        <f t="shared" si="98"/>
        <v>0</v>
      </c>
    </row>
    <row r="161" spans="1:26" x14ac:dyDescent="0.25">
      <c r="A161" s="988">
        <v>148</v>
      </c>
      <c r="B161" s="989">
        <f t="shared" si="87"/>
        <v>0</v>
      </c>
      <c r="C161" s="785">
        <f>IF(+$D$7=4,0,B160*$D$4)</f>
        <v>0</v>
      </c>
      <c r="D161" s="990">
        <f t="shared" si="88"/>
        <v>0</v>
      </c>
      <c r="E161" s="785">
        <f t="shared" si="101"/>
        <v>0</v>
      </c>
      <c r="F161" s="990">
        <f t="shared" si="77"/>
        <v>0</v>
      </c>
      <c r="G161" s="785">
        <f t="shared" si="93"/>
        <v>0</v>
      </c>
      <c r="H161" s="988">
        <f t="shared" si="94"/>
        <v>0</v>
      </c>
      <c r="J161" s="988">
        <v>148</v>
      </c>
      <c r="K161" s="989">
        <f t="shared" si="89"/>
        <v>0</v>
      </c>
      <c r="L161" s="785">
        <f>K160*$M$4</f>
        <v>0</v>
      </c>
      <c r="M161" s="990">
        <f t="shared" si="90"/>
        <v>0</v>
      </c>
      <c r="N161" s="785">
        <f t="shared" si="82"/>
        <v>0</v>
      </c>
      <c r="O161" s="990">
        <f t="shared" si="78"/>
        <v>0</v>
      </c>
      <c r="P161" s="785">
        <f t="shared" si="95"/>
        <v>0</v>
      </c>
      <c r="Q161" s="988">
        <f t="shared" si="96"/>
        <v>0</v>
      </c>
      <c r="S161" s="988">
        <v>148</v>
      </c>
      <c r="T161" s="989">
        <f t="shared" si="91"/>
        <v>0</v>
      </c>
      <c r="U161" s="785">
        <f>T160*$V$4</f>
        <v>0</v>
      </c>
      <c r="V161" s="990">
        <f t="shared" si="92"/>
        <v>0</v>
      </c>
      <c r="W161" s="785">
        <f t="shared" si="83"/>
        <v>0</v>
      </c>
      <c r="X161" s="990">
        <f t="shared" si="79"/>
        <v>0</v>
      </c>
      <c r="Y161" s="785">
        <f t="shared" si="97"/>
        <v>0</v>
      </c>
      <c r="Z161" s="988">
        <f t="shared" si="98"/>
        <v>0</v>
      </c>
    </row>
    <row r="162" spans="1:26" x14ac:dyDescent="0.25">
      <c r="A162" s="988">
        <v>149</v>
      </c>
      <c r="B162" s="989">
        <f t="shared" si="87"/>
        <v>0</v>
      </c>
      <c r="C162" s="785">
        <f>B161*$D$4</f>
        <v>0</v>
      </c>
      <c r="D162" s="990">
        <f t="shared" si="88"/>
        <v>0</v>
      </c>
      <c r="E162" s="785">
        <f t="shared" si="101"/>
        <v>0</v>
      </c>
      <c r="F162" s="990">
        <f t="shared" si="77"/>
        <v>0</v>
      </c>
      <c r="G162" s="785">
        <f t="shared" si="93"/>
        <v>0</v>
      </c>
      <c r="H162" s="988">
        <f t="shared" si="94"/>
        <v>0</v>
      </c>
      <c r="J162" s="988">
        <v>149</v>
      </c>
      <c r="K162" s="989">
        <f t="shared" si="89"/>
        <v>0</v>
      </c>
      <c r="L162" s="785">
        <f>IF(+$M$7=4,0,K161*$M$4)</f>
        <v>0</v>
      </c>
      <c r="M162" s="990">
        <f t="shared" si="90"/>
        <v>0</v>
      </c>
      <c r="N162" s="785">
        <f t="shared" si="82"/>
        <v>0</v>
      </c>
      <c r="O162" s="990">
        <f t="shared" si="78"/>
        <v>0</v>
      </c>
      <c r="P162" s="785">
        <f t="shared" si="95"/>
        <v>0</v>
      </c>
      <c r="Q162" s="988">
        <f t="shared" si="96"/>
        <v>0</v>
      </c>
      <c r="S162" s="988">
        <v>149</v>
      </c>
      <c r="T162" s="989">
        <f t="shared" si="91"/>
        <v>0</v>
      </c>
      <c r="U162" s="785">
        <f>IF(+$V$7=4,0,T161*$V$4)</f>
        <v>0</v>
      </c>
      <c r="V162" s="990">
        <f t="shared" si="92"/>
        <v>0</v>
      </c>
      <c r="W162" s="785">
        <f t="shared" si="83"/>
        <v>0</v>
      </c>
      <c r="X162" s="990">
        <f t="shared" si="79"/>
        <v>0</v>
      </c>
      <c r="Y162" s="785">
        <f t="shared" si="97"/>
        <v>0</v>
      </c>
      <c r="Z162" s="988">
        <f t="shared" si="98"/>
        <v>0</v>
      </c>
    </row>
    <row r="163" spans="1:26" x14ac:dyDescent="0.25">
      <c r="A163" s="988">
        <v>150</v>
      </c>
      <c r="B163" s="989">
        <f t="shared" si="87"/>
        <v>0</v>
      </c>
      <c r="C163" s="785">
        <f>IF(+$D$7=4,0,B162*$D$4)</f>
        <v>0</v>
      </c>
      <c r="D163" s="990">
        <f t="shared" si="88"/>
        <v>0</v>
      </c>
      <c r="E163" s="785">
        <f t="shared" si="101"/>
        <v>0</v>
      </c>
      <c r="F163" s="990">
        <f t="shared" si="77"/>
        <v>0</v>
      </c>
      <c r="G163" s="785">
        <f t="shared" si="93"/>
        <v>0</v>
      </c>
      <c r="H163" s="988">
        <f t="shared" si="94"/>
        <v>0</v>
      </c>
      <c r="J163" s="988">
        <v>150</v>
      </c>
      <c r="K163" s="989">
        <f t="shared" si="89"/>
        <v>0</v>
      </c>
      <c r="L163" s="785">
        <f>IF(+$M$7=4,0,K162*$M$4)</f>
        <v>0</v>
      </c>
      <c r="M163" s="990">
        <f t="shared" si="90"/>
        <v>0</v>
      </c>
      <c r="N163" s="785">
        <f t="shared" si="82"/>
        <v>0</v>
      </c>
      <c r="O163" s="990">
        <f t="shared" si="78"/>
        <v>0</v>
      </c>
      <c r="P163" s="785">
        <f t="shared" si="95"/>
        <v>0</v>
      </c>
      <c r="Q163" s="988">
        <f t="shared" si="96"/>
        <v>0</v>
      </c>
      <c r="S163" s="988">
        <v>150</v>
      </c>
      <c r="T163" s="989">
        <f t="shared" si="91"/>
        <v>0</v>
      </c>
      <c r="U163" s="785">
        <f>IF(+$V$7=4,0,T162*$V$4)</f>
        <v>0</v>
      </c>
      <c r="V163" s="990">
        <f t="shared" si="92"/>
        <v>0</v>
      </c>
      <c r="W163" s="785">
        <f t="shared" si="83"/>
        <v>0</v>
      </c>
      <c r="X163" s="990">
        <f t="shared" si="79"/>
        <v>0</v>
      </c>
      <c r="Y163" s="785">
        <f t="shared" si="97"/>
        <v>0</v>
      </c>
      <c r="Z163" s="988">
        <f t="shared" si="98"/>
        <v>0</v>
      </c>
    </row>
    <row r="164" spans="1:26" x14ac:dyDescent="0.25">
      <c r="A164" s="988">
        <v>151</v>
      </c>
      <c r="B164" s="989">
        <f t="shared" si="87"/>
        <v>0</v>
      </c>
      <c r="C164" s="785">
        <f>IF(+$D$7=4,0,B163*$D$4)</f>
        <v>0</v>
      </c>
      <c r="D164" s="990">
        <f t="shared" si="88"/>
        <v>0</v>
      </c>
      <c r="E164" s="785">
        <f t="shared" si="101"/>
        <v>0</v>
      </c>
      <c r="F164" s="990">
        <f t="shared" si="77"/>
        <v>0</v>
      </c>
      <c r="G164" s="785">
        <f t="shared" si="93"/>
        <v>0</v>
      </c>
      <c r="H164" s="988">
        <f t="shared" si="94"/>
        <v>0</v>
      </c>
      <c r="J164" s="988">
        <v>151</v>
      </c>
      <c r="K164" s="989">
        <f t="shared" si="89"/>
        <v>0</v>
      </c>
      <c r="L164" s="785">
        <f>K163*$M$4</f>
        <v>0</v>
      </c>
      <c r="M164" s="990">
        <f t="shared" si="90"/>
        <v>0</v>
      </c>
      <c r="N164" s="785">
        <f t="shared" si="82"/>
        <v>0</v>
      </c>
      <c r="O164" s="990">
        <f t="shared" si="78"/>
        <v>0</v>
      </c>
      <c r="P164" s="785">
        <f t="shared" si="95"/>
        <v>0</v>
      </c>
      <c r="Q164" s="988">
        <f t="shared" si="96"/>
        <v>0</v>
      </c>
      <c r="S164" s="988">
        <v>151</v>
      </c>
      <c r="T164" s="989">
        <f t="shared" si="91"/>
        <v>0</v>
      </c>
      <c r="U164" s="785">
        <f>T163*$V$4</f>
        <v>0</v>
      </c>
      <c r="V164" s="990">
        <f t="shared" si="92"/>
        <v>0</v>
      </c>
      <c r="W164" s="785">
        <f t="shared" si="83"/>
        <v>0</v>
      </c>
      <c r="X164" s="990">
        <f t="shared" si="79"/>
        <v>0</v>
      </c>
      <c r="Y164" s="785">
        <f t="shared" si="97"/>
        <v>0</v>
      </c>
      <c r="Z164" s="988">
        <f t="shared" si="98"/>
        <v>0</v>
      </c>
    </row>
    <row r="165" spans="1:26" x14ac:dyDescent="0.25">
      <c r="A165" s="988">
        <v>152</v>
      </c>
      <c r="B165" s="989">
        <f t="shared" si="87"/>
        <v>0</v>
      </c>
      <c r="C165" s="785">
        <f>B164*$D$4</f>
        <v>0</v>
      </c>
      <c r="D165" s="990">
        <f t="shared" si="88"/>
        <v>0</v>
      </c>
      <c r="E165" s="785">
        <f t="shared" ref="E165:E170" si="102">IF(OR(C$6&gt;12.5,C165&lt;0.01),0,C$8-C165)</f>
        <v>0</v>
      </c>
      <c r="F165" s="990">
        <f t="shared" si="77"/>
        <v>0</v>
      </c>
      <c r="G165" s="785">
        <f t="shared" si="93"/>
        <v>0</v>
      </c>
      <c r="H165" s="988">
        <f t="shared" si="94"/>
        <v>0</v>
      </c>
      <c r="J165" s="988">
        <v>152</v>
      </c>
      <c r="K165" s="989">
        <f t="shared" si="89"/>
        <v>0</v>
      </c>
      <c r="L165" s="785">
        <f>IF(+$M$7=4,0,K164*$M$4)</f>
        <v>0</v>
      </c>
      <c r="M165" s="990">
        <f t="shared" si="90"/>
        <v>0</v>
      </c>
      <c r="N165" s="785">
        <f t="shared" si="82"/>
        <v>0</v>
      </c>
      <c r="O165" s="990">
        <f t="shared" si="78"/>
        <v>0</v>
      </c>
      <c r="P165" s="785">
        <f t="shared" si="95"/>
        <v>0</v>
      </c>
      <c r="Q165" s="988">
        <f t="shared" si="96"/>
        <v>0</v>
      </c>
      <c r="S165" s="988">
        <v>152</v>
      </c>
      <c r="T165" s="989">
        <f t="shared" si="91"/>
        <v>0</v>
      </c>
      <c r="U165" s="785">
        <f>IF(+$V$7=4,0,T164*$V$4)</f>
        <v>0</v>
      </c>
      <c r="V165" s="990">
        <f t="shared" si="92"/>
        <v>0</v>
      </c>
      <c r="W165" s="785">
        <f t="shared" si="83"/>
        <v>0</v>
      </c>
      <c r="X165" s="990">
        <f t="shared" si="79"/>
        <v>0</v>
      </c>
      <c r="Y165" s="785">
        <f t="shared" si="97"/>
        <v>0</v>
      </c>
      <c r="Z165" s="988">
        <f t="shared" si="98"/>
        <v>0</v>
      </c>
    </row>
    <row r="166" spans="1:26" x14ac:dyDescent="0.25">
      <c r="A166" s="988">
        <v>153</v>
      </c>
      <c r="B166" s="989">
        <f t="shared" si="87"/>
        <v>0</v>
      </c>
      <c r="C166" s="785">
        <f>IF(+$D$7=4,0,B165*$D$4)</f>
        <v>0</v>
      </c>
      <c r="D166" s="990">
        <f t="shared" si="88"/>
        <v>0</v>
      </c>
      <c r="E166" s="785">
        <f t="shared" si="102"/>
        <v>0</v>
      </c>
      <c r="F166" s="990">
        <f t="shared" si="77"/>
        <v>0</v>
      </c>
      <c r="G166" s="785">
        <f t="shared" si="93"/>
        <v>0</v>
      </c>
      <c r="H166" s="988">
        <f t="shared" si="94"/>
        <v>0</v>
      </c>
      <c r="J166" s="988">
        <v>153</v>
      </c>
      <c r="K166" s="989">
        <f t="shared" si="89"/>
        <v>0</v>
      </c>
      <c r="L166" s="785">
        <f>IF(+$M$7=4,0,K165*$M$4)</f>
        <v>0</v>
      </c>
      <c r="M166" s="990">
        <f t="shared" si="90"/>
        <v>0</v>
      </c>
      <c r="N166" s="785">
        <f t="shared" si="82"/>
        <v>0</v>
      </c>
      <c r="O166" s="990">
        <f t="shared" si="78"/>
        <v>0</v>
      </c>
      <c r="P166" s="785">
        <f t="shared" si="95"/>
        <v>0</v>
      </c>
      <c r="Q166" s="988">
        <f t="shared" si="96"/>
        <v>0</v>
      </c>
      <c r="S166" s="988">
        <v>153</v>
      </c>
      <c r="T166" s="989">
        <f t="shared" si="91"/>
        <v>0</v>
      </c>
      <c r="U166" s="785">
        <f>IF(+$V$7=4,0,T165*$V$4)</f>
        <v>0</v>
      </c>
      <c r="V166" s="990">
        <f t="shared" si="92"/>
        <v>0</v>
      </c>
      <c r="W166" s="785">
        <f t="shared" si="83"/>
        <v>0</v>
      </c>
      <c r="X166" s="990">
        <f t="shared" si="79"/>
        <v>0</v>
      </c>
      <c r="Y166" s="785">
        <f t="shared" si="97"/>
        <v>0</v>
      </c>
      <c r="Z166" s="988">
        <f t="shared" si="98"/>
        <v>0</v>
      </c>
    </row>
    <row r="167" spans="1:26" x14ac:dyDescent="0.25">
      <c r="A167" s="988">
        <v>154</v>
      </c>
      <c r="B167" s="989">
        <f t="shared" si="87"/>
        <v>0</v>
      </c>
      <c r="C167" s="785">
        <f>IF(+$D$7=4,0,B166*$D$4)</f>
        <v>0</v>
      </c>
      <c r="D167" s="990">
        <f t="shared" si="88"/>
        <v>0</v>
      </c>
      <c r="E167" s="785">
        <f t="shared" si="102"/>
        <v>0</v>
      </c>
      <c r="F167" s="990">
        <f t="shared" si="77"/>
        <v>0</v>
      </c>
      <c r="G167" s="785">
        <f t="shared" si="93"/>
        <v>0</v>
      </c>
      <c r="H167" s="988">
        <f t="shared" si="94"/>
        <v>0</v>
      </c>
      <c r="J167" s="988">
        <v>154</v>
      </c>
      <c r="K167" s="989">
        <f t="shared" si="89"/>
        <v>0</v>
      </c>
      <c r="L167" s="785">
        <f>K166*$M$4</f>
        <v>0</v>
      </c>
      <c r="M167" s="990">
        <f t="shared" si="90"/>
        <v>0</v>
      </c>
      <c r="N167" s="785">
        <f t="shared" si="82"/>
        <v>0</v>
      </c>
      <c r="O167" s="990">
        <f t="shared" si="78"/>
        <v>0</v>
      </c>
      <c r="P167" s="785">
        <f t="shared" si="95"/>
        <v>0</v>
      </c>
      <c r="Q167" s="988">
        <f t="shared" si="96"/>
        <v>0</v>
      </c>
      <c r="S167" s="988">
        <v>154</v>
      </c>
      <c r="T167" s="989">
        <f t="shared" si="91"/>
        <v>0</v>
      </c>
      <c r="U167" s="785">
        <f>T166*$V$4</f>
        <v>0</v>
      </c>
      <c r="V167" s="990">
        <f t="shared" si="92"/>
        <v>0</v>
      </c>
      <c r="W167" s="785">
        <f t="shared" si="83"/>
        <v>0</v>
      </c>
      <c r="X167" s="990">
        <f t="shared" si="79"/>
        <v>0</v>
      </c>
      <c r="Y167" s="785">
        <f t="shared" si="97"/>
        <v>0</v>
      </c>
      <c r="Z167" s="988">
        <f t="shared" si="98"/>
        <v>0</v>
      </c>
    </row>
    <row r="168" spans="1:26" x14ac:dyDescent="0.25">
      <c r="A168" s="988">
        <v>155</v>
      </c>
      <c r="B168" s="989">
        <f t="shared" si="87"/>
        <v>0</v>
      </c>
      <c r="C168" s="785">
        <f>B167*$D$4</f>
        <v>0</v>
      </c>
      <c r="D168" s="990">
        <f t="shared" si="88"/>
        <v>0</v>
      </c>
      <c r="E168" s="785">
        <f t="shared" si="102"/>
        <v>0</v>
      </c>
      <c r="F168" s="990">
        <f t="shared" si="77"/>
        <v>0</v>
      </c>
      <c r="G168" s="785">
        <f t="shared" si="93"/>
        <v>0</v>
      </c>
      <c r="H168" s="988">
        <f t="shared" si="94"/>
        <v>0</v>
      </c>
      <c r="J168" s="988">
        <v>155</v>
      </c>
      <c r="K168" s="989">
        <f t="shared" si="89"/>
        <v>0</v>
      </c>
      <c r="L168" s="785">
        <f>IF(+$M$7=4,0,K167*$M$4)</f>
        <v>0</v>
      </c>
      <c r="M168" s="990">
        <f t="shared" si="90"/>
        <v>0</v>
      </c>
      <c r="N168" s="785">
        <f t="shared" si="82"/>
        <v>0</v>
      </c>
      <c r="O168" s="990">
        <f t="shared" si="78"/>
        <v>0</v>
      </c>
      <c r="P168" s="785">
        <f t="shared" si="95"/>
        <v>0</v>
      </c>
      <c r="Q168" s="988">
        <f t="shared" si="96"/>
        <v>0</v>
      </c>
      <c r="S168" s="988">
        <v>155</v>
      </c>
      <c r="T168" s="989">
        <f t="shared" si="91"/>
        <v>0</v>
      </c>
      <c r="U168" s="785">
        <f>IF(+$V$7=4,0,T167*$V$4)</f>
        <v>0</v>
      </c>
      <c r="V168" s="990">
        <f t="shared" si="92"/>
        <v>0</v>
      </c>
      <c r="W168" s="785">
        <f t="shared" si="83"/>
        <v>0</v>
      </c>
      <c r="X168" s="990">
        <f t="shared" si="79"/>
        <v>0</v>
      </c>
      <c r="Y168" s="785">
        <f t="shared" si="97"/>
        <v>0</v>
      </c>
      <c r="Z168" s="988">
        <f t="shared" si="98"/>
        <v>0</v>
      </c>
    </row>
    <row r="169" spans="1:26" x14ac:dyDescent="0.25">
      <c r="A169" s="988">
        <v>156</v>
      </c>
      <c r="B169" s="989">
        <f t="shared" si="87"/>
        <v>0</v>
      </c>
      <c r="C169" s="785">
        <f>IF(+$D$7=4,0,B168*$D$4)</f>
        <v>0</v>
      </c>
      <c r="D169" s="990">
        <f t="shared" si="88"/>
        <v>0</v>
      </c>
      <c r="E169" s="785">
        <f t="shared" si="102"/>
        <v>0</v>
      </c>
      <c r="F169" s="990">
        <f t="shared" si="77"/>
        <v>0</v>
      </c>
      <c r="G169" s="785">
        <f t="shared" si="93"/>
        <v>0</v>
      </c>
      <c r="H169" s="988">
        <f t="shared" si="94"/>
        <v>0</v>
      </c>
      <c r="J169" s="988">
        <v>156</v>
      </c>
      <c r="K169" s="989">
        <f t="shared" si="89"/>
        <v>0</v>
      </c>
      <c r="L169" s="785">
        <f>IF(+$M$7=4,0,K168*$M$4)</f>
        <v>0</v>
      </c>
      <c r="M169" s="990">
        <f t="shared" si="90"/>
        <v>0</v>
      </c>
      <c r="N169" s="785">
        <f t="shared" si="82"/>
        <v>0</v>
      </c>
      <c r="O169" s="990">
        <f t="shared" si="78"/>
        <v>0</v>
      </c>
      <c r="P169" s="785">
        <f t="shared" si="95"/>
        <v>0</v>
      </c>
      <c r="Q169" s="988">
        <f t="shared" si="96"/>
        <v>0</v>
      </c>
      <c r="S169" s="988">
        <v>156</v>
      </c>
      <c r="T169" s="989">
        <f t="shared" si="91"/>
        <v>0</v>
      </c>
      <c r="U169" s="785">
        <f>IF(+$V$7=4,0,T168*$V$4)</f>
        <v>0</v>
      </c>
      <c r="V169" s="990">
        <f t="shared" si="92"/>
        <v>0</v>
      </c>
      <c r="W169" s="785">
        <f t="shared" si="83"/>
        <v>0</v>
      </c>
      <c r="X169" s="990">
        <f t="shared" si="79"/>
        <v>0</v>
      </c>
      <c r="Y169" s="785">
        <f t="shared" si="97"/>
        <v>0</v>
      </c>
      <c r="Z169" s="988">
        <f t="shared" si="98"/>
        <v>0</v>
      </c>
    </row>
    <row r="170" spans="1:26" x14ac:dyDescent="0.25">
      <c r="A170" s="988">
        <v>157</v>
      </c>
      <c r="B170" s="989">
        <f t="shared" si="87"/>
        <v>0</v>
      </c>
      <c r="C170" s="785">
        <f>IF(+$D$7=4,0,B169*$D$4)</f>
        <v>0</v>
      </c>
      <c r="D170" s="990">
        <f t="shared" si="88"/>
        <v>0</v>
      </c>
      <c r="E170" s="785">
        <f t="shared" si="102"/>
        <v>0</v>
      </c>
      <c r="F170" s="990">
        <f t="shared" si="77"/>
        <v>0</v>
      </c>
      <c r="G170" s="785">
        <f t="shared" si="93"/>
        <v>0</v>
      </c>
      <c r="H170" s="988">
        <f t="shared" si="94"/>
        <v>0</v>
      </c>
      <c r="J170" s="988">
        <v>157</v>
      </c>
      <c r="K170" s="989">
        <f t="shared" si="89"/>
        <v>0</v>
      </c>
      <c r="L170" s="785">
        <f>K169*$M$4</f>
        <v>0</v>
      </c>
      <c r="M170" s="990">
        <f t="shared" si="90"/>
        <v>0</v>
      </c>
      <c r="N170" s="785">
        <f t="shared" si="82"/>
        <v>0</v>
      </c>
      <c r="O170" s="990">
        <f t="shared" si="78"/>
        <v>0</v>
      </c>
      <c r="P170" s="785">
        <f t="shared" si="95"/>
        <v>0</v>
      </c>
      <c r="Q170" s="988">
        <f t="shared" si="96"/>
        <v>0</v>
      </c>
      <c r="S170" s="988">
        <v>157</v>
      </c>
      <c r="T170" s="989">
        <f t="shared" si="91"/>
        <v>0</v>
      </c>
      <c r="U170" s="785">
        <f>T169*$V$4</f>
        <v>0</v>
      </c>
      <c r="V170" s="990">
        <f t="shared" si="92"/>
        <v>0</v>
      </c>
      <c r="W170" s="785">
        <f t="shared" si="83"/>
        <v>0</v>
      </c>
      <c r="X170" s="990">
        <f t="shared" si="79"/>
        <v>0</v>
      </c>
      <c r="Y170" s="785">
        <f t="shared" si="97"/>
        <v>0</v>
      </c>
      <c r="Z170" s="988">
        <f t="shared" si="98"/>
        <v>0</v>
      </c>
    </row>
    <row r="171" spans="1:26" x14ac:dyDescent="0.25">
      <c r="A171" s="988">
        <v>158</v>
      </c>
      <c r="B171" s="989">
        <f t="shared" si="87"/>
        <v>0</v>
      </c>
      <c r="C171" s="785">
        <f>B170*$D$4</f>
        <v>0</v>
      </c>
      <c r="D171" s="990">
        <f t="shared" si="88"/>
        <v>0</v>
      </c>
      <c r="E171" s="785">
        <f t="shared" ref="E171:E176" si="103">IF(OR(C$6&gt;13,C171&lt;0.01),0,C$8-C171)</f>
        <v>0</v>
      </c>
      <c r="F171" s="990">
        <f t="shared" si="77"/>
        <v>0</v>
      </c>
      <c r="G171" s="785">
        <f t="shared" si="93"/>
        <v>0</v>
      </c>
      <c r="H171" s="988">
        <f t="shared" si="94"/>
        <v>0</v>
      </c>
      <c r="J171" s="988">
        <v>158</v>
      </c>
      <c r="K171" s="989">
        <f t="shared" si="89"/>
        <v>0</v>
      </c>
      <c r="L171" s="785">
        <f>IF(+$M$7=4,0,K170*$M$4)</f>
        <v>0</v>
      </c>
      <c r="M171" s="990">
        <f t="shared" si="90"/>
        <v>0</v>
      </c>
      <c r="N171" s="785">
        <f t="shared" si="82"/>
        <v>0</v>
      </c>
      <c r="O171" s="990">
        <f t="shared" si="78"/>
        <v>0</v>
      </c>
      <c r="P171" s="785">
        <f t="shared" si="95"/>
        <v>0</v>
      </c>
      <c r="Q171" s="988">
        <f t="shared" si="96"/>
        <v>0</v>
      </c>
      <c r="S171" s="988">
        <v>158</v>
      </c>
      <c r="T171" s="989">
        <f t="shared" si="91"/>
        <v>0</v>
      </c>
      <c r="U171" s="785">
        <f>IF(+$V$7=4,0,T170*$V$4)</f>
        <v>0</v>
      </c>
      <c r="V171" s="990">
        <f t="shared" si="92"/>
        <v>0</v>
      </c>
      <c r="W171" s="785">
        <f t="shared" si="83"/>
        <v>0</v>
      </c>
      <c r="X171" s="990">
        <f t="shared" si="79"/>
        <v>0</v>
      </c>
      <c r="Y171" s="785">
        <f t="shared" si="97"/>
        <v>0</v>
      </c>
      <c r="Z171" s="988">
        <f t="shared" si="98"/>
        <v>0</v>
      </c>
    </row>
    <row r="172" spans="1:26" x14ac:dyDescent="0.25">
      <c r="A172" s="988">
        <v>159</v>
      </c>
      <c r="B172" s="989">
        <f t="shared" si="87"/>
        <v>0</v>
      </c>
      <c r="C172" s="785">
        <f>IF(+$D$7=4,0,B171*$D$4)</f>
        <v>0</v>
      </c>
      <c r="D172" s="990">
        <f t="shared" si="88"/>
        <v>0</v>
      </c>
      <c r="E172" s="785">
        <f t="shared" si="103"/>
        <v>0</v>
      </c>
      <c r="F172" s="990">
        <f t="shared" si="77"/>
        <v>0</v>
      </c>
      <c r="G172" s="785">
        <f t="shared" si="93"/>
        <v>0</v>
      </c>
      <c r="H172" s="988">
        <f t="shared" si="94"/>
        <v>0</v>
      </c>
      <c r="J172" s="988">
        <v>159</v>
      </c>
      <c r="K172" s="989">
        <f t="shared" si="89"/>
        <v>0</v>
      </c>
      <c r="L172" s="785">
        <f>IF(+$M$7=4,0,K171*$M$4)</f>
        <v>0</v>
      </c>
      <c r="M172" s="990">
        <f t="shared" si="90"/>
        <v>0</v>
      </c>
      <c r="N172" s="785">
        <f t="shared" si="82"/>
        <v>0</v>
      </c>
      <c r="O172" s="990">
        <f t="shared" si="78"/>
        <v>0</v>
      </c>
      <c r="P172" s="785">
        <f t="shared" si="95"/>
        <v>0</v>
      </c>
      <c r="Q172" s="988">
        <f t="shared" si="96"/>
        <v>0</v>
      </c>
      <c r="S172" s="988">
        <v>159</v>
      </c>
      <c r="T172" s="989">
        <f t="shared" si="91"/>
        <v>0</v>
      </c>
      <c r="U172" s="785">
        <f>IF(+$V$7=4,0,T171*$V$4)</f>
        <v>0</v>
      </c>
      <c r="V172" s="990">
        <f t="shared" si="92"/>
        <v>0</v>
      </c>
      <c r="W172" s="785">
        <f t="shared" si="83"/>
        <v>0</v>
      </c>
      <c r="X172" s="990">
        <f t="shared" si="79"/>
        <v>0</v>
      </c>
      <c r="Y172" s="785">
        <f t="shared" si="97"/>
        <v>0</v>
      </c>
      <c r="Z172" s="988">
        <f t="shared" si="98"/>
        <v>0</v>
      </c>
    </row>
    <row r="173" spans="1:26" x14ac:dyDescent="0.25">
      <c r="A173" s="988">
        <v>160</v>
      </c>
      <c r="B173" s="989">
        <f t="shared" si="87"/>
        <v>0</v>
      </c>
      <c r="C173" s="785">
        <f>IF(+$D$7=4,0,B172*$D$4)</f>
        <v>0</v>
      </c>
      <c r="D173" s="990">
        <f t="shared" si="88"/>
        <v>0</v>
      </c>
      <c r="E173" s="785">
        <f t="shared" si="103"/>
        <v>0</v>
      </c>
      <c r="F173" s="990">
        <f t="shared" si="77"/>
        <v>0</v>
      </c>
      <c r="G173" s="785">
        <f t="shared" si="93"/>
        <v>0</v>
      </c>
      <c r="H173" s="988">
        <f t="shared" si="94"/>
        <v>0</v>
      </c>
      <c r="J173" s="988">
        <v>160</v>
      </c>
      <c r="K173" s="989">
        <f t="shared" si="89"/>
        <v>0</v>
      </c>
      <c r="L173" s="785">
        <f>K172*$M$4</f>
        <v>0</v>
      </c>
      <c r="M173" s="990">
        <f t="shared" si="90"/>
        <v>0</v>
      </c>
      <c r="N173" s="785">
        <f t="shared" si="82"/>
        <v>0</v>
      </c>
      <c r="O173" s="990">
        <f t="shared" si="78"/>
        <v>0</v>
      </c>
      <c r="P173" s="785">
        <f t="shared" si="95"/>
        <v>0</v>
      </c>
      <c r="Q173" s="988">
        <f t="shared" si="96"/>
        <v>0</v>
      </c>
      <c r="S173" s="988">
        <v>160</v>
      </c>
      <c r="T173" s="989">
        <f t="shared" si="91"/>
        <v>0</v>
      </c>
      <c r="U173" s="785">
        <f>T172*$V$4</f>
        <v>0</v>
      </c>
      <c r="V173" s="990">
        <f t="shared" si="92"/>
        <v>0</v>
      </c>
      <c r="W173" s="785">
        <f t="shared" si="83"/>
        <v>0</v>
      </c>
      <c r="X173" s="990">
        <f t="shared" si="79"/>
        <v>0</v>
      </c>
      <c r="Y173" s="785">
        <f t="shared" si="97"/>
        <v>0</v>
      </c>
      <c r="Z173" s="988">
        <f t="shared" si="98"/>
        <v>0</v>
      </c>
    </row>
    <row r="174" spans="1:26" x14ac:dyDescent="0.25">
      <c r="A174" s="988">
        <v>161</v>
      </c>
      <c r="B174" s="989">
        <f t="shared" si="87"/>
        <v>0</v>
      </c>
      <c r="C174" s="785">
        <f>B173*$D$4</f>
        <v>0</v>
      </c>
      <c r="D174" s="990">
        <f t="shared" si="88"/>
        <v>0</v>
      </c>
      <c r="E174" s="785">
        <f t="shared" si="103"/>
        <v>0</v>
      </c>
      <c r="F174" s="990">
        <f t="shared" si="77"/>
        <v>0</v>
      </c>
      <c r="G174" s="785">
        <f t="shared" si="93"/>
        <v>0</v>
      </c>
      <c r="H174" s="988">
        <f t="shared" si="94"/>
        <v>0</v>
      </c>
      <c r="J174" s="988">
        <v>161</v>
      </c>
      <c r="K174" s="989">
        <f t="shared" si="89"/>
        <v>0</v>
      </c>
      <c r="L174" s="785">
        <f>IF(+$M$7=4,0,K173*$M$4)</f>
        <v>0</v>
      </c>
      <c r="M174" s="990">
        <f t="shared" si="90"/>
        <v>0</v>
      </c>
      <c r="N174" s="785">
        <f t="shared" si="82"/>
        <v>0</v>
      </c>
      <c r="O174" s="990">
        <f t="shared" si="78"/>
        <v>0</v>
      </c>
      <c r="P174" s="785">
        <f t="shared" si="95"/>
        <v>0</v>
      </c>
      <c r="Q174" s="988">
        <f t="shared" si="96"/>
        <v>0</v>
      </c>
      <c r="S174" s="988">
        <v>161</v>
      </c>
      <c r="T174" s="989">
        <f t="shared" si="91"/>
        <v>0</v>
      </c>
      <c r="U174" s="785">
        <f>IF(+$V$7=4,0,T173*$V$4)</f>
        <v>0</v>
      </c>
      <c r="V174" s="990">
        <f t="shared" si="92"/>
        <v>0</v>
      </c>
      <c r="W174" s="785">
        <f t="shared" si="83"/>
        <v>0</v>
      </c>
      <c r="X174" s="990">
        <f t="shared" si="79"/>
        <v>0</v>
      </c>
      <c r="Y174" s="785">
        <f t="shared" si="97"/>
        <v>0</v>
      </c>
      <c r="Z174" s="988">
        <f t="shared" si="98"/>
        <v>0</v>
      </c>
    </row>
    <row r="175" spans="1:26" x14ac:dyDescent="0.25">
      <c r="A175" s="988">
        <v>162</v>
      </c>
      <c r="B175" s="989">
        <f t="shared" si="87"/>
        <v>0</v>
      </c>
      <c r="C175" s="785">
        <f>IF(+$D$7=4,0,B174*$D$4)</f>
        <v>0</v>
      </c>
      <c r="D175" s="990">
        <f t="shared" si="88"/>
        <v>0</v>
      </c>
      <c r="E175" s="785">
        <f t="shared" si="103"/>
        <v>0</v>
      </c>
      <c r="F175" s="990">
        <f t="shared" si="77"/>
        <v>0</v>
      </c>
      <c r="G175" s="785">
        <f t="shared" si="93"/>
        <v>0</v>
      </c>
      <c r="H175" s="988">
        <f t="shared" si="94"/>
        <v>0</v>
      </c>
      <c r="J175" s="988">
        <v>162</v>
      </c>
      <c r="K175" s="989">
        <f t="shared" si="89"/>
        <v>0</v>
      </c>
      <c r="L175" s="785">
        <f>IF(+$M$7=4,0,K174*$M$4)</f>
        <v>0</v>
      </c>
      <c r="M175" s="990">
        <f t="shared" si="90"/>
        <v>0</v>
      </c>
      <c r="N175" s="785">
        <f t="shared" si="82"/>
        <v>0</v>
      </c>
      <c r="O175" s="990">
        <f t="shared" si="78"/>
        <v>0</v>
      </c>
      <c r="P175" s="785">
        <f t="shared" si="95"/>
        <v>0</v>
      </c>
      <c r="Q175" s="988">
        <f t="shared" si="96"/>
        <v>0</v>
      </c>
      <c r="S175" s="988">
        <v>162</v>
      </c>
      <c r="T175" s="989">
        <f t="shared" si="91"/>
        <v>0</v>
      </c>
      <c r="U175" s="785">
        <f>IF(+$V$7=4,0,T174*$V$4)</f>
        <v>0</v>
      </c>
      <c r="V175" s="990">
        <f t="shared" si="92"/>
        <v>0</v>
      </c>
      <c r="W175" s="785">
        <f t="shared" si="83"/>
        <v>0</v>
      </c>
      <c r="X175" s="990">
        <f t="shared" si="79"/>
        <v>0</v>
      </c>
      <c r="Y175" s="785">
        <f t="shared" si="97"/>
        <v>0</v>
      </c>
      <c r="Z175" s="988">
        <f t="shared" si="98"/>
        <v>0</v>
      </c>
    </row>
    <row r="176" spans="1:26" x14ac:dyDescent="0.25">
      <c r="A176" s="988">
        <v>163</v>
      </c>
      <c r="B176" s="989">
        <f t="shared" si="87"/>
        <v>0</v>
      </c>
      <c r="C176" s="785">
        <f>IF(+$D$7=4,0,B175*$D$4)</f>
        <v>0</v>
      </c>
      <c r="D176" s="990">
        <f t="shared" si="88"/>
        <v>0</v>
      </c>
      <c r="E176" s="785">
        <f t="shared" si="103"/>
        <v>0</v>
      </c>
      <c r="F176" s="990">
        <f t="shared" si="77"/>
        <v>0</v>
      </c>
      <c r="G176" s="785">
        <f t="shared" si="93"/>
        <v>0</v>
      </c>
      <c r="H176" s="988">
        <f t="shared" si="94"/>
        <v>0</v>
      </c>
      <c r="J176" s="988">
        <v>163</v>
      </c>
      <c r="K176" s="989">
        <f t="shared" si="89"/>
        <v>0</v>
      </c>
      <c r="L176" s="785">
        <f>K175*$M$4</f>
        <v>0</v>
      </c>
      <c r="M176" s="990">
        <f t="shared" si="90"/>
        <v>0</v>
      </c>
      <c r="N176" s="785">
        <f t="shared" si="82"/>
        <v>0</v>
      </c>
      <c r="O176" s="990">
        <f t="shared" si="78"/>
        <v>0</v>
      </c>
      <c r="P176" s="785">
        <f t="shared" si="95"/>
        <v>0</v>
      </c>
      <c r="Q176" s="988">
        <f t="shared" si="96"/>
        <v>0</v>
      </c>
      <c r="S176" s="988">
        <v>163</v>
      </c>
      <c r="T176" s="989">
        <f t="shared" si="91"/>
        <v>0</v>
      </c>
      <c r="U176" s="785">
        <f>T175*$V$4</f>
        <v>0</v>
      </c>
      <c r="V176" s="990">
        <f t="shared" si="92"/>
        <v>0</v>
      </c>
      <c r="W176" s="785">
        <f t="shared" si="83"/>
        <v>0</v>
      </c>
      <c r="X176" s="990">
        <f t="shared" si="79"/>
        <v>0</v>
      </c>
      <c r="Y176" s="785">
        <f t="shared" si="97"/>
        <v>0</v>
      </c>
      <c r="Z176" s="988">
        <f t="shared" si="98"/>
        <v>0</v>
      </c>
    </row>
    <row r="177" spans="1:26" x14ac:dyDescent="0.25">
      <c r="A177" s="988">
        <v>164</v>
      </c>
      <c r="B177" s="989">
        <f t="shared" si="87"/>
        <v>0</v>
      </c>
      <c r="C177" s="785">
        <f>B176*$D$4</f>
        <v>0</v>
      </c>
      <c r="D177" s="990">
        <f t="shared" si="88"/>
        <v>0</v>
      </c>
      <c r="E177" s="785">
        <f t="shared" ref="E177:E182" si="104">IF(OR(C$6&gt;13.5,C177&lt;0.01),0,C$8-C177)</f>
        <v>0</v>
      </c>
      <c r="F177" s="990">
        <f t="shared" si="77"/>
        <v>0</v>
      </c>
      <c r="G177" s="785">
        <f t="shared" si="93"/>
        <v>0</v>
      </c>
      <c r="H177" s="988">
        <f t="shared" si="94"/>
        <v>0</v>
      </c>
      <c r="J177" s="988">
        <v>164</v>
      </c>
      <c r="K177" s="989">
        <f t="shared" si="89"/>
        <v>0</v>
      </c>
      <c r="L177" s="785">
        <f>IF(+$M$7=4,0,K176*$M$4)</f>
        <v>0</v>
      </c>
      <c r="M177" s="990">
        <f t="shared" si="90"/>
        <v>0</v>
      </c>
      <c r="N177" s="785">
        <f t="shared" si="82"/>
        <v>0</v>
      </c>
      <c r="O177" s="990">
        <f t="shared" si="78"/>
        <v>0</v>
      </c>
      <c r="P177" s="785">
        <f t="shared" si="95"/>
        <v>0</v>
      </c>
      <c r="Q177" s="988">
        <f t="shared" si="96"/>
        <v>0</v>
      </c>
      <c r="S177" s="988">
        <v>164</v>
      </c>
      <c r="T177" s="989">
        <f t="shared" si="91"/>
        <v>0</v>
      </c>
      <c r="U177" s="785">
        <f>IF(+$V$7=4,0,T176*$V$4)</f>
        <v>0</v>
      </c>
      <c r="V177" s="990">
        <f t="shared" si="92"/>
        <v>0</v>
      </c>
      <c r="W177" s="785">
        <f t="shared" si="83"/>
        <v>0</v>
      </c>
      <c r="X177" s="990">
        <f t="shared" si="79"/>
        <v>0</v>
      </c>
      <c r="Y177" s="785">
        <f t="shared" si="97"/>
        <v>0</v>
      </c>
      <c r="Z177" s="988">
        <f t="shared" si="98"/>
        <v>0</v>
      </c>
    </row>
    <row r="178" spans="1:26" x14ac:dyDescent="0.25">
      <c r="A178" s="988">
        <v>165</v>
      </c>
      <c r="B178" s="989">
        <f t="shared" si="87"/>
        <v>0</v>
      </c>
      <c r="C178" s="785">
        <f>IF(+$D$7=4,0,B177*$D$4)</f>
        <v>0</v>
      </c>
      <c r="D178" s="990">
        <f t="shared" si="88"/>
        <v>0</v>
      </c>
      <c r="E178" s="785">
        <f t="shared" si="104"/>
        <v>0</v>
      </c>
      <c r="F178" s="990">
        <f t="shared" ref="F178:F193" si="105">IF(D178=0,0,F177+E178)</f>
        <v>0</v>
      </c>
      <c r="G178" s="785">
        <f t="shared" si="93"/>
        <v>0</v>
      </c>
      <c r="H178" s="988">
        <f t="shared" si="94"/>
        <v>0</v>
      </c>
      <c r="J178" s="988">
        <v>165</v>
      </c>
      <c r="K178" s="989">
        <f t="shared" si="89"/>
        <v>0</v>
      </c>
      <c r="L178" s="785">
        <f>IF(+$M$7=4,0,K177*$M$4)</f>
        <v>0</v>
      </c>
      <c r="M178" s="990">
        <f t="shared" si="90"/>
        <v>0</v>
      </c>
      <c r="N178" s="785">
        <f t="shared" si="82"/>
        <v>0</v>
      </c>
      <c r="O178" s="990">
        <f t="shared" ref="O178:O193" si="106">IF(M178=0,0,O177+N178)</f>
        <v>0</v>
      </c>
      <c r="P178" s="785">
        <f t="shared" si="95"/>
        <v>0</v>
      </c>
      <c r="Q178" s="988">
        <f t="shared" si="96"/>
        <v>0</v>
      </c>
      <c r="S178" s="988">
        <v>165</v>
      </c>
      <c r="T178" s="989">
        <f t="shared" si="91"/>
        <v>0</v>
      </c>
      <c r="U178" s="785">
        <f>IF(+$V$7=4,0,T177*$V$4)</f>
        <v>0</v>
      </c>
      <c r="V178" s="990">
        <f t="shared" si="92"/>
        <v>0</v>
      </c>
      <c r="W178" s="785">
        <f t="shared" si="83"/>
        <v>0</v>
      </c>
      <c r="X178" s="990">
        <f t="shared" ref="X178:X193" si="107">IF(V178=0,0,X177+W178)</f>
        <v>0</v>
      </c>
      <c r="Y178" s="785">
        <f t="shared" si="97"/>
        <v>0</v>
      </c>
      <c r="Z178" s="988">
        <f t="shared" si="98"/>
        <v>0</v>
      </c>
    </row>
    <row r="179" spans="1:26" x14ac:dyDescent="0.25">
      <c r="A179" s="988">
        <v>166</v>
      </c>
      <c r="B179" s="989">
        <f t="shared" si="87"/>
        <v>0</v>
      </c>
      <c r="C179" s="785">
        <f>IF(+$D$7=4,0,B178*$D$4)</f>
        <v>0</v>
      </c>
      <c r="D179" s="990">
        <f t="shared" si="88"/>
        <v>0</v>
      </c>
      <c r="E179" s="785">
        <f t="shared" si="104"/>
        <v>0</v>
      </c>
      <c r="F179" s="990">
        <f t="shared" si="105"/>
        <v>0</v>
      </c>
      <c r="G179" s="785">
        <f t="shared" si="93"/>
        <v>0</v>
      </c>
      <c r="H179" s="988">
        <f t="shared" si="94"/>
        <v>0</v>
      </c>
      <c r="J179" s="988">
        <v>166</v>
      </c>
      <c r="K179" s="989">
        <f t="shared" si="89"/>
        <v>0</v>
      </c>
      <c r="L179" s="785">
        <f>K178*$M$4</f>
        <v>0</v>
      </c>
      <c r="M179" s="990">
        <f t="shared" si="90"/>
        <v>0</v>
      </c>
      <c r="N179" s="785">
        <f t="shared" si="82"/>
        <v>0</v>
      </c>
      <c r="O179" s="990">
        <f t="shared" si="106"/>
        <v>0</v>
      </c>
      <c r="P179" s="785">
        <f t="shared" si="95"/>
        <v>0</v>
      </c>
      <c r="Q179" s="988">
        <f t="shared" si="96"/>
        <v>0</v>
      </c>
      <c r="S179" s="988">
        <v>166</v>
      </c>
      <c r="T179" s="989">
        <f t="shared" si="91"/>
        <v>0</v>
      </c>
      <c r="U179" s="785">
        <f>T178*$V$4</f>
        <v>0</v>
      </c>
      <c r="V179" s="990">
        <f t="shared" si="92"/>
        <v>0</v>
      </c>
      <c r="W179" s="785">
        <f t="shared" si="83"/>
        <v>0</v>
      </c>
      <c r="X179" s="990">
        <f t="shared" si="107"/>
        <v>0</v>
      </c>
      <c r="Y179" s="785">
        <f t="shared" si="97"/>
        <v>0</v>
      </c>
      <c r="Z179" s="988">
        <f t="shared" si="98"/>
        <v>0</v>
      </c>
    </row>
    <row r="180" spans="1:26" x14ac:dyDescent="0.25">
      <c r="A180" s="988">
        <v>167</v>
      </c>
      <c r="B180" s="989">
        <f t="shared" si="87"/>
        <v>0</v>
      </c>
      <c r="C180" s="785">
        <f>B179*$D$4</f>
        <v>0</v>
      </c>
      <c r="D180" s="990">
        <f t="shared" si="88"/>
        <v>0</v>
      </c>
      <c r="E180" s="785">
        <f t="shared" si="104"/>
        <v>0</v>
      </c>
      <c r="F180" s="990">
        <f t="shared" si="105"/>
        <v>0</v>
      </c>
      <c r="G180" s="785">
        <f t="shared" si="93"/>
        <v>0</v>
      </c>
      <c r="H180" s="988">
        <f t="shared" si="94"/>
        <v>0</v>
      </c>
      <c r="J180" s="988">
        <v>167</v>
      </c>
      <c r="K180" s="989">
        <f t="shared" si="89"/>
        <v>0</v>
      </c>
      <c r="L180" s="785">
        <f>IF(+$M$7=4,0,K179*$M$4)</f>
        <v>0</v>
      </c>
      <c r="M180" s="990">
        <f t="shared" si="90"/>
        <v>0</v>
      </c>
      <c r="N180" s="785">
        <f t="shared" si="82"/>
        <v>0</v>
      </c>
      <c r="O180" s="990">
        <f t="shared" si="106"/>
        <v>0</v>
      </c>
      <c r="P180" s="785">
        <f t="shared" si="95"/>
        <v>0</v>
      </c>
      <c r="Q180" s="988">
        <f t="shared" si="96"/>
        <v>0</v>
      </c>
      <c r="S180" s="988">
        <v>167</v>
      </c>
      <c r="T180" s="989">
        <f t="shared" si="91"/>
        <v>0</v>
      </c>
      <c r="U180" s="785">
        <f>IF(+$V$7=4,0,T179*$V$4)</f>
        <v>0</v>
      </c>
      <c r="V180" s="990">
        <f t="shared" si="92"/>
        <v>0</v>
      </c>
      <c r="W180" s="785">
        <f t="shared" si="83"/>
        <v>0</v>
      </c>
      <c r="X180" s="990">
        <f t="shared" si="107"/>
        <v>0</v>
      </c>
      <c r="Y180" s="785">
        <f t="shared" si="97"/>
        <v>0</v>
      </c>
      <c r="Z180" s="988">
        <f t="shared" si="98"/>
        <v>0</v>
      </c>
    </row>
    <row r="181" spans="1:26" x14ac:dyDescent="0.25">
      <c r="A181" s="988">
        <v>168</v>
      </c>
      <c r="B181" s="989">
        <f t="shared" si="87"/>
        <v>0</v>
      </c>
      <c r="C181" s="785">
        <f>IF(+$D$7=4,0,B180*$D$4)</f>
        <v>0</v>
      </c>
      <c r="D181" s="990">
        <f t="shared" si="88"/>
        <v>0</v>
      </c>
      <c r="E181" s="785">
        <f t="shared" si="104"/>
        <v>0</v>
      </c>
      <c r="F181" s="990">
        <f t="shared" si="105"/>
        <v>0</v>
      </c>
      <c r="G181" s="785">
        <f t="shared" si="93"/>
        <v>0</v>
      </c>
      <c r="H181" s="988">
        <f t="shared" si="94"/>
        <v>0</v>
      </c>
      <c r="J181" s="988">
        <v>168</v>
      </c>
      <c r="K181" s="989">
        <f t="shared" si="89"/>
        <v>0</v>
      </c>
      <c r="L181" s="785">
        <f>IF(+$M$7=4,0,K180*$M$4)</f>
        <v>0</v>
      </c>
      <c r="M181" s="990">
        <f t="shared" si="90"/>
        <v>0</v>
      </c>
      <c r="N181" s="785">
        <f t="shared" si="82"/>
        <v>0</v>
      </c>
      <c r="O181" s="990">
        <f t="shared" si="106"/>
        <v>0</v>
      </c>
      <c r="P181" s="785">
        <f t="shared" si="95"/>
        <v>0</v>
      </c>
      <c r="Q181" s="988">
        <f t="shared" si="96"/>
        <v>0</v>
      </c>
      <c r="S181" s="988">
        <v>168</v>
      </c>
      <c r="T181" s="989">
        <f t="shared" si="91"/>
        <v>0</v>
      </c>
      <c r="U181" s="785">
        <f>IF(+$V$7=4,0,T180*$V$4)</f>
        <v>0</v>
      </c>
      <c r="V181" s="990">
        <f t="shared" si="92"/>
        <v>0</v>
      </c>
      <c r="W181" s="785">
        <f t="shared" si="83"/>
        <v>0</v>
      </c>
      <c r="X181" s="990">
        <f t="shared" si="107"/>
        <v>0</v>
      </c>
      <c r="Y181" s="785">
        <f t="shared" si="97"/>
        <v>0</v>
      </c>
      <c r="Z181" s="988">
        <f t="shared" si="98"/>
        <v>0</v>
      </c>
    </row>
    <row r="182" spans="1:26" x14ac:dyDescent="0.25">
      <c r="A182" s="988">
        <v>169</v>
      </c>
      <c r="B182" s="989">
        <f t="shared" si="87"/>
        <v>0</v>
      </c>
      <c r="C182" s="785">
        <f>IF(+$D$7=4,0,B181*$D$4)</f>
        <v>0</v>
      </c>
      <c r="D182" s="990">
        <f t="shared" si="88"/>
        <v>0</v>
      </c>
      <c r="E182" s="785">
        <f t="shared" si="104"/>
        <v>0</v>
      </c>
      <c r="F182" s="990">
        <f t="shared" si="105"/>
        <v>0</v>
      </c>
      <c r="G182" s="785">
        <f t="shared" si="93"/>
        <v>0</v>
      </c>
      <c r="H182" s="988">
        <f t="shared" si="94"/>
        <v>0</v>
      </c>
      <c r="J182" s="988">
        <v>169</v>
      </c>
      <c r="K182" s="989">
        <f t="shared" si="89"/>
        <v>0</v>
      </c>
      <c r="L182" s="785">
        <f>K181*$M$4</f>
        <v>0</v>
      </c>
      <c r="M182" s="990">
        <f t="shared" si="90"/>
        <v>0</v>
      </c>
      <c r="N182" s="785">
        <f t="shared" si="82"/>
        <v>0</v>
      </c>
      <c r="O182" s="990">
        <f t="shared" si="106"/>
        <v>0</v>
      </c>
      <c r="P182" s="785">
        <f t="shared" si="95"/>
        <v>0</v>
      </c>
      <c r="Q182" s="988">
        <f t="shared" si="96"/>
        <v>0</v>
      </c>
      <c r="S182" s="988">
        <v>169</v>
      </c>
      <c r="T182" s="989">
        <f t="shared" si="91"/>
        <v>0</v>
      </c>
      <c r="U182" s="785">
        <f>T181*$V$4</f>
        <v>0</v>
      </c>
      <c r="V182" s="990">
        <f t="shared" si="92"/>
        <v>0</v>
      </c>
      <c r="W182" s="785">
        <f t="shared" si="83"/>
        <v>0</v>
      </c>
      <c r="X182" s="990">
        <f t="shared" si="107"/>
        <v>0</v>
      </c>
      <c r="Y182" s="785">
        <f t="shared" si="97"/>
        <v>0</v>
      </c>
      <c r="Z182" s="988">
        <f t="shared" si="98"/>
        <v>0</v>
      </c>
    </row>
    <row r="183" spans="1:26" x14ac:dyDescent="0.25">
      <c r="A183" s="988">
        <v>170</v>
      </c>
      <c r="B183" s="989">
        <f t="shared" si="87"/>
        <v>0</v>
      </c>
      <c r="C183" s="785">
        <f>B182*$D$4</f>
        <v>0</v>
      </c>
      <c r="D183" s="990">
        <f t="shared" si="88"/>
        <v>0</v>
      </c>
      <c r="E183" s="785">
        <f t="shared" ref="E183:E188" si="108">IF(OR(C$6&gt;14,C183&lt;0.01),0,C$8-C183)</f>
        <v>0</v>
      </c>
      <c r="F183" s="990">
        <f t="shared" si="105"/>
        <v>0</v>
      </c>
      <c r="G183" s="785">
        <f t="shared" si="93"/>
        <v>0</v>
      </c>
      <c r="H183" s="988">
        <f t="shared" si="94"/>
        <v>0</v>
      </c>
      <c r="J183" s="988">
        <v>170</v>
      </c>
      <c r="K183" s="989">
        <f t="shared" si="89"/>
        <v>0</v>
      </c>
      <c r="L183" s="785">
        <f>IF(+$M$7=4,0,K182*$M$4)</f>
        <v>0</v>
      </c>
      <c r="M183" s="990">
        <f t="shared" si="90"/>
        <v>0</v>
      </c>
      <c r="N183" s="785">
        <f t="shared" si="82"/>
        <v>0</v>
      </c>
      <c r="O183" s="990">
        <f t="shared" si="106"/>
        <v>0</v>
      </c>
      <c r="P183" s="785">
        <f t="shared" si="95"/>
        <v>0</v>
      </c>
      <c r="Q183" s="988">
        <f t="shared" si="96"/>
        <v>0</v>
      </c>
      <c r="S183" s="988">
        <v>170</v>
      </c>
      <c r="T183" s="989">
        <f t="shared" si="91"/>
        <v>0</v>
      </c>
      <c r="U183" s="785">
        <f>IF(+$V$7=4,0,T182*$V$4)</f>
        <v>0</v>
      </c>
      <c r="V183" s="990">
        <f t="shared" si="92"/>
        <v>0</v>
      </c>
      <c r="W183" s="785">
        <f t="shared" si="83"/>
        <v>0</v>
      </c>
      <c r="X183" s="990">
        <f t="shared" si="107"/>
        <v>0</v>
      </c>
      <c r="Y183" s="785">
        <f t="shared" si="97"/>
        <v>0</v>
      </c>
      <c r="Z183" s="988">
        <f t="shared" si="98"/>
        <v>0</v>
      </c>
    </row>
    <row r="184" spans="1:26" x14ac:dyDescent="0.25">
      <c r="A184" s="988">
        <v>171</v>
      </c>
      <c r="B184" s="989">
        <f t="shared" si="87"/>
        <v>0</v>
      </c>
      <c r="C184" s="785">
        <f>IF(+$D$7=4,0,B183*$D$4)</f>
        <v>0</v>
      </c>
      <c r="D184" s="990">
        <f t="shared" si="88"/>
        <v>0</v>
      </c>
      <c r="E184" s="785">
        <f t="shared" si="108"/>
        <v>0</v>
      </c>
      <c r="F184" s="990">
        <f t="shared" si="105"/>
        <v>0</v>
      </c>
      <c r="G184" s="785">
        <f t="shared" si="93"/>
        <v>0</v>
      </c>
      <c r="H184" s="988">
        <f t="shared" si="94"/>
        <v>0</v>
      </c>
      <c r="J184" s="988">
        <v>171</v>
      </c>
      <c r="K184" s="989">
        <f t="shared" si="89"/>
        <v>0</v>
      </c>
      <c r="L184" s="785">
        <f>IF(+$M$7=4,0,K183*$M$4)</f>
        <v>0</v>
      </c>
      <c r="M184" s="990">
        <f t="shared" si="90"/>
        <v>0</v>
      </c>
      <c r="N184" s="785">
        <f t="shared" si="82"/>
        <v>0</v>
      </c>
      <c r="O184" s="990">
        <f t="shared" si="106"/>
        <v>0</v>
      </c>
      <c r="P184" s="785">
        <f t="shared" si="95"/>
        <v>0</v>
      </c>
      <c r="Q184" s="988">
        <f t="shared" si="96"/>
        <v>0</v>
      </c>
      <c r="S184" s="988">
        <v>171</v>
      </c>
      <c r="T184" s="989">
        <f t="shared" si="91"/>
        <v>0</v>
      </c>
      <c r="U184" s="785">
        <f>IF(+$V$7=4,0,T183*$V$4)</f>
        <v>0</v>
      </c>
      <c r="V184" s="990">
        <f t="shared" si="92"/>
        <v>0</v>
      </c>
      <c r="W184" s="785">
        <f t="shared" si="83"/>
        <v>0</v>
      </c>
      <c r="X184" s="990">
        <f t="shared" si="107"/>
        <v>0</v>
      </c>
      <c r="Y184" s="785">
        <f t="shared" si="97"/>
        <v>0</v>
      </c>
      <c r="Z184" s="988">
        <f t="shared" si="98"/>
        <v>0</v>
      </c>
    </row>
    <row r="185" spans="1:26" x14ac:dyDescent="0.25">
      <c r="A185" s="988">
        <v>172</v>
      </c>
      <c r="B185" s="989">
        <f t="shared" si="87"/>
        <v>0</v>
      </c>
      <c r="C185" s="785">
        <f>IF(+$D$7=4,0,B184*$D$4)</f>
        <v>0</v>
      </c>
      <c r="D185" s="990">
        <f t="shared" si="88"/>
        <v>0</v>
      </c>
      <c r="E185" s="785">
        <f t="shared" si="108"/>
        <v>0</v>
      </c>
      <c r="F185" s="990">
        <f t="shared" si="105"/>
        <v>0</v>
      </c>
      <c r="G185" s="785">
        <f t="shared" si="93"/>
        <v>0</v>
      </c>
      <c r="H185" s="988">
        <f t="shared" si="94"/>
        <v>0</v>
      </c>
      <c r="J185" s="988">
        <v>172</v>
      </c>
      <c r="K185" s="989">
        <f t="shared" si="89"/>
        <v>0</v>
      </c>
      <c r="L185" s="785">
        <f>K184*$M$4</f>
        <v>0</v>
      </c>
      <c r="M185" s="990">
        <f t="shared" si="90"/>
        <v>0</v>
      </c>
      <c r="N185" s="785">
        <f t="shared" si="82"/>
        <v>0</v>
      </c>
      <c r="O185" s="990">
        <f t="shared" si="106"/>
        <v>0</v>
      </c>
      <c r="P185" s="785">
        <f t="shared" si="95"/>
        <v>0</v>
      </c>
      <c r="Q185" s="988">
        <f t="shared" si="96"/>
        <v>0</v>
      </c>
      <c r="S185" s="988">
        <v>172</v>
      </c>
      <c r="T185" s="989">
        <f t="shared" si="91"/>
        <v>0</v>
      </c>
      <c r="U185" s="785">
        <f>T184*$V$4</f>
        <v>0</v>
      </c>
      <c r="V185" s="990">
        <f t="shared" si="92"/>
        <v>0</v>
      </c>
      <c r="W185" s="785">
        <f t="shared" si="83"/>
        <v>0</v>
      </c>
      <c r="X185" s="990">
        <f t="shared" si="107"/>
        <v>0</v>
      </c>
      <c r="Y185" s="785">
        <f t="shared" si="97"/>
        <v>0</v>
      </c>
      <c r="Z185" s="988">
        <f t="shared" si="98"/>
        <v>0</v>
      </c>
    </row>
    <row r="186" spans="1:26" x14ac:dyDescent="0.25">
      <c r="A186" s="988">
        <v>173</v>
      </c>
      <c r="B186" s="989">
        <f t="shared" si="87"/>
        <v>0</v>
      </c>
      <c r="C186" s="785">
        <f>B185*$D$4</f>
        <v>0</v>
      </c>
      <c r="D186" s="990">
        <f t="shared" si="88"/>
        <v>0</v>
      </c>
      <c r="E186" s="785">
        <f t="shared" si="108"/>
        <v>0</v>
      </c>
      <c r="F186" s="990">
        <f t="shared" si="105"/>
        <v>0</v>
      </c>
      <c r="G186" s="785">
        <f t="shared" si="93"/>
        <v>0</v>
      </c>
      <c r="H186" s="988">
        <f t="shared" si="94"/>
        <v>0</v>
      </c>
      <c r="J186" s="988">
        <v>173</v>
      </c>
      <c r="K186" s="989">
        <f t="shared" si="89"/>
        <v>0</v>
      </c>
      <c r="L186" s="785">
        <f>IF(+$M$7=4,0,K185*$M$4)</f>
        <v>0</v>
      </c>
      <c r="M186" s="990">
        <f t="shared" si="90"/>
        <v>0</v>
      </c>
      <c r="N186" s="785">
        <f t="shared" si="82"/>
        <v>0</v>
      </c>
      <c r="O186" s="990">
        <f t="shared" si="106"/>
        <v>0</v>
      </c>
      <c r="P186" s="785">
        <f t="shared" si="95"/>
        <v>0</v>
      </c>
      <c r="Q186" s="988">
        <f t="shared" si="96"/>
        <v>0</v>
      </c>
      <c r="S186" s="988">
        <v>173</v>
      </c>
      <c r="T186" s="989">
        <f t="shared" si="91"/>
        <v>0</v>
      </c>
      <c r="U186" s="785">
        <f>IF(+$V$7=4,0,T185*$V$4)</f>
        <v>0</v>
      </c>
      <c r="V186" s="990">
        <f t="shared" si="92"/>
        <v>0</v>
      </c>
      <c r="W186" s="785">
        <f t="shared" si="83"/>
        <v>0</v>
      </c>
      <c r="X186" s="990">
        <f t="shared" si="107"/>
        <v>0</v>
      </c>
      <c r="Y186" s="785">
        <f t="shared" si="97"/>
        <v>0</v>
      </c>
      <c r="Z186" s="988">
        <f t="shared" si="98"/>
        <v>0</v>
      </c>
    </row>
    <row r="187" spans="1:26" x14ac:dyDescent="0.25">
      <c r="A187" s="988">
        <v>174</v>
      </c>
      <c r="B187" s="989">
        <f t="shared" si="87"/>
        <v>0</v>
      </c>
      <c r="C187" s="785">
        <f>IF(+$D$7=4,0,B186*$D$4)</f>
        <v>0</v>
      </c>
      <c r="D187" s="990">
        <f t="shared" si="88"/>
        <v>0</v>
      </c>
      <c r="E187" s="785">
        <f t="shared" si="108"/>
        <v>0</v>
      </c>
      <c r="F187" s="990">
        <f t="shared" si="105"/>
        <v>0</v>
      </c>
      <c r="G187" s="785">
        <f t="shared" si="93"/>
        <v>0</v>
      </c>
      <c r="H187" s="988">
        <f t="shared" si="94"/>
        <v>0</v>
      </c>
      <c r="J187" s="988">
        <v>174</v>
      </c>
      <c r="K187" s="989">
        <f t="shared" si="89"/>
        <v>0</v>
      </c>
      <c r="L187" s="785">
        <f>IF(+$M$7=4,0,K186*$M$4)</f>
        <v>0</v>
      </c>
      <c r="M187" s="990">
        <f t="shared" si="90"/>
        <v>0</v>
      </c>
      <c r="N187" s="785">
        <f t="shared" si="82"/>
        <v>0</v>
      </c>
      <c r="O187" s="990">
        <f t="shared" si="106"/>
        <v>0</v>
      </c>
      <c r="P187" s="785">
        <f t="shared" si="95"/>
        <v>0</v>
      </c>
      <c r="Q187" s="988">
        <f t="shared" si="96"/>
        <v>0</v>
      </c>
      <c r="S187" s="988">
        <v>174</v>
      </c>
      <c r="T187" s="989">
        <f t="shared" si="91"/>
        <v>0</v>
      </c>
      <c r="U187" s="785">
        <f>IF(+$V$7=4,0,T186*$V$4)</f>
        <v>0</v>
      </c>
      <c r="V187" s="990">
        <f t="shared" si="92"/>
        <v>0</v>
      </c>
      <c r="W187" s="785">
        <f t="shared" si="83"/>
        <v>0</v>
      </c>
      <c r="X187" s="990">
        <f t="shared" si="107"/>
        <v>0</v>
      </c>
      <c r="Y187" s="785">
        <f t="shared" si="97"/>
        <v>0</v>
      </c>
      <c r="Z187" s="988">
        <f t="shared" si="98"/>
        <v>0</v>
      </c>
    </row>
    <row r="188" spans="1:26" x14ac:dyDescent="0.25">
      <c r="A188" s="988">
        <v>175</v>
      </c>
      <c r="B188" s="989">
        <f t="shared" si="87"/>
        <v>0</v>
      </c>
      <c r="C188" s="785">
        <f>IF(+$D$7=4,0,B187*$D$4)</f>
        <v>0</v>
      </c>
      <c r="D188" s="990">
        <f t="shared" si="88"/>
        <v>0</v>
      </c>
      <c r="E188" s="785">
        <f t="shared" si="108"/>
        <v>0</v>
      </c>
      <c r="F188" s="990">
        <f t="shared" si="105"/>
        <v>0</v>
      </c>
      <c r="G188" s="785">
        <f t="shared" si="93"/>
        <v>0</v>
      </c>
      <c r="H188" s="988">
        <f t="shared" si="94"/>
        <v>0</v>
      </c>
      <c r="J188" s="988">
        <v>175</v>
      </c>
      <c r="K188" s="989">
        <f t="shared" si="89"/>
        <v>0</v>
      </c>
      <c r="L188" s="785">
        <f>K187*$M$4</f>
        <v>0</v>
      </c>
      <c r="M188" s="990">
        <f t="shared" si="90"/>
        <v>0</v>
      </c>
      <c r="N188" s="785">
        <f t="shared" si="82"/>
        <v>0</v>
      </c>
      <c r="O188" s="990">
        <f t="shared" si="106"/>
        <v>0</v>
      </c>
      <c r="P188" s="785">
        <f t="shared" si="95"/>
        <v>0</v>
      </c>
      <c r="Q188" s="988">
        <f t="shared" si="96"/>
        <v>0</v>
      </c>
      <c r="S188" s="988">
        <v>175</v>
      </c>
      <c r="T188" s="989">
        <f t="shared" si="91"/>
        <v>0</v>
      </c>
      <c r="U188" s="785">
        <f>T187*$V$4</f>
        <v>0</v>
      </c>
      <c r="V188" s="990">
        <f t="shared" si="92"/>
        <v>0</v>
      </c>
      <c r="W188" s="785">
        <f t="shared" si="83"/>
        <v>0</v>
      </c>
      <c r="X188" s="990">
        <f t="shared" si="107"/>
        <v>0</v>
      </c>
      <c r="Y188" s="785">
        <f t="shared" si="97"/>
        <v>0</v>
      </c>
      <c r="Z188" s="988">
        <f t="shared" si="98"/>
        <v>0</v>
      </c>
    </row>
    <row r="189" spans="1:26" x14ac:dyDescent="0.25">
      <c r="A189" s="988">
        <v>176</v>
      </c>
      <c r="B189" s="989">
        <f t="shared" si="87"/>
        <v>0</v>
      </c>
      <c r="C189" s="785">
        <f>B188*$D$4</f>
        <v>0</v>
      </c>
      <c r="D189" s="990">
        <f t="shared" si="88"/>
        <v>0</v>
      </c>
      <c r="E189" s="785">
        <f>IF(OR(C$6&gt;14.5,C189&lt;0.01),0,C$8-C189)</f>
        <v>0</v>
      </c>
      <c r="F189" s="990">
        <f t="shared" si="105"/>
        <v>0</v>
      </c>
      <c r="G189" s="785">
        <f t="shared" si="93"/>
        <v>0</v>
      </c>
      <c r="H189" s="988">
        <f t="shared" si="94"/>
        <v>0</v>
      </c>
      <c r="J189" s="988">
        <v>176</v>
      </c>
      <c r="K189" s="989">
        <f t="shared" si="89"/>
        <v>0</v>
      </c>
      <c r="L189" s="785">
        <f>IF(+$M$7=4,0,K188*$M$4)</f>
        <v>0</v>
      </c>
      <c r="M189" s="990">
        <f t="shared" si="90"/>
        <v>0</v>
      </c>
      <c r="N189" s="785">
        <f t="shared" si="82"/>
        <v>0</v>
      </c>
      <c r="O189" s="990">
        <f t="shared" si="106"/>
        <v>0</v>
      </c>
      <c r="P189" s="785">
        <f t="shared" si="95"/>
        <v>0</v>
      </c>
      <c r="Q189" s="988">
        <f t="shared" si="96"/>
        <v>0</v>
      </c>
      <c r="S189" s="988">
        <v>176</v>
      </c>
      <c r="T189" s="989">
        <f t="shared" si="91"/>
        <v>0</v>
      </c>
      <c r="U189" s="785">
        <f>IF(+$V$7=4,0,T188*$V$4)</f>
        <v>0</v>
      </c>
      <c r="V189" s="990">
        <f t="shared" si="92"/>
        <v>0</v>
      </c>
      <c r="W189" s="785">
        <f t="shared" si="83"/>
        <v>0</v>
      </c>
      <c r="X189" s="990">
        <f t="shared" si="107"/>
        <v>0</v>
      </c>
      <c r="Y189" s="785">
        <f t="shared" si="97"/>
        <v>0</v>
      </c>
      <c r="Z189" s="988">
        <f t="shared" si="98"/>
        <v>0</v>
      </c>
    </row>
    <row r="190" spans="1:26" x14ac:dyDescent="0.25">
      <c r="A190" s="988">
        <v>177</v>
      </c>
      <c r="B190" s="989">
        <f>IF(B189&lt;1,0,B189-E190)</f>
        <v>0</v>
      </c>
      <c r="C190" s="785">
        <f>IF(+$D$7=4,0,B189*$D$4)</f>
        <v>0</v>
      </c>
      <c r="D190" s="990">
        <f>IF(B190=0,0,D189+C190)</f>
        <v>0</v>
      </c>
      <c r="E190" s="785">
        <f>IF(OR(C$6&gt;14.5,C190&lt;0.01),0,C$8-C190)</f>
        <v>0</v>
      </c>
      <c r="F190" s="990">
        <f t="shared" si="105"/>
        <v>0</v>
      </c>
      <c r="G190" s="785">
        <f t="shared" si="93"/>
        <v>0</v>
      </c>
      <c r="H190" s="988">
        <f t="shared" si="94"/>
        <v>0</v>
      </c>
      <c r="J190" s="988">
        <v>177</v>
      </c>
      <c r="K190" s="989">
        <f>IF(K189&lt;1,0,K189-N190)</f>
        <v>0</v>
      </c>
      <c r="L190" s="785">
        <f>IF(+$M$7=4,0,K189*$M$4)</f>
        <v>0</v>
      </c>
      <c r="M190" s="990">
        <f>IF(K190=0,0,M189+L190)</f>
        <v>0</v>
      </c>
      <c r="N190" s="785">
        <f t="shared" si="82"/>
        <v>0</v>
      </c>
      <c r="O190" s="990">
        <f t="shared" si="106"/>
        <v>0</v>
      </c>
      <c r="P190" s="785">
        <f t="shared" si="95"/>
        <v>0</v>
      </c>
      <c r="Q190" s="988">
        <f t="shared" si="96"/>
        <v>0</v>
      </c>
      <c r="S190" s="988">
        <v>177</v>
      </c>
      <c r="T190" s="989">
        <f>IF(T189&lt;1,0,T189-W190)</f>
        <v>0</v>
      </c>
      <c r="U190" s="785">
        <f>IF(+$V$7=4,0,T189*$V$4)</f>
        <v>0</v>
      </c>
      <c r="V190" s="990">
        <f>IF(T190=0,0,V189+U190)</f>
        <v>0</v>
      </c>
      <c r="W190" s="785">
        <f t="shared" si="83"/>
        <v>0</v>
      </c>
      <c r="X190" s="990">
        <f t="shared" si="107"/>
        <v>0</v>
      </c>
      <c r="Y190" s="785">
        <f t="shared" si="97"/>
        <v>0</v>
      </c>
      <c r="Z190" s="988">
        <f t="shared" si="98"/>
        <v>0</v>
      </c>
    </row>
    <row r="191" spans="1:26" x14ac:dyDescent="0.25">
      <c r="A191" s="988">
        <v>178</v>
      </c>
      <c r="B191" s="989">
        <f>IF(B190&lt;1,0,B190-E191)</f>
        <v>0</v>
      </c>
      <c r="C191" s="785">
        <f>IF(+$D$7=4,0,B190*$D$4)</f>
        <v>0</v>
      </c>
      <c r="D191" s="990">
        <f>IF(B191=0,0,D190+C191)</f>
        <v>0</v>
      </c>
      <c r="E191" s="785">
        <f>IF(OR(C$6&gt;14.5,C191&lt;0.01),0,C$8-C191)</f>
        <v>0</v>
      </c>
      <c r="F191" s="990">
        <f t="shared" si="105"/>
        <v>0</v>
      </c>
      <c r="G191" s="785">
        <f t="shared" si="93"/>
        <v>0</v>
      </c>
      <c r="H191" s="988">
        <f t="shared" si="94"/>
        <v>0</v>
      </c>
      <c r="J191" s="988">
        <v>178</v>
      </c>
      <c r="K191" s="989">
        <f>IF(K190&lt;1,0,K190-N191)</f>
        <v>0</v>
      </c>
      <c r="L191" s="785">
        <f>K190*$M$4</f>
        <v>0</v>
      </c>
      <c r="M191" s="990">
        <f>IF(K191=0,0,M190+L191)</f>
        <v>0</v>
      </c>
      <c r="N191" s="785">
        <f>IF(L191&lt;1,0,L$8-L191)</f>
        <v>0</v>
      </c>
      <c r="O191" s="990">
        <f t="shared" si="106"/>
        <v>0</v>
      </c>
      <c r="P191" s="785">
        <f t="shared" si="95"/>
        <v>0</v>
      </c>
      <c r="Q191" s="988">
        <f t="shared" si="96"/>
        <v>0</v>
      </c>
      <c r="S191" s="988">
        <v>178</v>
      </c>
      <c r="T191" s="989">
        <f>IF(T190&lt;1,0,T190-W191)</f>
        <v>0</v>
      </c>
      <c r="U191" s="785">
        <f>T190*$V$4</f>
        <v>0</v>
      </c>
      <c r="V191" s="990">
        <f>IF(T191=0,0,V190+U191)</f>
        <v>0</v>
      </c>
      <c r="W191" s="785">
        <f>IF(U191&lt;1,0,U$8-U191)</f>
        <v>0</v>
      </c>
      <c r="X191" s="990">
        <f t="shared" si="107"/>
        <v>0</v>
      </c>
      <c r="Y191" s="785">
        <f t="shared" si="97"/>
        <v>0</v>
      </c>
      <c r="Z191" s="988">
        <f t="shared" si="98"/>
        <v>0</v>
      </c>
    </row>
    <row r="192" spans="1:26" x14ac:dyDescent="0.25">
      <c r="A192" s="988">
        <v>179</v>
      </c>
      <c r="B192" s="989">
        <f>IF(B191&lt;1,0,B191-E192)</f>
        <v>0</v>
      </c>
      <c r="C192" s="785">
        <f>B191*$D$4</f>
        <v>0</v>
      </c>
      <c r="D192" s="990">
        <f>IF(B192=0,0,D191+C192)</f>
        <v>0</v>
      </c>
      <c r="E192" s="785">
        <f>IF(OR(C$6&gt;14.5,C192&lt;0.01),0,C$8-C192)</f>
        <v>0</v>
      </c>
      <c r="F192" s="990">
        <f t="shared" si="105"/>
        <v>0</v>
      </c>
      <c r="G192" s="785">
        <f t="shared" si="93"/>
        <v>0</v>
      </c>
      <c r="H192" s="988">
        <f t="shared" si="94"/>
        <v>0</v>
      </c>
      <c r="J192" s="988">
        <v>179</v>
      </c>
      <c r="K192" s="989">
        <f>IF(K191&lt;1,0,K191-N192)</f>
        <v>0</v>
      </c>
      <c r="L192" s="785">
        <f>IF(+$M$7=4,0,K191*$M$4)</f>
        <v>0</v>
      </c>
      <c r="M192" s="990">
        <f>IF(K192=0,0,M191+L192)</f>
        <v>0</v>
      </c>
      <c r="N192" s="785">
        <f>IF(L192&lt;1,0,L$8-L192)</f>
        <v>0</v>
      </c>
      <c r="O192" s="990">
        <f t="shared" si="106"/>
        <v>0</v>
      </c>
      <c r="P192" s="785">
        <f t="shared" si="95"/>
        <v>0</v>
      </c>
      <c r="Q192" s="988">
        <f t="shared" si="96"/>
        <v>0</v>
      </c>
      <c r="S192" s="988">
        <v>179</v>
      </c>
      <c r="T192" s="989">
        <f>IF(T191&lt;1,0,T191-W192)</f>
        <v>0</v>
      </c>
      <c r="U192" s="785">
        <f>IF(+$V$7=4,0,T191*$V$4)</f>
        <v>0</v>
      </c>
      <c r="V192" s="990">
        <f>IF(T192=0,0,V191+U192)</f>
        <v>0</v>
      </c>
      <c r="W192" s="785">
        <f>IF(U192&lt;1,0,U$8-U192)</f>
        <v>0</v>
      </c>
      <c r="X192" s="990">
        <f t="shared" si="107"/>
        <v>0</v>
      </c>
      <c r="Y192" s="785">
        <f t="shared" si="97"/>
        <v>0</v>
      </c>
      <c r="Z192" s="988">
        <f t="shared" si="98"/>
        <v>0</v>
      </c>
    </row>
    <row r="193" spans="1:26" x14ac:dyDescent="0.25">
      <c r="A193" s="1002">
        <v>180</v>
      </c>
      <c r="B193" s="1003">
        <f>IF(B192&lt;1,0,B192-E193)</f>
        <v>0</v>
      </c>
      <c r="C193" s="785">
        <f>IF(+$D$7=4,0,B192*$D$4)</f>
        <v>0</v>
      </c>
      <c r="D193" s="12">
        <f>IF(B193=0,0,D192+C193)</f>
        <v>0</v>
      </c>
      <c r="E193" s="785">
        <f>IF(OR(C$6&gt;14.5,C193&lt;0.01),0,C$8-C193)</f>
        <v>0</v>
      </c>
      <c r="F193" s="12">
        <f t="shared" si="105"/>
        <v>0</v>
      </c>
      <c r="G193" s="1004">
        <f>IF(C193&lt;1,0,$C$8*A193)</f>
        <v>0</v>
      </c>
      <c r="H193" s="1002">
        <f t="shared" si="94"/>
        <v>0</v>
      </c>
      <c r="J193" s="1002">
        <v>180</v>
      </c>
      <c r="K193" s="1003">
        <f>IF(K192&lt;1,0,K192-N193)</f>
        <v>0</v>
      </c>
      <c r="L193" s="785">
        <f>IF(+$M$7=4,0,K192*$M$4)</f>
        <v>0</v>
      </c>
      <c r="M193" s="12">
        <f>IF(K193=0,0,M192+L193)</f>
        <v>0</v>
      </c>
      <c r="N193" s="1004">
        <f>IF(L193&lt;1,0,L$8-L193)</f>
        <v>0</v>
      </c>
      <c r="O193" s="12">
        <f t="shared" si="106"/>
        <v>0</v>
      </c>
      <c r="P193" s="1004">
        <f>IF(L193&lt;1,0,$C$8*J193)</f>
        <v>0</v>
      </c>
      <c r="Q193" s="1002">
        <f t="shared" si="96"/>
        <v>0</v>
      </c>
      <c r="S193" s="1002">
        <v>180</v>
      </c>
      <c r="T193" s="1003">
        <f>IF(T192&lt;1,0,T192-W193)</f>
        <v>0</v>
      </c>
      <c r="U193" s="785">
        <f>IF(+$V$7=4,0,T192*$V$4)</f>
        <v>0</v>
      </c>
      <c r="V193" s="12">
        <f>IF(T193=0,0,V192+U193)</f>
        <v>0</v>
      </c>
      <c r="W193" s="1004">
        <f>IF(U193&lt;1,0,U$8-U193)</f>
        <v>0</v>
      </c>
      <c r="X193" s="12">
        <f t="shared" si="107"/>
        <v>0</v>
      </c>
      <c r="Y193" s="1004">
        <f>IF(U193&lt;1,0,$C$8*S193)</f>
        <v>0</v>
      </c>
      <c r="Z193" s="1002">
        <f t="shared" si="98"/>
        <v>0</v>
      </c>
    </row>
    <row r="194" spans="1:26" ht="13" x14ac:dyDescent="0.3">
      <c r="A194" s="1005"/>
      <c r="B194" s="763" t="s">
        <v>332</v>
      </c>
      <c r="C194" s="791">
        <f>SUM(C14:C193)</f>
        <v>0</v>
      </c>
      <c r="D194" s="791"/>
      <c r="E194" s="791">
        <f>SUM(E14:E193)</f>
        <v>0</v>
      </c>
      <c r="F194" s="1006"/>
      <c r="G194" s="791">
        <f>E194+C194</f>
        <v>0</v>
      </c>
      <c r="H194" s="1005"/>
      <c r="J194" s="1005"/>
      <c r="K194" s="763" t="s">
        <v>332</v>
      </c>
      <c r="L194" s="791">
        <f>SUM(L14:L193)</f>
        <v>0</v>
      </c>
      <c r="M194" s="791"/>
      <c r="N194" s="791">
        <f>SUM(N14:N193)</f>
        <v>0</v>
      </c>
      <c r="O194" s="1006"/>
      <c r="P194" s="791">
        <f>N194+L194</f>
        <v>0</v>
      </c>
      <c r="Q194" s="1005"/>
      <c r="S194" s="1005"/>
      <c r="T194" s="763" t="s">
        <v>332</v>
      </c>
      <c r="U194" s="791">
        <f>SUM(U14:U193)</f>
        <v>0</v>
      </c>
      <c r="V194" s="791"/>
      <c r="W194" s="791">
        <f>SUM(W14:W193)</f>
        <v>0</v>
      </c>
      <c r="X194" s="1006"/>
      <c r="Y194" s="791">
        <f>W194+U194</f>
        <v>0</v>
      </c>
      <c r="Z194" s="1005"/>
    </row>
  </sheetData>
  <mergeCells count="3">
    <mergeCell ref="B1:C1"/>
    <mergeCell ref="K1:L1"/>
    <mergeCell ref="T1:U1"/>
  </mergeCells>
  <phoneticPr fontId="22" type="noConversion"/>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
  <dimension ref="A1:CO74"/>
  <sheetViews>
    <sheetView topLeftCell="CF1" workbookViewId="0">
      <selection activeCell="CN26" sqref="CN26"/>
    </sheetView>
  </sheetViews>
  <sheetFormatPr defaultColWidth="11.453125" defaultRowHeight="12.5" x14ac:dyDescent="0.25"/>
  <cols>
    <col min="1" max="1" width="12.7265625" customWidth="1"/>
    <col min="2" max="73" width="11.7265625" customWidth="1"/>
    <col min="74" max="78" width="11.7265625" style="21" customWidth="1"/>
    <col min="79" max="79" width="19.1796875" customWidth="1"/>
  </cols>
  <sheetData>
    <row r="1" spans="1:11" ht="13" x14ac:dyDescent="0.3">
      <c r="A1" s="1824" t="s">
        <v>228</v>
      </c>
      <c r="B1" s="1824"/>
      <c r="C1" s="1824"/>
      <c r="D1" s="1824"/>
      <c r="E1" s="1824"/>
      <c r="F1" s="1824"/>
      <c r="G1" s="1824"/>
      <c r="H1" s="1859" t="s">
        <v>333</v>
      </c>
      <c r="I1" s="1859"/>
      <c r="J1" s="1859"/>
    </row>
    <row r="2" spans="1:11" ht="13" x14ac:dyDescent="0.3">
      <c r="A2" s="1826" t="s">
        <v>334</v>
      </c>
      <c r="B2" s="1826"/>
      <c r="C2" s="22" t="s">
        <v>231</v>
      </c>
      <c r="D2" s="22" t="s">
        <v>232</v>
      </c>
      <c r="E2" s="22" t="s">
        <v>233</v>
      </c>
      <c r="F2" s="22" t="s">
        <v>234</v>
      </c>
      <c r="G2" s="22" t="s">
        <v>295</v>
      </c>
      <c r="H2" s="878" t="s">
        <v>232</v>
      </c>
      <c r="I2" s="22" t="s">
        <v>234</v>
      </c>
      <c r="J2" s="22" t="s">
        <v>295</v>
      </c>
      <c r="K2" s="22" t="s">
        <v>335</v>
      </c>
    </row>
    <row r="3" spans="1:11" ht="13" x14ac:dyDescent="0.3">
      <c r="A3" s="1860" t="str">
        <f>'Introducció dades'!B154</f>
        <v>A</v>
      </c>
      <c r="B3" s="1860"/>
      <c r="C3" s="125">
        <f>'Introducció dades'!C154</f>
        <v>0</v>
      </c>
      <c r="D3" s="807">
        <f>'Introducció dades'!D154</f>
        <v>0</v>
      </c>
      <c r="E3" s="1007">
        <f>'Introducció dades'!E154</f>
        <v>1</v>
      </c>
      <c r="F3" s="1007">
        <f>'Introducció dades'!F154</f>
        <v>0.21</v>
      </c>
      <c r="G3" s="15">
        <f t="shared" ref="G3:G8" si="0">D3*C3</f>
        <v>0</v>
      </c>
      <c r="H3" s="880">
        <f t="shared" ref="H3:H8" si="1">D3*(1-E3)</f>
        <v>0</v>
      </c>
      <c r="I3" s="1007">
        <f>'Introducció dades'!G154</f>
        <v>0.21</v>
      </c>
      <c r="J3" s="15">
        <f t="shared" ref="J3:J8" si="2">C3*H3</f>
        <v>0</v>
      </c>
      <c r="K3" s="1008">
        <f>+IF(I3=0.16,0.04,IF(I3=0.07,0.01,0.005))</f>
        <v>5.0000000000000001E-3</v>
      </c>
    </row>
    <row r="4" spans="1:11" ht="13" x14ac:dyDescent="0.3">
      <c r="A4" s="1860" t="str">
        <f>'Introducció dades'!B155</f>
        <v>B</v>
      </c>
      <c r="B4" s="1860"/>
      <c r="C4" s="125">
        <f>'Introducció dades'!C155</f>
        <v>0</v>
      </c>
      <c r="D4" s="807">
        <f>'Introducció dades'!D155</f>
        <v>0</v>
      </c>
      <c r="E4" s="1007">
        <f>'Introducció dades'!E155</f>
        <v>1</v>
      </c>
      <c r="F4" s="1007">
        <f>'Introducció dades'!F155</f>
        <v>0.21</v>
      </c>
      <c r="G4" s="15">
        <f t="shared" si="0"/>
        <v>0</v>
      </c>
      <c r="H4" s="880">
        <f t="shared" si="1"/>
        <v>0</v>
      </c>
      <c r="I4" s="1007">
        <f>'Introducció dades'!G155</f>
        <v>0.21</v>
      </c>
      <c r="J4" s="15">
        <f t="shared" si="2"/>
        <v>0</v>
      </c>
      <c r="K4" s="1008">
        <f t="shared" ref="K4:K14" si="3">+IF(I4=0.16,0.04,IF(I4=0.07,0.01,0.005))</f>
        <v>5.0000000000000001E-3</v>
      </c>
    </row>
    <row r="5" spans="1:11" ht="13" x14ac:dyDescent="0.3">
      <c r="A5" s="1860" t="str">
        <f>'Introducció dades'!B156</f>
        <v>C</v>
      </c>
      <c r="B5" s="1860"/>
      <c r="C5" s="125">
        <f>'Introducció dades'!C156</f>
        <v>0</v>
      </c>
      <c r="D5" s="807">
        <f>'Introducció dades'!D156</f>
        <v>0</v>
      </c>
      <c r="E5" s="1007">
        <f>'Introducció dades'!E156</f>
        <v>1</v>
      </c>
      <c r="F5" s="1007">
        <f>'Introducció dades'!F156</f>
        <v>0.21</v>
      </c>
      <c r="G5" s="15">
        <f t="shared" si="0"/>
        <v>0</v>
      </c>
      <c r="H5" s="880">
        <f t="shared" si="1"/>
        <v>0</v>
      </c>
      <c r="I5" s="1007">
        <f>'Introducció dades'!G156</f>
        <v>0.21</v>
      </c>
      <c r="J5" s="15">
        <f t="shared" si="2"/>
        <v>0</v>
      </c>
      <c r="K5" s="1008">
        <f t="shared" si="3"/>
        <v>5.0000000000000001E-3</v>
      </c>
    </row>
    <row r="6" spans="1:11" ht="13" x14ac:dyDescent="0.3">
      <c r="A6" s="1860" t="str">
        <f>'Introducció dades'!B157</f>
        <v>D</v>
      </c>
      <c r="B6" s="1860"/>
      <c r="C6" s="125">
        <f>'Introducció dades'!C157</f>
        <v>0</v>
      </c>
      <c r="D6" s="807">
        <f>'Introducció dades'!D157</f>
        <v>0</v>
      </c>
      <c r="E6" s="1007">
        <f>'Introducció dades'!E157</f>
        <v>1</v>
      </c>
      <c r="F6" s="1007">
        <f>'Introducció dades'!F157</f>
        <v>0.21</v>
      </c>
      <c r="G6" s="15">
        <f t="shared" si="0"/>
        <v>0</v>
      </c>
      <c r="H6" s="880">
        <f t="shared" si="1"/>
        <v>0</v>
      </c>
      <c r="I6" s="1007">
        <f>'Introducció dades'!G157</f>
        <v>0.21</v>
      </c>
      <c r="J6" s="15">
        <f t="shared" si="2"/>
        <v>0</v>
      </c>
      <c r="K6" s="1008">
        <f t="shared" si="3"/>
        <v>5.0000000000000001E-3</v>
      </c>
    </row>
    <row r="7" spans="1:11" ht="13" x14ac:dyDescent="0.3">
      <c r="A7" s="1860" t="str">
        <f>'Introducció dades'!B158</f>
        <v>E</v>
      </c>
      <c r="B7" s="1860"/>
      <c r="C7" s="125">
        <f>'Introducció dades'!C158</f>
        <v>0</v>
      </c>
      <c r="D7" s="807">
        <f>'Introducció dades'!D158</f>
        <v>0</v>
      </c>
      <c r="E7" s="1007">
        <f>'Introducció dades'!E158</f>
        <v>1</v>
      </c>
      <c r="F7" s="1007">
        <f>'Introducció dades'!F158</f>
        <v>0.21</v>
      </c>
      <c r="G7" s="15">
        <f t="shared" si="0"/>
        <v>0</v>
      </c>
      <c r="H7" s="880">
        <f t="shared" si="1"/>
        <v>0</v>
      </c>
      <c r="I7" s="1007">
        <f>'Introducció dades'!G158</f>
        <v>0.21</v>
      </c>
      <c r="J7" s="15">
        <f t="shared" si="2"/>
        <v>0</v>
      </c>
      <c r="K7" s="1008">
        <f t="shared" si="3"/>
        <v>5.0000000000000001E-3</v>
      </c>
    </row>
    <row r="8" spans="1:11" ht="13" x14ac:dyDescent="0.3">
      <c r="A8" s="1860" t="str">
        <f>'Introducció dades'!B159</f>
        <v>F</v>
      </c>
      <c r="B8" s="1860"/>
      <c r="C8" s="125">
        <f>'Introducció dades'!C159</f>
        <v>0</v>
      </c>
      <c r="D8" s="807">
        <f>'Introducció dades'!D159</f>
        <v>0</v>
      </c>
      <c r="E8" s="1007">
        <f>'Introducció dades'!E159</f>
        <v>1</v>
      </c>
      <c r="F8" s="1007">
        <f>'Introducció dades'!F159</f>
        <v>0.21</v>
      </c>
      <c r="G8" s="15">
        <f t="shared" si="0"/>
        <v>0</v>
      </c>
      <c r="H8" s="880">
        <f t="shared" si="1"/>
        <v>0</v>
      </c>
      <c r="I8" s="1007">
        <f>'Introducció dades'!G159</f>
        <v>0.21</v>
      </c>
      <c r="J8" s="15">
        <f t="shared" si="2"/>
        <v>0</v>
      </c>
      <c r="K8" s="1008">
        <f t="shared" si="3"/>
        <v>5.0000000000000001E-3</v>
      </c>
    </row>
    <row r="9" spans="1:11" ht="13" x14ac:dyDescent="0.3">
      <c r="A9" s="1860" t="str">
        <f>'Introducció dades'!B160</f>
        <v>G</v>
      </c>
      <c r="B9" s="1860"/>
      <c r="C9" s="125">
        <f>'Introducció dades'!C160</f>
        <v>0</v>
      </c>
      <c r="D9" s="807">
        <f>'Introducció dades'!D160</f>
        <v>0</v>
      </c>
      <c r="E9" s="1007">
        <f>'Introducció dades'!E160</f>
        <v>1</v>
      </c>
      <c r="F9" s="1007">
        <f>'Introducció dades'!F160</f>
        <v>0.21</v>
      </c>
      <c r="G9" s="15">
        <f t="shared" ref="G9:G14" si="4">D9*C9</f>
        <v>0</v>
      </c>
      <c r="H9" s="880">
        <f t="shared" ref="H9:H14" si="5">D9*(1-E9)</f>
        <v>0</v>
      </c>
      <c r="I9" s="1007">
        <f>'Introducció dades'!G160</f>
        <v>0.21</v>
      </c>
      <c r="J9" s="15">
        <f t="shared" ref="J9:J14" si="6">C9*H9</f>
        <v>0</v>
      </c>
      <c r="K9" s="1008">
        <f t="shared" si="3"/>
        <v>5.0000000000000001E-3</v>
      </c>
    </row>
    <row r="10" spans="1:11" ht="13" x14ac:dyDescent="0.3">
      <c r="A10" s="1860" t="str">
        <f>'Introducció dades'!B161</f>
        <v>H</v>
      </c>
      <c r="B10" s="1860"/>
      <c r="C10" s="125">
        <f>'Introducció dades'!C161</f>
        <v>0</v>
      </c>
      <c r="D10" s="807">
        <f>'Introducció dades'!D161</f>
        <v>0</v>
      </c>
      <c r="E10" s="1007">
        <f>'Introducció dades'!E161</f>
        <v>1</v>
      </c>
      <c r="F10" s="1007">
        <f>'Introducció dades'!F161</f>
        <v>0.21</v>
      </c>
      <c r="G10" s="15">
        <f t="shared" si="4"/>
        <v>0</v>
      </c>
      <c r="H10" s="880">
        <f t="shared" si="5"/>
        <v>0</v>
      </c>
      <c r="I10" s="1007">
        <f>'Introducció dades'!G161</f>
        <v>0.21</v>
      </c>
      <c r="J10" s="15">
        <f t="shared" si="6"/>
        <v>0</v>
      </c>
      <c r="K10" s="1008">
        <f t="shared" si="3"/>
        <v>5.0000000000000001E-3</v>
      </c>
    </row>
    <row r="11" spans="1:11" ht="13" x14ac:dyDescent="0.3">
      <c r="A11" s="1860" t="str">
        <f>'Introducció dades'!B162</f>
        <v>I</v>
      </c>
      <c r="B11" s="1860"/>
      <c r="C11" s="125">
        <f>'Introducció dades'!C162</f>
        <v>0</v>
      </c>
      <c r="D11" s="807">
        <f>'Introducció dades'!D162</f>
        <v>0</v>
      </c>
      <c r="E11" s="1007">
        <f>'Introducció dades'!E162</f>
        <v>1</v>
      </c>
      <c r="F11" s="1007">
        <f>'Introducció dades'!F162</f>
        <v>0.21</v>
      </c>
      <c r="G11" s="15">
        <f t="shared" si="4"/>
        <v>0</v>
      </c>
      <c r="H11" s="880">
        <f t="shared" si="5"/>
        <v>0</v>
      </c>
      <c r="I11" s="1007">
        <f>'Introducció dades'!G162</f>
        <v>0.21</v>
      </c>
      <c r="J11" s="15">
        <f t="shared" si="6"/>
        <v>0</v>
      </c>
      <c r="K11" s="1008">
        <f t="shared" si="3"/>
        <v>5.0000000000000001E-3</v>
      </c>
    </row>
    <row r="12" spans="1:11" ht="13" x14ac:dyDescent="0.3">
      <c r="A12" s="1860" t="str">
        <f>'Introducció dades'!B163</f>
        <v>J</v>
      </c>
      <c r="B12" s="1860"/>
      <c r="C12" s="125">
        <f>'Introducció dades'!C163</f>
        <v>0</v>
      </c>
      <c r="D12" s="807">
        <f>'Introducció dades'!D163</f>
        <v>0</v>
      </c>
      <c r="E12" s="1007">
        <f>'Introducció dades'!E163</f>
        <v>1</v>
      </c>
      <c r="F12" s="1007">
        <f>'Introducció dades'!F163</f>
        <v>0.21</v>
      </c>
      <c r="G12" s="15">
        <f t="shared" si="4"/>
        <v>0</v>
      </c>
      <c r="H12" s="880">
        <f t="shared" si="5"/>
        <v>0</v>
      </c>
      <c r="I12" s="1007">
        <f>'Introducció dades'!G163</f>
        <v>0.21</v>
      </c>
      <c r="J12" s="15">
        <f t="shared" si="6"/>
        <v>0</v>
      </c>
      <c r="K12" s="1008">
        <f t="shared" si="3"/>
        <v>5.0000000000000001E-3</v>
      </c>
    </row>
    <row r="13" spans="1:11" ht="13" x14ac:dyDescent="0.3">
      <c r="A13" s="1860" t="str">
        <f>'Introducció dades'!B164</f>
        <v>K</v>
      </c>
      <c r="B13" s="1860"/>
      <c r="C13" s="125">
        <f>'Introducció dades'!C164</f>
        <v>0</v>
      </c>
      <c r="D13" s="807">
        <f>'Introducció dades'!D164</f>
        <v>0</v>
      </c>
      <c r="E13" s="1007">
        <f>'Introducció dades'!E164</f>
        <v>1</v>
      </c>
      <c r="F13" s="1007">
        <f>'Introducció dades'!F164</f>
        <v>0.21</v>
      </c>
      <c r="G13" s="15">
        <f t="shared" si="4"/>
        <v>0</v>
      </c>
      <c r="H13" s="880">
        <f t="shared" si="5"/>
        <v>0</v>
      </c>
      <c r="I13" s="1007">
        <f>'Introducció dades'!G164</f>
        <v>0.21</v>
      </c>
      <c r="J13" s="15">
        <f t="shared" si="6"/>
        <v>0</v>
      </c>
      <c r="K13" s="1008">
        <f t="shared" si="3"/>
        <v>5.0000000000000001E-3</v>
      </c>
    </row>
    <row r="14" spans="1:11" ht="13" x14ac:dyDescent="0.3">
      <c r="A14" s="1860" t="str">
        <f>'Introducció dades'!B165</f>
        <v>L</v>
      </c>
      <c r="B14" s="1860"/>
      <c r="C14" s="125">
        <f>'Introducció dades'!C165</f>
        <v>0</v>
      </c>
      <c r="D14" s="807">
        <f>'Introducció dades'!D165</f>
        <v>0</v>
      </c>
      <c r="E14" s="1007">
        <f>'Introducció dades'!E165</f>
        <v>1</v>
      </c>
      <c r="F14" s="1007">
        <f>'Introducció dades'!F165</f>
        <v>0.21</v>
      </c>
      <c r="G14" s="15">
        <f t="shared" si="4"/>
        <v>0</v>
      </c>
      <c r="H14" s="880">
        <f t="shared" si="5"/>
        <v>0</v>
      </c>
      <c r="I14" s="1007">
        <f>'Introducció dades'!G165</f>
        <v>0.21</v>
      </c>
      <c r="J14" s="15">
        <f t="shared" si="6"/>
        <v>0</v>
      </c>
      <c r="K14" s="1008">
        <f t="shared" si="3"/>
        <v>5.0000000000000001E-3</v>
      </c>
    </row>
    <row r="15" spans="1:11" ht="13" x14ac:dyDescent="0.3">
      <c r="A15" s="1779" t="s">
        <v>296</v>
      </c>
      <c r="B15" s="1779"/>
      <c r="C15" s="30"/>
      <c r="D15" s="1009"/>
      <c r="E15" s="1010">
        <f>IF(G15=0,0,(G15-J15)/G15)</f>
        <v>0</v>
      </c>
      <c r="F15" s="1011"/>
      <c r="G15" s="881">
        <f>SUM(G3:G14)</f>
        <v>0</v>
      </c>
      <c r="H15" s="1012"/>
      <c r="I15" s="1011"/>
      <c r="J15" s="882">
        <f>SUM(J3:J14)</f>
        <v>0</v>
      </c>
    </row>
    <row r="17" spans="1:93" ht="13" x14ac:dyDescent="0.3">
      <c r="A17" s="1834" t="s">
        <v>17</v>
      </c>
      <c r="B17" s="1834"/>
    </row>
    <row r="19" spans="1:93" ht="13" x14ac:dyDescent="0.3">
      <c r="B19" s="1861" t="s">
        <v>336</v>
      </c>
      <c r="C19" s="1861"/>
      <c r="D19" s="1861"/>
      <c r="E19" s="1861"/>
      <c r="F19" s="1861"/>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c r="AP19" s="1861"/>
      <c r="AQ19" s="1861"/>
      <c r="AR19" s="1861"/>
      <c r="AS19" s="1861"/>
      <c r="AT19" s="1861"/>
      <c r="AU19" s="1861"/>
      <c r="AV19" s="1861"/>
      <c r="AW19" s="1861"/>
      <c r="AX19" s="1861"/>
      <c r="AY19" s="1861"/>
      <c r="AZ19" s="1861"/>
      <c r="BA19" s="1861"/>
      <c r="BB19" s="1861"/>
      <c r="BC19" s="1861"/>
      <c r="BD19" s="1861"/>
      <c r="BE19" s="1861"/>
      <c r="BF19" s="1861"/>
      <c r="BG19" s="1861"/>
      <c r="BH19" s="1861"/>
      <c r="BI19" s="1861"/>
      <c r="BJ19" s="1861"/>
      <c r="BK19" s="1861"/>
      <c r="BL19" s="1861"/>
      <c r="BM19" s="1861"/>
      <c r="BN19" s="1861"/>
      <c r="BO19" s="1861"/>
      <c r="BP19" s="1861"/>
      <c r="BQ19" s="1861"/>
      <c r="BR19" s="1861"/>
      <c r="BS19" s="1861"/>
      <c r="BT19" s="1861"/>
      <c r="BU19" s="1861"/>
      <c r="BV19" s="1861"/>
      <c r="BW19" s="1861"/>
      <c r="BX19" s="1861"/>
      <c r="BY19" s="1861"/>
      <c r="BZ19" s="1861"/>
      <c r="CA19" s="1861"/>
      <c r="CB19" s="1861"/>
      <c r="CC19" s="1861"/>
      <c r="CD19" s="1861"/>
      <c r="CE19" s="1861"/>
      <c r="CF19" s="1861"/>
      <c r="CG19" s="1861"/>
      <c r="CH19" s="1861"/>
      <c r="CI19" s="1861"/>
      <c r="CJ19" s="1861"/>
      <c r="CK19" s="1861"/>
      <c r="CL19" s="1861"/>
      <c r="CM19" s="1861"/>
      <c r="CN19" s="1861"/>
      <c r="CO19" s="1861"/>
    </row>
    <row r="20" spans="1:93" ht="13" x14ac:dyDescent="0.3">
      <c r="B20" s="1862" t="str">
        <f>A3</f>
        <v>A</v>
      </c>
      <c r="C20" s="1862"/>
      <c r="D20" s="1862"/>
      <c r="E20" s="1862"/>
      <c r="F20" s="1862"/>
      <c r="G20" s="1862"/>
      <c r="H20" s="1863" t="str">
        <f>A4</f>
        <v>B</v>
      </c>
      <c r="I20" s="1863"/>
      <c r="J20" s="1863"/>
      <c r="K20" s="1863"/>
      <c r="L20" s="1863"/>
      <c r="M20" s="1863"/>
      <c r="N20" s="1862" t="str">
        <f>A5</f>
        <v>C</v>
      </c>
      <c r="O20" s="1862"/>
      <c r="P20" s="1862"/>
      <c r="Q20" s="1862"/>
      <c r="R20" s="1862"/>
      <c r="S20" s="1862"/>
      <c r="T20" s="1863" t="str">
        <f>A6</f>
        <v>D</v>
      </c>
      <c r="U20" s="1863"/>
      <c r="V20" s="1863"/>
      <c r="W20" s="1863"/>
      <c r="X20" s="1863"/>
      <c r="Y20" s="1863"/>
      <c r="Z20" s="1862" t="str">
        <f>A7</f>
        <v>E</v>
      </c>
      <c r="AA20" s="1862"/>
      <c r="AB20" s="1862"/>
      <c r="AC20" s="1862"/>
      <c r="AD20" s="1862"/>
      <c r="AE20" s="1862"/>
      <c r="AF20" s="1863" t="str">
        <f>A8</f>
        <v>F</v>
      </c>
      <c r="AG20" s="1863"/>
      <c r="AH20" s="1863"/>
      <c r="AI20" s="1863"/>
      <c r="AJ20" s="1863"/>
      <c r="AK20" s="1863"/>
      <c r="AL20" s="1862" t="str">
        <f>A9</f>
        <v>G</v>
      </c>
      <c r="AM20" s="1862"/>
      <c r="AN20" s="1862"/>
      <c r="AO20" s="1862"/>
      <c r="AP20" s="1862"/>
      <c r="AQ20" s="1862"/>
      <c r="AR20" s="1863" t="str">
        <f>A10</f>
        <v>H</v>
      </c>
      <c r="AS20" s="1863"/>
      <c r="AT20" s="1863"/>
      <c r="AU20" s="1863"/>
      <c r="AV20" s="1863"/>
      <c r="AW20" s="1863"/>
      <c r="AX20" s="1862" t="str">
        <f>A11</f>
        <v>I</v>
      </c>
      <c r="AY20" s="1862"/>
      <c r="AZ20" s="1862"/>
      <c r="BA20" s="1862"/>
      <c r="BB20" s="1862"/>
      <c r="BC20" s="1862"/>
      <c r="BD20" s="1863" t="str">
        <f>A12</f>
        <v>J</v>
      </c>
      <c r="BE20" s="1863"/>
      <c r="BF20" s="1863"/>
      <c r="BG20" s="1863"/>
      <c r="BH20" s="1863"/>
      <c r="BI20" s="1863"/>
      <c r="BJ20" s="1862" t="str">
        <f>A13</f>
        <v>K</v>
      </c>
      <c r="BK20" s="1862"/>
      <c r="BL20" s="1862"/>
      <c r="BM20" s="1862"/>
      <c r="BN20" s="1862"/>
      <c r="BO20" s="1862"/>
      <c r="BP20" s="1863" t="str">
        <f>A14</f>
        <v>L</v>
      </c>
      <c r="BQ20" s="1863"/>
      <c r="BR20" s="1863"/>
      <c r="BS20" s="1863"/>
      <c r="BT20" s="1863"/>
      <c r="BU20" s="1863"/>
      <c r="BV20" s="1864" t="s">
        <v>245</v>
      </c>
      <c r="BW20" s="1864"/>
      <c r="BX20" s="1864"/>
      <c r="BY20" s="1864"/>
      <c r="BZ20" s="1864"/>
      <c r="CA20" s="1864"/>
      <c r="CB20" s="1864"/>
      <c r="CC20" s="1864"/>
      <c r="CD20" s="1864"/>
      <c r="CE20" s="1864"/>
      <c r="CF20" s="1864"/>
      <c r="CG20" s="1864"/>
      <c r="CH20" s="1864"/>
      <c r="CI20" s="1864"/>
      <c r="CJ20" s="1864"/>
      <c r="CK20" s="1864"/>
      <c r="CL20" s="1864"/>
      <c r="CM20" s="1864"/>
      <c r="CN20" s="1864"/>
      <c r="CO20" s="1864"/>
    </row>
    <row r="21" spans="1:93" ht="13" x14ac:dyDescent="0.3">
      <c r="B21" s="28" t="s">
        <v>337</v>
      </c>
      <c r="C21" s="28" t="s">
        <v>231</v>
      </c>
      <c r="D21" s="28" t="s">
        <v>58</v>
      </c>
      <c r="E21" s="28" t="s">
        <v>338</v>
      </c>
      <c r="F21" s="28" t="s">
        <v>59</v>
      </c>
      <c r="G21" s="28" t="s">
        <v>339</v>
      </c>
      <c r="H21" s="1014" t="str">
        <f>B21</f>
        <v>PREVISIÓ %</v>
      </c>
      <c r="I21" s="22" t="s">
        <v>231</v>
      </c>
      <c r="J21" s="1014" t="str">
        <f>D21</f>
        <v>INGRESSOS</v>
      </c>
      <c r="K21" s="22" t="s">
        <v>338</v>
      </c>
      <c r="L21" s="1014" t="str">
        <f>F21</f>
        <v>DESPESES</v>
      </c>
      <c r="M21" s="22" t="s">
        <v>339</v>
      </c>
      <c r="N21" s="28" t="s">
        <v>337</v>
      </c>
      <c r="O21" s="28" t="s">
        <v>231</v>
      </c>
      <c r="P21" s="28" t="s">
        <v>58</v>
      </c>
      <c r="Q21" s="28" t="s">
        <v>338</v>
      </c>
      <c r="R21" s="28" t="s">
        <v>59</v>
      </c>
      <c r="S21" s="28" t="s">
        <v>339</v>
      </c>
      <c r="T21" s="1014" t="str">
        <f>N21</f>
        <v>PREVISIÓ %</v>
      </c>
      <c r="U21" s="22" t="s">
        <v>231</v>
      </c>
      <c r="V21" s="1014" t="str">
        <f>P21</f>
        <v>INGRESSOS</v>
      </c>
      <c r="W21" s="22" t="s">
        <v>338</v>
      </c>
      <c r="X21" s="1014" t="str">
        <f>R21</f>
        <v>DESPESES</v>
      </c>
      <c r="Y21" s="22" t="s">
        <v>339</v>
      </c>
      <c r="Z21" s="28" t="s">
        <v>337</v>
      </c>
      <c r="AA21" s="28" t="s">
        <v>231</v>
      </c>
      <c r="AB21" s="28" t="s">
        <v>58</v>
      </c>
      <c r="AC21" s="28" t="s">
        <v>338</v>
      </c>
      <c r="AD21" s="28" t="s">
        <v>59</v>
      </c>
      <c r="AE21" s="28" t="s">
        <v>339</v>
      </c>
      <c r="AF21" s="1014" t="str">
        <f>Z21</f>
        <v>PREVISIÓ %</v>
      </c>
      <c r="AG21" s="22" t="s">
        <v>231</v>
      </c>
      <c r="AH21" s="1014" t="str">
        <f>AB21</f>
        <v>INGRESSOS</v>
      </c>
      <c r="AI21" s="22" t="s">
        <v>338</v>
      </c>
      <c r="AJ21" s="1014" t="str">
        <f>AD21</f>
        <v>DESPESES</v>
      </c>
      <c r="AK21" s="22" t="s">
        <v>339</v>
      </c>
      <c r="AL21" s="28" t="s">
        <v>337</v>
      </c>
      <c r="AM21" s="28" t="s">
        <v>231</v>
      </c>
      <c r="AN21" s="28" t="s">
        <v>58</v>
      </c>
      <c r="AO21" s="28" t="s">
        <v>338</v>
      </c>
      <c r="AP21" s="28" t="s">
        <v>59</v>
      </c>
      <c r="AQ21" s="28" t="s">
        <v>339</v>
      </c>
      <c r="AR21" s="1014" t="str">
        <f>AL21</f>
        <v>PREVISIÓ %</v>
      </c>
      <c r="AS21" s="22" t="s">
        <v>231</v>
      </c>
      <c r="AT21" s="1014" t="str">
        <f>AN21</f>
        <v>INGRESSOS</v>
      </c>
      <c r="AU21" s="22" t="s">
        <v>338</v>
      </c>
      <c r="AV21" s="1014" t="str">
        <f>AP21</f>
        <v>DESPESES</v>
      </c>
      <c r="AW21" s="22" t="s">
        <v>339</v>
      </c>
      <c r="AX21" s="920" t="str">
        <f>H21</f>
        <v>PREVISIÓ %</v>
      </c>
      <c r="AY21" s="28" t="s">
        <v>231</v>
      </c>
      <c r="AZ21" s="28" t="s">
        <v>58</v>
      </c>
      <c r="BA21" s="28" t="s">
        <v>338</v>
      </c>
      <c r="BB21" s="28" t="s">
        <v>59</v>
      </c>
      <c r="BC21" s="28" t="s">
        <v>339</v>
      </c>
      <c r="BD21" s="1014" t="str">
        <f>AX21</f>
        <v>PREVISIÓ %</v>
      </c>
      <c r="BE21" s="22" t="s">
        <v>231</v>
      </c>
      <c r="BF21" s="1014" t="str">
        <f>AZ21</f>
        <v>INGRESSOS</v>
      </c>
      <c r="BG21" s="22" t="s">
        <v>338</v>
      </c>
      <c r="BH21" s="1014" t="str">
        <f>BB21</f>
        <v>DESPESES</v>
      </c>
      <c r="BI21" s="22" t="s">
        <v>339</v>
      </c>
      <c r="BJ21" s="920" t="str">
        <f>BD21</f>
        <v>PREVISIÓ %</v>
      </c>
      <c r="BK21" s="28" t="s">
        <v>231</v>
      </c>
      <c r="BL21" s="28" t="s">
        <v>58</v>
      </c>
      <c r="BM21" s="28" t="s">
        <v>338</v>
      </c>
      <c r="BN21" s="28" t="s">
        <v>59</v>
      </c>
      <c r="BO21" s="28" t="s">
        <v>339</v>
      </c>
      <c r="BP21" s="1014" t="str">
        <f>BJ21</f>
        <v>PREVISIÓ %</v>
      </c>
      <c r="BQ21" s="22" t="s">
        <v>231</v>
      </c>
      <c r="BR21" s="1014" t="str">
        <f>BL21</f>
        <v>INGRESSOS</v>
      </c>
      <c r="BS21" s="22" t="s">
        <v>338</v>
      </c>
      <c r="BT21" s="1014" t="str">
        <f>BN21</f>
        <v>DESPESES</v>
      </c>
      <c r="BU21" s="22" t="s">
        <v>339</v>
      </c>
      <c r="BV21" s="1015" t="s">
        <v>231</v>
      </c>
      <c r="BW21" s="1015" t="str">
        <f>BR21</f>
        <v>INGRESSOS</v>
      </c>
      <c r="BX21" s="1015" t="s">
        <v>338</v>
      </c>
      <c r="BY21" s="1015" t="str">
        <f>BT21</f>
        <v>DESPESES</v>
      </c>
      <c r="BZ21" s="1015" t="s">
        <v>339</v>
      </c>
      <c r="CA21" s="1016"/>
      <c r="CB21" s="1017" t="str">
        <f>MERCADERIES!DC20</f>
        <v>GENER</v>
      </c>
      <c r="CC21" s="1017" t="str">
        <f>MERCADERIES!DD20</f>
        <v>FEBRER</v>
      </c>
      <c r="CD21" s="1017" t="str">
        <f>MERCADERIES!DE20</f>
        <v>MARÇ</v>
      </c>
      <c r="CE21" s="1017" t="str">
        <f>MERCADERIES!DF20</f>
        <v>ABRIL</v>
      </c>
      <c r="CF21" s="1017" t="str">
        <f>MERCADERIES!DG20</f>
        <v>MAIG</v>
      </c>
      <c r="CG21" s="1017" t="str">
        <f>MERCADERIES!DH20</f>
        <v>JUNY</v>
      </c>
      <c r="CH21" s="1017" t="str">
        <f>MERCADERIES!DI20</f>
        <v>JULIOL</v>
      </c>
      <c r="CI21" s="1017" t="str">
        <f>MERCADERIES!DJ20</f>
        <v>AGOST</v>
      </c>
      <c r="CJ21" s="1017" t="str">
        <f>MERCADERIES!DK20</f>
        <v>SETEMBRE</v>
      </c>
      <c r="CK21" s="1017" t="str">
        <f>MERCADERIES!DL20</f>
        <v>OCTUBRE</v>
      </c>
      <c r="CL21" s="1017" t="str">
        <f>MERCADERIES!DM20</f>
        <v>NOVEMBRE</v>
      </c>
      <c r="CM21" s="1017" t="str">
        <f>MERCADERIES!DN20</f>
        <v>DESEMBRE</v>
      </c>
      <c r="CN21" s="1018" t="s">
        <v>245</v>
      </c>
      <c r="CO21" s="1013" t="s">
        <v>233</v>
      </c>
    </row>
    <row r="22" spans="1:93" ht="13" x14ac:dyDescent="0.3">
      <c r="A22" s="1019" t="str">
        <f>TRIBUTS!K1</f>
        <v>GENER</v>
      </c>
      <c r="B22" s="1020">
        <f>'Introducció dades'!C170</f>
        <v>0</v>
      </c>
      <c r="C22" s="1021">
        <f>B22*C$3</f>
        <v>0</v>
      </c>
      <c r="D22" s="1022">
        <f>IF(OR(Fiscalitat!$H$21="a",Fiscalitat!$H$21="B",Fiscalitat!$H$21="D"),((1+$F$3)*C22*D$3),C22*$D$3)</f>
        <v>0</v>
      </c>
      <c r="E22" s="1022">
        <f>IF(OR(Fiscalitat!$H$21="a",Fiscalitat!$H$21="B",Fiscalitat!$H$21="D"),0,D22*$F$3)</f>
        <v>0</v>
      </c>
      <c r="F22" s="1022">
        <f>IF(OR(Fiscalitat!$H$21="B",Fiscalitat!$H$21="D"),D22*(1-$E$3)+C22*$D$3*$K$3*(1-$E$3),D22*(1-$E$3))</f>
        <v>0</v>
      </c>
      <c r="G22" s="1022">
        <f>IF(OR(Fiscalitat!$H$21="a",Fiscalitat!$H$21="B",Fiscalitat!$H$21="D"),0,F22*$I$3)</f>
        <v>0</v>
      </c>
      <c r="H22" s="1023">
        <f>'Introducció dades'!D170</f>
        <v>0</v>
      </c>
      <c r="I22" s="1024">
        <f>H22*C$4</f>
        <v>0</v>
      </c>
      <c r="J22" s="794">
        <f>IF(OR(Fiscalitat!$H$21="a",Fiscalitat!$H$21="B",Fiscalitat!$H$21="D"),((1+$F$4)*I22*D$4),I22*$D$4)</f>
        <v>0</v>
      </c>
      <c r="K22" s="794">
        <f>IF(OR(Fiscalitat!$H$21="a",Fiscalitat!$H$21="B",Fiscalitat!$H$21="D"),0,J22*$F$4)</f>
        <v>0</v>
      </c>
      <c r="L22" s="794">
        <f>IF(OR(Fiscalitat!$H$21="B",Fiscalitat!$H$21="D"),J22*(1-$E$4)+I22*$D$4*$K$4*(1-$E$4),J22*(1-$E$4))</f>
        <v>0</v>
      </c>
      <c r="M22" s="794">
        <f>IF(OR(Fiscalitat!$H$21="a",Fiscalitat!$H$21="B",Fiscalitat!$H$21="D"),0,L22*$I$4)</f>
        <v>0</v>
      </c>
      <c r="N22" s="1020">
        <f>'Introducció dades'!E170</f>
        <v>0</v>
      </c>
      <c r="O22" s="1021">
        <f>N22*C$5</f>
        <v>0</v>
      </c>
      <c r="P22" s="1022">
        <f>IF(OR(Fiscalitat!$H$21="a",Fiscalitat!$H$21="B",Fiscalitat!$H$21="D"),((1+$F$5)*O22*D$5),O22*$D$5)</f>
        <v>0</v>
      </c>
      <c r="Q22" s="1022">
        <f>IF(OR(Fiscalitat!$H$21="a",Fiscalitat!$H$21="B",Fiscalitat!$H$21="D"),0,P22*$F$5)</f>
        <v>0</v>
      </c>
      <c r="R22" s="1022">
        <f>IF(OR(Fiscalitat!$H$21="B",Fiscalitat!$H$21="D"),P22*(1-$E$5)+O22*$D$5*$K$5*(1-$E$5),P22*(1-$E$5))</f>
        <v>0</v>
      </c>
      <c r="S22" s="1022">
        <f>IF(OR(Fiscalitat!$H$21="a",Fiscalitat!$H$21="B",Fiscalitat!$H$21="D"),0,R22*$I$5)</f>
        <v>0</v>
      </c>
      <c r="T22" s="1023">
        <f>'Introducció dades'!F170</f>
        <v>0</v>
      </c>
      <c r="U22" s="1024">
        <f>T22*C$6</f>
        <v>0</v>
      </c>
      <c r="V22" s="794">
        <f>IF(OR(Fiscalitat!$H$21="a",Fiscalitat!$H$21="B",Fiscalitat!$H$21="D"),((1+$F$6)*U22*D$6),U22*$D$6)</f>
        <v>0</v>
      </c>
      <c r="W22" s="794">
        <f>IF(OR(Fiscalitat!$H$21="a",Fiscalitat!$H$21="B",Fiscalitat!$H$21="D"),0,V22*$F$6)</f>
        <v>0</v>
      </c>
      <c r="X22" s="794">
        <f>IF(OR(Fiscalitat!$H$21="B",Fiscalitat!$H$21="D"),V22*(1-$E$6)+U22*$D$6*$K$6*(1-$E$6),V22*(1-$E$6))</f>
        <v>0</v>
      </c>
      <c r="Y22" s="794">
        <f>IF(OR(Fiscalitat!$H$21="a",Fiscalitat!$H$21="B",Fiscalitat!$H$21="D"),0,X22*$I$6)</f>
        <v>0</v>
      </c>
      <c r="Z22" s="1020">
        <f>'Introducció dades'!G170</f>
        <v>0</v>
      </c>
      <c r="AA22" s="1021">
        <f>Z22*C$7</f>
        <v>0</v>
      </c>
      <c r="AB22" s="1022">
        <f>IF(OR(Fiscalitat!$H$21="a",Fiscalitat!$H$21="B",Fiscalitat!$H$21="D"),((1+$F$7)*AA22*D$7),AA22*$D$7)</f>
        <v>0</v>
      </c>
      <c r="AC22" s="1022">
        <f>IF(OR(Fiscalitat!$H$21="a",Fiscalitat!$H$21="B",Fiscalitat!$H$21="D"),0,AB22*$F$7)</f>
        <v>0</v>
      </c>
      <c r="AD22" s="1022">
        <f>IF(OR(Fiscalitat!$H$21="B",Fiscalitat!$H$21="D"),AB22*(1-$E$7)+AA22*$D$7*$K$7*(1-$E$7),AB22*(1-$E$7))</f>
        <v>0</v>
      </c>
      <c r="AE22" s="1022">
        <f>IF(OR(Fiscalitat!$H$21="a",Fiscalitat!$H$21="B",Fiscalitat!$H$21="D"),0,AD22*$I$7)</f>
        <v>0</v>
      </c>
      <c r="AF22" s="1023">
        <f>'Introducció dades'!H170</f>
        <v>0</v>
      </c>
      <c r="AG22" s="1024">
        <f>AF22*C$8</f>
        <v>0</v>
      </c>
      <c r="AH22" s="794">
        <f>IF(OR(Fiscalitat!$H$21="a",Fiscalitat!$H$21="B",Fiscalitat!$H$21="D"),((1+$F$8)*AG22*D$8),AG22*$D$8)</f>
        <v>0</v>
      </c>
      <c r="AI22" s="794">
        <f>IF(OR(Fiscalitat!$H$21="a",Fiscalitat!$H$21="B",Fiscalitat!$H$21="D"),0,AH22*$F$8)</f>
        <v>0</v>
      </c>
      <c r="AJ22" s="794">
        <f>IF(OR(Fiscalitat!$H$21="B",Fiscalitat!$H$21="D"),AH22*(1-$E$8)+AG22*$D$8*$K$8*(1-$E$8),AH22*(1-$E$8))</f>
        <v>0</v>
      </c>
      <c r="AK22" s="794">
        <f>IF(OR(Fiscalitat!$H$21="a",Fiscalitat!$H$21="B",Fiscalitat!$H$21="D"),0,AJ22*$I$8)</f>
        <v>0</v>
      </c>
      <c r="AL22" s="1020">
        <f>'Introducció dades'!I170</f>
        <v>0</v>
      </c>
      <c r="AM22" s="1021">
        <f>AL22*C$9</f>
        <v>0</v>
      </c>
      <c r="AN22" s="1022">
        <f>IF(OR(Fiscalitat!$H$21="a",Fiscalitat!$H$21="B",Fiscalitat!$H$21="D"),((1+$F$9)*AM22*D$9),AM22*$D$9)</f>
        <v>0</v>
      </c>
      <c r="AO22" s="1022">
        <f>IF(OR(Fiscalitat!$H$21="a",Fiscalitat!$H$21="B",Fiscalitat!$H$21="D"),0,AN22*$F$9)</f>
        <v>0</v>
      </c>
      <c r="AP22" s="1022">
        <f>IF(OR(Fiscalitat!$H$21="B",Fiscalitat!$H$21="D"),AN22*(1-$E$9)+AM22*$D$9*$K$9*(1-$E$9),AN22*(1-$E$9))</f>
        <v>0</v>
      </c>
      <c r="AQ22" s="1022">
        <f>IF(OR(Fiscalitat!$H$21="a",Fiscalitat!$H$21="B",Fiscalitat!$H$21="D"),0,AP22*$I$9)</f>
        <v>0</v>
      </c>
      <c r="AR22" s="1023">
        <f>'Introducció dades'!J170</f>
        <v>0</v>
      </c>
      <c r="AS22" s="1024">
        <f>AR22*C$10</f>
        <v>0</v>
      </c>
      <c r="AT22" s="794">
        <f>IF(OR(Fiscalitat!$H$21="a",Fiscalitat!$H$21="B",Fiscalitat!$H$21="D"),((1+$F$10)*AS22*D$10),AS22*$D$10)</f>
        <v>0</v>
      </c>
      <c r="AU22" s="794">
        <f>IF(OR(Fiscalitat!$H$21="a",Fiscalitat!$H$21="B",Fiscalitat!$H$21="D"),0,AT22*$F$10)</f>
        <v>0</v>
      </c>
      <c r="AV22" s="794">
        <f>IF(OR(Fiscalitat!$H$21="B",Fiscalitat!$H$21="D"),AT22*(1-$E$10)+AS22*$D$10*$K$10*(1-$E$10),AT22*(1-$E$10))</f>
        <v>0</v>
      </c>
      <c r="AW22" s="794">
        <f>IF(OR(Fiscalitat!$H$21="a",Fiscalitat!$H$21="B",Fiscalitat!$H$21="D"),0,AV22*$I$10)</f>
        <v>0</v>
      </c>
      <c r="AX22" s="1020">
        <f>'Introducció dades'!K170</f>
        <v>0</v>
      </c>
      <c r="AY22" s="1021">
        <f>AX22*C$11</f>
        <v>0</v>
      </c>
      <c r="AZ22" s="1022">
        <f>IF(OR(Fiscalitat!$H$21="a",Fiscalitat!$H$21="B",Fiscalitat!$H$21="D"),((1+$F$11)*AY22*D$11),AY22*$D$11)</f>
        <v>0</v>
      </c>
      <c r="BA22" s="1022">
        <f>IF(OR(Fiscalitat!$H$21="a",Fiscalitat!$H$21="B",Fiscalitat!$H$21="D"),0,AZ22*$F$11)</f>
        <v>0</v>
      </c>
      <c r="BB22" s="1022">
        <f>IF(OR(Fiscalitat!$H$21="B",Fiscalitat!$H$21="D"),AZ22*(1-$E$11)+AY22*$D$11*$K$11*(1-$E$11),AZ22*(1-$E$11))</f>
        <v>0</v>
      </c>
      <c r="BC22" s="1022">
        <f>IF(OR(Fiscalitat!$H$21="a",Fiscalitat!$H$21="B",Fiscalitat!$H$21="D"),0,BB22*$I$11)</f>
        <v>0</v>
      </c>
      <c r="BD22" s="1023">
        <f>'Introducció dades'!L170</f>
        <v>0</v>
      </c>
      <c r="BE22" s="1024">
        <f>BD22*C$12</f>
        <v>0</v>
      </c>
      <c r="BF22" s="794">
        <f>IF(OR(Fiscalitat!$H$21="a",Fiscalitat!$H$21="B",Fiscalitat!$H$21="D"),((1+$F$12)*BE22*D$12),BE22*$D$12)</f>
        <v>0</v>
      </c>
      <c r="BG22" s="794">
        <f>IF(OR(Fiscalitat!$H$21="a",Fiscalitat!$H$21="B",Fiscalitat!$H$21="D"),0,BF22*$F$12)</f>
        <v>0</v>
      </c>
      <c r="BH22" s="794">
        <f>IF(OR(Fiscalitat!$H$21="B",Fiscalitat!$H$21="D"),BF22*(1-$E$12)+BE22*$D$12*$K$12*(1-$E$12),BF22*(1-$E$12))</f>
        <v>0</v>
      </c>
      <c r="BI22" s="794">
        <f>IF(OR(Fiscalitat!$H$21="a",Fiscalitat!$H$21="B",Fiscalitat!$H$21="D"),0,BH22*$I$12)</f>
        <v>0</v>
      </c>
      <c r="BJ22" s="1020">
        <f>'Introducció dades'!M170</f>
        <v>0</v>
      </c>
      <c r="BK22" s="1021">
        <f>BJ22*C$13</f>
        <v>0</v>
      </c>
      <c r="BL22" s="1022">
        <f>IF(OR(Fiscalitat!$H$21="a",Fiscalitat!$H$21="B",Fiscalitat!$H$21="D"),((1+$F$13)*BK22*D$13),BK22*$D$13)</f>
        <v>0</v>
      </c>
      <c r="BM22" s="1022">
        <f>IF(OR(Fiscalitat!$H$21="a",Fiscalitat!$H$21="B",Fiscalitat!$H$21="D"),0,BL22*$F$13)</f>
        <v>0</v>
      </c>
      <c r="BN22" s="1022">
        <f>IF(OR(Fiscalitat!$H$21="B",Fiscalitat!$H$21="D"),BL22*(1-$E$13)+BK22*$D$13*$K$13*(1-$E$13),BL22*(1-$E$13))</f>
        <v>0</v>
      </c>
      <c r="BO22" s="1022">
        <f>IF(OR(Fiscalitat!$H$21="a",Fiscalitat!$H$21="B",Fiscalitat!$H$21="D"),0,BN22*$I$13)</f>
        <v>0</v>
      </c>
      <c r="BP22" s="1025">
        <f>'Introducció dades'!N170</f>
        <v>0</v>
      </c>
      <c r="BQ22" s="1024">
        <f>BP22*C$14</f>
        <v>0</v>
      </c>
      <c r="BR22" s="794">
        <f>IF(OR(Fiscalitat!$H$21="a",Fiscalitat!$H$21="B",Fiscalitat!$H$21="D"),((1+$F$14)*BQ22*D$14),BQ22*$D$14)</f>
        <v>0</v>
      </c>
      <c r="BS22" s="794">
        <f>IF(OR(Fiscalitat!$H$21="a",Fiscalitat!$H$21="B",Fiscalitat!$H$21="D"),0,BR22*$F$14)</f>
        <v>0</v>
      </c>
      <c r="BT22" s="794">
        <f>IF(OR(Fiscalitat!$H$21="B",Fiscalitat!$H$21="D"),BR22*(1-$E$14)+BQ22*$D$14*$K$14*(1-$E$14),BR22*(1-$E$14))</f>
        <v>0</v>
      </c>
      <c r="BU22" s="794">
        <f>IF(OR(Fiscalitat!$H$21="a",Fiscalitat!$H$21="B",Fiscalitat!$H$21="D"),0,BT22*$I$14)</f>
        <v>0</v>
      </c>
      <c r="BV22" s="25">
        <f>C22+I22+O22+U22+AA22+AG22+AM22+AS22+AY22+BE22+BK22+BQ22</f>
        <v>0</v>
      </c>
      <c r="BW22" s="1026">
        <f>D22+J22+P22+V22+AB22+AH22+AN22+AT22+AZ22+BF22+BL22+BR22</f>
        <v>0</v>
      </c>
      <c r="BX22" s="1026">
        <f>E22+K22+Q22+W22+AC22+AI22+AO22+AU22+BA22+BG22+BM22+BS22</f>
        <v>0</v>
      </c>
      <c r="BY22" s="1026">
        <f>F22+L22+R22+X22+AD22+AJ22+AP22+AV22+BB22+BH22+BN22+BT22</f>
        <v>0</v>
      </c>
      <c r="BZ22" s="1026">
        <f t="shared" ref="BZ22:BZ33" si="7">G22+M22+S22+Y22+AE22+AK22+AQ22+AW22+BC22+BI22+BO22+BU22</f>
        <v>0</v>
      </c>
      <c r="CA22" s="903" t="s">
        <v>58</v>
      </c>
      <c r="CB22" s="1027">
        <f>$BW22</f>
        <v>0</v>
      </c>
      <c r="CC22" s="1027">
        <f>$BW23</f>
        <v>0</v>
      </c>
      <c r="CD22" s="1027">
        <f>$BW24</f>
        <v>0</v>
      </c>
      <c r="CE22" s="1027">
        <f>$BW25</f>
        <v>0</v>
      </c>
      <c r="CF22" s="1027">
        <f>$BW26</f>
        <v>0</v>
      </c>
      <c r="CG22" s="1027">
        <f>$BW27</f>
        <v>0</v>
      </c>
      <c r="CH22" s="1027">
        <f>$BW28</f>
        <v>0</v>
      </c>
      <c r="CI22" s="1027">
        <f>$BW29</f>
        <v>0</v>
      </c>
      <c r="CJ22" s="1027">
        <f>$BW30</f>
        <v>0</v>
      </c>
      <c r="CK22" s="1027">
        <f>$BW31</f>
        <v>0</v>
      </c>
      <c r="CL22" s="1027">
        <f>$BW32</f>
        <v>0</v>
      </c>
      <c r="CM22" s="1027">
        <f>$BW33</f>
        <v>0</v>
      </c>
      <c r="CN22" s="1028">
        <f>SUM(CB22:CM22)</f>
        <v>0</v>
      </c>
      <c r="CO22" s="1029">
        <f>IF(BW22=0,0,(BW22-BY22)/BW22)</f>
        <v>0</v>
      </c>
    </row>
    <row r="23" spans="1:93" ht="13" x14ac:dyDescent="0.3">
      <c r="A23" s="1019" t="str">
        <f>TRIBUTS!K2</f>
        <v>FEBRER</v>
      </c>
      <c r="B23" s="1020">
        <f>'Introducció dades'!C171</f>
        <v>0</v>
      </c>
      <c r="C23" s="1021">
        <f t="shared" ref="C23:C33" si="8">B23*C$3</f>
        <v>0</v>
      </c>
      <c r="D23" s="1022">
        <f>IF(OR(Fiscalitat!$H$21="a",Fiscalitat!$H$21="B",Fiscalitat!$H$21="D"),((1+$F$3)*C23*D$3),C23*$D$3)</f>
        <v>0</v>
      </c>
      <c r="E23" s="1022">
        <f>IF(OR(Fiscalitat!$H$21="a",Fiscalitat!$H$21="B",Fiscalitat!$H$21="D"),0,D23*$F$3)</f>
        <v>0</v>
      </c>
      <c r="F23" s="1022">
        <f>IF(OR(Fiscalitat!$H$21="B",Fiscalitat!$H$21="D"),D23*(1-$E$3)+C23*$D$3*$K$3*(1-$E$3),D23*(1-$E$3))</f>
        <v>0</v>
      </c>
      <c r="G23" s="1022">
        <f>IF(OR(Fiscalitat!$H$21="a",Fiscalitat!$H$21="B",Fiscalitat!$H$21="D"),0,F23*$I$3)</f>
        <v>0</v>
      </c>
      <c r="H23" s="1023">
        <f>'Introducció dades'!D171</f>
        <v>0</v>
      </c>
      <c r="I23" s="1024">
        <f t="shared" ref="I23:I33" si="9">H23*C$4</f>
        <v>0</v>
      </c>
      <c r="J23" s="794">
        <f>IF(OR(Fiscalitat!$H$21="a",Fiscalitat!$H$21="B",Fiscalitat!$H$21="D"),((1+$F$4)*I23*D$4),I23*$D$4)</f>
        <v>0</v>
      </c>
      <c r="K23" s="794">
        <f>IF(OR(Fiscalitat!$H$21="a",Fiscalitat!$H$21="B",Fiscalitat!$H$21="D"),0,J23*$F$4)</f>
        <v>0</v>
      </c>
      <c r="L23" s="794">
        <f>IF(OR(Fiscalitat!$H$21="B",Fiscalitat!$H$21="D"),J23*(1-$E$4)+I23*$D$4*$K$4*(1-$E$4),J23*(1-$E$4))</f>
        <v>0</v>
      </c>
      <c r="M23" s="794">
        <f>IF(OR(Fiscalitat!$H$21="a",Fiscalitat!$H$21="B",Fiscalitat!$H$21="D"),0,L23*$I$4)</f>
        <v>0</v>
      </c>
      <c r="N23" s="1020">
        <f>'Introducció dades'!E171</f>
        <v>0</v>
      </c>
      <c r="O23" s="1021">
        <f t="shared" ref="O23:O33" si="10">N23*C$5</f>
        <v>0</v>
      </c>
      <c r="P23" s="1022">
        <f>IF(OR(Fiscalitat!$H$21="a",Fiscalitat!$H$21="B",Fiscalitat!$H$21="D"),((1+$F$5)*O23*D$5),O23*$D$5)</f>
        <v>0</v>
      </c>
      <c r="Q23" s="1022">
        <f>IF(OR(Fiscalitat!$H$21="a",Fiscalitat!$H$21="B",Fiscalitat!$H$21="D"),0,P23*$F$5)</f>
        <v>0</v>
      </c>
      <c r="R23" s="1022">
        <f>IF(OR(Fiscalitat!$H$21="B",Fiscalitat!$H$21="D"),P23*(1-$E$5)+O23*$D$5*$K$5*(1-$E$5),P23*(1-$E$5))</f>
        <v>0</v>
      </c>
      <c r="S23" s="1022">
        <f>IF(OR(Fiscalitat!$H$21="a",Fiscalitat!$H$21="B",Fiscalitat!$H$21="D"),0,R23*$I$5)</f>
        <v>0</v>
      </c>
      <c r="T23" s="1023">
        <f>'Introducció dades'!F171</f>
        <v>0</v>
      </c>
      <c r="U23" s="1024">
        <f t="shared" ref="U23:U33" si="11">T23*C$6</f>
        <v>0</v>
      </c>
      <c r="V23" s="794">
        <f>IF(OR(Fiscalitat!$H$21="a",Fiscalitat!$H$21="B",Fiscalitat!$H$21="D"),((1+$F$6)*U23*D$6),U23*$D$6)</f>
        <v>0</v>
      </c>
      <c r="W23" s="794">
        <f>IF(OR(Fiscalitat!$H$21="a",Fiscalitat!$H$21="B",Fiscalitat!$H$21="D"),0,V23*$F$6)</f>
        <v>0</v>
      </c>
      <c r="X23" s="794">
        <f>IF(OR(Fiscalitat!$H$21="B",Fiscalitat!$H$21="D"),V23*(1-$E$6)+U23*$D$6*$K$6*(1-$E$6),V23*(1-$E$6))</f>
        <v>0</v>
      </c>
      <c r="Y23" s="794">
        <f>IF(OR(Fiscalitat!$H$21="a",Fiscalitat!$H$21="B",Fiscalitat!$H$21="D"),0,X23*$I$6)</f>
        <v>0</v>
      </c>
      <c r="Z23" s="1020">
        <f>'Introducció dades'!G171</f>
        <v>0</v>
      </c>
      <c r="AA23" s="1021">
        <f t="shared" ref="AA23:AA33" si="12">Z23*C$7</f>
        <v>0</v>
      </c>
      <c r="AB23" s="1022">
        <f>IF(OR(Fiscalitat!$H$21="a",Fiscalitat!$H$21="B",Fiscalitat!$H$21="D"),((1+$F$7)*AA23*D$7),AA23*$D$7)</f>
        <v>0</v>
      </c>
      <c r="AC23" s="1022">
        <f>IF(OR(Fiscalitat!$H$21="a",Fiscalitat!$H$21="B",Fiscalitat!$H$21="D"),0,AB23*$F$7)</f>
        <v>0</v>
      </c>
      <c r="AD23" s="1022">
        <f>IF(OR(Fiscalitat!$H$21="B",Fiscalitat!$H$21="D"),AB23*(1-$E$7)+AA23*$D$7*$K$7*(1-$E$7),AB23*(1-$E$7))</f>
        <v>0</v>
      </c>
      <c r="AE23" s="1022">
        <f>IF(OR(Fiscalitat!$H$21="a",Fiscalitat!$H$21="B",Fiscalitat!$H$21="D"),0,AD23*$I$7)</f>
        <v>0</v>
      </c>
      <c r="AF23" s="1023">
        <f>'Introducció dades'!H171</f>
        <v>0</v>
      </c>
      <c r="AG23" s="1024">
        <f t="shared" ref="AG23:AG33" si="13">AF23*C$8</f>
        <v>0</v>
      </c>
      <c r="AH23" s="794">
        <f>IF(OR(Fiscalitat!$H$21="a",Fiscalitat!$H$21="B",Fiscalitat!$H$21="D"),((1+$F$8)*AG23*D$8),AG23*$D$8)</f>
        <v>0</v>
      </c>
      <c r="AI23" s="794">
        <f>IF(OR(Fiscalitat!$H$21="a",Fiscalitat!$H$21="B",Fiscalitat!$H$21="D"),0,AH23*$F$8)</f>
        <v>0</v>
      </c>
      <c r="AJ23" s="794">
        <f>IF(OR(Fiscalitat!$H$21="B",Fiscalitat!$H$21="D"),AH23*(1-$E$8)+AG23*$D$8*$K$8*(1-$E$8),AH23*(1-$E$8))</f>
        <v>0</v>
      </c>
      <c r="AK23" s="794">
        <f>IF(OR(Fiscalitat!$H$21="a",Fiscalitat!$H$21="B",Fiscalitat!$H$21="D"),0,AJ23*$I$8)</f>
        <v>0</v>
      </c>
      <c r="AL23" s="1020">
        <f>'Introducció dades'!I171</f>
        <v>0</v>
      </c>
      <c r="AM23" s="1021">
        <f t="shared" ref="AM23:AM33" si="14">AL23*C$9</f>
        <v>0</v>
      </c>
      <c r="AN23" s="1022">
        <f>IF(OR(Fiscalitat!$H$21="a",Fiscalitat!$H$21="B",Fiscalitat!$H$21="D"),((1+$F$9)*AM23*D$9),AM23*$D$9)</f>
        <v>0</v>
      </c>
      <c r="AO23" s="1022">
        <f>IF(OR(Fiscalitat!$H$21="a",Fiscalitat!$H$21="B",Fiscalitat!$H$21="D"),0,AN23*$F$9)</f>
        <v>0</v>
      </c>
      <c r="AP23" s="1022">
        <f>IF(OR(Fiscalitat!$H$21="B",Fiscalitat!$H$21="D"),AN23*(1-$E$9)+AM23*$D$9*$K$9*(1-$E$9),AN23*(1-$E$9))</f>
        <v>0</v>
      </c>
      <c r="AQ23" s="1022">
        <f>IF(OR(Fiscalitat!$H$21="a",Fiscalitat!$H$21="B",Fiscalitat!$H$21="D"),0,AP23*$I$9)</f>
        <v>0</v>
      </c>
      <c r="AR23" s="1023">
        <f>'Introducció dades'!J171</f>
        <v>0</v>
      </c>
      <c r="AS23" s="1024">
        <f t="shared" ref="AS23:AS33" si="15">AR23*C$10</f>
        <v>0</v>
      </c>
      <c r="AT23" s="794">
        <f>IF(OR(Fiscalitat!$H$21="a",Fiscalitat!$H$21="B",Fiscalitat!$H$21="D"),((1+$F$10)*AS23*D$10),AS23*$D$10)</f>
        <v>0</v>
      </c>
      <c r="AU23" s="794">
        <f>IF(OR(Fiscalitat!$H$21="a",Fiscalitat!$H$21="B",Fiscalitat!$H$21="D"),0,AT23*$F$10)</f>
        <v>0</v>
      </c>
      <c r="AV23" s="794">
        <f>IF(OR(Fiscalitat!$H$21="B",Fiscalitat!$H$21="D"),AT23*(1-$E$10)+AS23*$D$10*$K$10*(1-$E$10),AT23*(1-$E$10))</f>
        <v>0</v>
      </c>
      <c r="AW23" s="794">
        <f>IF(OR(Fiscalitat!$H$21="a",Fiscalitat!$H$21="B",Fiscalitat!$H$21="D"),0,AV23*$I$10)</f>
        <v>0</v>
      </c>
      <c r="AX23" s="1020">
        <f>'Introducció dades'!K171</f>
        <v>0</v>
      </c>
      <c r="AY23" s="1021">
        <f t="shared" ref="AY23:AY33" si="16">AX23*C$11</f>
        <v>0</v>
      </c>
      <c r="AZ23" s="1022">
        <f>IF(OR(Fiscalitat!$H$21="a",Fiscalitat!$H$21="B",Fiscalitat!$H$21="D"),((1+$F$11)*AY23*D$11),AY23*$D$11)</f>
        <v>0</v>
      </c>
      <c r="BA23" s="1022">
        <f>IF(OR(Fiscalitat!$H$21="a",Fiscalitat!$H$21="B",Fiscalitat!$H$21="D"),0,AZ23*$F$11)</f>
        <v>0</v>
      </c>
      <c r="BB23" s="1022">
        <f>IF(OR(Fiscalitat!$H$21="B",Fiscalitat!$H$21="D"),AZ23*(1-$E$11)+AY23*$D$11*$K$11*(1-$E$11),AZ23*(1-$E$11))</f>
        <v>0</v>
      </c>
      <c r="BC23" s="1022">
        <f>IF(OR(Fiscalitat!$H$21="a",Fiscalitat!$H$21="B",Fiscalitat!$H$21="D"),0,BB23*$I$11)</f>
        <v>0</v>
      </c>
      <c r="BD23" s="1023">
        <f>'Introducció dades'!L171</f>
        <v>0</v>
      </c>
      <c r="BE23" s="1024">
        <f t="shared" ref="BE23:BE33" si="17">BD23*C$12</f>
        <v>0</v>
      </c>
      <c r="BF23" s="794">
        <f>IF(OR(Fiscalitat!$H$21="a",Fiscalitat!$H$21="B",Fiscalitat!$H$21="D"),((1+$F$12)*BE23*D$12),BE23*$D$12)</f>
        <v>0</v>
      </c>
      <c r="BG23" s="794">
        <f>IF(OR(Fiscalitat!$H$21="a",Fiscalitat!$H$21="B",Fiscalitat!$H$21="D"),0,BF23*$F$12)</f>
        <v>0</v>
      </c>
      <c r="BH23" s="794">
        <f>IF(OR(Fiscalitat!$H$21="B",Fiscalitat!$H$21="D"),BF23*(1-$E$12)+BE23*$D$12*$K$12*(1-$E$12),BF23*(1-$E$12))</f>
        <v>0</v>
      </c>
      <c r="BI23" s="794">
        <f>IF(OR(Fiscalitat!$H$21="a",Fiscalitat!$H$21="B",Fiscalitat!$H$21="D"),0,BH23*$I$12)</f>
        <v>0</v>
      </c>
      <c r="BJ23" s="1020">
        <f>'Introducció dades'!M171</f>
        <v>0</v>
      </c>
      <c r="BK23" s="1021">
        <f t="shared" ref="BK23:BK33" si="18">BJ23*C$13</f>
        <v>0</v>
      </c>
      <c r="BL23" s="1022">
        <f>IF(OR(Fiscalitat!$H$21="a",Fiscalitat!$H$21="B",Fiscalitat!$H$21="D"),((1+$F$13)*BK23*D$13),BK23*$D$13)</f>
        <v>0</v>
      </c>
      <c r="BM23" s="1022">
        <f>IF(OR(Fiscalitat!$H$21="a",Fiscalitat!$H$21="B",Fiscalitat!$H$21="D"),0,BL23*$F$13)</f>
        <v>0</v>
      </c>
      <c r="BN23" s="1022">
        <f>IF(OR(Fiscalitat!$H$21="B",Fiscalitat!$H$21="D"),BL23*(1-$E$13)+BK23*$D$13*$K$13*(1-$E$13),BL23*(1-$E$13))</f>
        <v>0</v>
      </c>
      <c r="BO23" s="1022">
        <f>IF(OR(Fiscalitat!$H$21="a",Fiscalitat!$H$21="B",Fiscalitat!$H$21="D"),0,BN23*$I$13)</f>
        <v>0</v>
      </c>
      <c r="BP23" s="1025">
        <f>'Introducció dades'!N171</f>
        <v>0</v>
      </c>
      <c r="BQ23" s="1024">
        <f t="shared" ref="BQ23:BQ33" si="19">BP23*C$14</f>
        <v>0</v>
      </c>
      <c r="BR23" s="794">
        <f>IF(OR(Fiscalitat!$H$21="a",Fiscalitat!$H$21="B",Fiscalitat!$H$21="D"),((1+$F$14)*BQ23*D$14),BQ23*$D$14)</f>
        <v>0</v>
      </c>
      <c r="BS23" s="794">
        <f>IF(OR(Fiscalitat!$H$21="a",Fiscalitat!$H$21="B",Fiscalitat!$H$21="D"),0,BR23*$F$14)</f>
        <v>0</v>
      </c>
      <c r="BT23" s="794">
        <f>IF(OR(Fiscalitat!$H$21="B",Fiscalitat!$H$21="D"),BR23*(1-$E$14)+BQ23*$D$14*$K$14*(1-$E$14),BR23*(1-$E$14))</f>
        <v>0</v>
      </c>
      <c r="BU23" s="794">
        <f>IF(OR(Fiscalitat!$H$21="a",Fiscalitat!$H$21="B",Fiscalitat!$H$21="D"),0,BT23*$I$14)</f>
        <v>0</v>
      </c>
      <c r="BV23" s="25">
        <f t="shared" ref="BV23:BY33" si="20">C23+I23+O23+U23+AA23+AG23+AM23+AS23+AY23+BE23+BK23+BQ23</f>
        <v>0</v>
      </c>
      <c r="BW23" s="1026">
        <f t="shared" si="20"/>
        <v>0</v>
      </c>
      <c r="BX23" s="1026">
        <f t="shared" si="20"/>
        <v>0</v>
      </c>
      <c r="BY23" s="1026">
        <f t="shared" si="20"/>
        <v>0</v>
      </c>
      <c r="BZ23" s="1026">
        <f t="shared" si="7"/>
        <v>0</v>
      </c>
      <c r="CA23" s="908" t="s">
        <v>59</v>
      </c>
      <c r="CB23" s="1027">
        <f>$BY22</f>
        <v>0</v>
      </c>
      <c r="CC23" s="1027">
        <f>$BY23</f>
        <v>0</v>
      </c>
      <c r="CD23" s="1027">
        <f>$BY24</f>
        <v>0</v>
      </c>
      <c r="CE23" s="1027">
        <f>$BY25</f>
        <v>0</v>
      </c>
      <c r="CF23" s="1027">
        <f>$BY26</f>
        <v>0</v>
      </c>
      <c r="CG23" s="1027">
        <f>$BY27</f>
        <v>0</v>
      </c>
      <c r="CH23" s="1027">
        <f>$BY28</f>
        <v>0</v>
      </c>
      <c r="CI23" s="1027">
        <f>$BY29</f>
        <v>0</v>
      </c>
      <c r="CJ23" s="1027">
        <f>$BY30</f>
        <v>0</v>
      </c>
      <c r="CK23" s="1027">
        <f>$BY31</f>
        <v>0</v>
      </c>
      <c r="CL23" s="1027">
        <f>$BY32</f>
        <v>0</v>
      </c>
      <c r="CM23" s="1027">
        <f>$BY33</f>
        <v>0</v>
      </c>
      <c r="CN23" s="1028">
        <f>SUM(CB23:CM23)</f>
        <v>0</v>
      </c>
      <c r="CO23" s="1029">
        <f t="shared" ref="CO23:CO34" si="21">IF(BW23=0,0,(BW23-BY23)/BW23)</f>
        <v>0</v>
      </c>
    </row>
    <row r="24" spans="1:93" ht="13" x14ac:dyDescent="0.3">
      <c r="A24" s="1019" t="str">
        <f>TRIBUTS!K3</f>
        <v>MARÇ</v>
      </c>
      <c r="B24" s="1020">
        <f>'Introducció dades'!C172</f>
        <v>0</v>
      </c>
      <c r="C24" s="1021">
        <f t="shared" si="8"/>
        <v>0</v>
      </c>
      <c r="D24" s="1022">
        <f>IF(OR(Fiscalitat!$H$21="a",Fiscalitat!$H$21="B",Fiscalitat!$H$21="D"),((1+$F$3)*C24*D$3),C24*$D$3)</f>
        <v>0</v>
      </c>
      <c r="E24" s="1022">
        <f>IF(OR(Fiscalitat!$H$21="a",Fiscalitat!$H$21="B",Fiscalitat!$H$21="D"),0,D24*$F$3)</f>
        <v>0</v>
      </c>
      <c r="F24" s="1022">
        <f>IF(OR(Fiscalitat!$H$21="B",Fiscalitat!$H$21="D"),D24*(1-$E$3)+C24*$D$3*$K$3*(1-$E$3),D24*(1-$E$3))</f>
        <v>0</v>
      </c>
      <c r="G24" s="1022">
        <f>IF(OR(Fiscalitat!$H$21="a",Fiscalitat!$H$21="B",Fiscalitat!$H$21="D"),0,F24*$I$3)</f>
        <v>0</v>
      </c>
      <c r="H24" s="1023">
        <f>'Introducció dades'!D172</f>
        <v>0</v>
      </c>
      <c r="I24" s="1024">
        <f t="shared" si="9"/>
        <v>0</v>
      </c>
      <c r="J24" s="794">
        <f>IF(OR(Fiscalitat!$H$21="a",Fiscalitat!$H$21="B",Fiscalitat!$H$21="D"),((1+$F$4)*I24*D$4),I24*$D$4)</f>
        <v>0</v>
      </c>
      <c r="K24" s="794">
        <f>IF(OR(Fiscalitat!$H$21="a",Fiscalitat!$H$21="B",Fiscalitat!$H$21="D"),0,J24*$F$4)</f>
        <v>0</v>
      </c>
      <c r="L24" s="794">
        <f>IF(OR(Fiscalitat!$H$21="B",Fiscalitat!$H$21="D"),J24*(1-$E$4)+I24*$D$4*$K$4*(1-$E$4),J24*(1-$E$4))</f>
        <v>0</v>
      </c>
      <c r="M24" s="794">
        <f>IF(OR(Fiscalitat!$H$21="a",Fiscalitat!$H$21="B",Fiscalitat!$H$21="D"),0,L24*$I$4)</f>
        <v>0</v>
      </c>
      <c r="N24" s="1020">
        <f>'Introducció dades'!E172</f>
        <v>0</v>
      </c>
      <c r="O24" s="1021">
        <f t="shared" si="10"/>
        <v>0</v>
      </c>
      <c r="P24" s="1022">
        <f>IF(OR(Fiscalitat!$H$21="a",Fiscalitat!$H$21="B",Fiscalitat!$H$21="D"),((1+$F$5)*O24*D$5),O24*$D$5)</f>
        <v>0</v>
      </c>
      <c r="Q24" s="1022">
        <f>IF(OR(Fiscalitat!$H$21="a",Fiscalitat!$H$21="B",Fiscalitat!$H$21="D"),0,P24*$F$5)</f>
        <v>0</v>
      </c>
      <c r="R24" s="1022">
        <f>IF(OR(Fiscalitat!$H$21="B",Fiscalitat!$H$21="D"),P24*(1-$E$5)+O24*$D$5*$K$5*(1-$E$5),P24*(1-$E$5))</f>
        <v>0</v>
      </c>
      <c r="S24" s="1022">
        <f>IF(OR(Fiscalitat!$H$21="a",Fiscalitat!$H$21="B",Fiscalitat!$H$21="D"),0,R24*$I$5)</f>
        <v>0</v>
      </c>
      <c r="T24" s="1023">
        <f>'Introducció dades'!F172</f>
        <v>0</v>
      </c>
      <c r="U24" s="1024">
        <f t="shared" si="11"/>
        <v>0</v>
      </c>
      <c r="V24" s="794">
        <f>IF(OR(Fiscalitat!$H$21="a",Fiscalitat!$H$21="B",Fiscalitat!$H$21="D"),((1+$F$6)*U24*D$6),U24*$D$6)</f>
        <v>0</v>
      </c>
      <c r="W24" s="794">
        <f>IF(OR(Fiscalitat!$H$21="a",Fiscalitat!$H$21="B",Fiscalitat!$H$21="D"),0,V24*$F$6)</f>
        <v>0</v>
      </c>
      <c r="X24" s="794">
        <f>IF(OR(Fiscalitat!$H$21="B",Fiscalitat!$H$21="D"),V24*(1-$E$6)+U24*$D$6*$K$6*(1-$E$6),V24*(1-$E$6))</f>
        <v>0</v>
      </c>
      <c r="Y24" s="794">
        <f>IF(OR(Fiscalitat!$H$21="a",Fiscalitat!$H$21="B",Fiscalitat!$H$21="D"),0,X24*$I$6)</f>
        <v>0</v>
      </c>
      <c r="Z24" s="1020">
        <f>'Introducció dades'!G172</f>
        <v>0</v>
      </c>
      <c r="AA24" s="1021">
        <f t="shared" si="12"/>
        <v>0</v>
      </c>
      <c r="AB24" s="1022">
        <f>IF(OR(Fiscalitat!$H$21="a",Fiscalitat!$H$21="B",Fiscalitat!$H$21="D"),((1+$F$7)*AA24*D$7),AA24*$D$7)</f>
        <v>0</v>
      </c>
      <c r="AC24" s="1022">
        <f>IF(OR(Fiscalitat!$H$21="a",Fiscalitat!$H$21="B",Fiscalitat!$H$21="D"),0,AB24*$F$7)</f>
        <v>0</v>
      </c>
      <c r="AD24" s="1022">
        <f>IF(OR(Fiscalitat!$H$21="B",Fiscalitat!$H$21="D"),AB24*(1-$E$7)+AA24*$D$7*$K$7*(1-$E$7),AB24*(1-$E$7))</f>
        <v>0</v>
      </c>
      <c r="AE24" s="1022">
        <f>IF(OR(Fiscalitat!$H$21="a",Fiscalitat!$H$21="B",Fiscalitat!$H$21="D"),0,AD24*$I$7)</f>
        <v>0</v>
      </c>
      <c r="AF24" s="1023">
        <f>'Introducció dades'!H172</f>
        <v>0</v>
      </c>
      <c r="AG24" s="1024">
        <f t="shared" si="13"/>
        <v>0</v>
      </c>
      <c r="AH24" s="794">
        <f>IF(OR(Fiscalitat!$H$21="a",Fiscalitat!$H$21="B",Fiscalitat!$H$21="D"),((1+$F$8)*AG24*D$8),AG24*$D$8)</f>
        <v>0</v>
      </c>
      <c r="AI24" s="794">
        <f>IF(OR(Fiscalitat!$H$21="a",Fiscalitat!$H$21="B",Fiscalitat!$H$21="D"),0,AH24*$F$8)</f>
        <v>0</v>
      </c>
      <c r="AJ24" s="794">
        <f>IF(OR(Fiscalitat!$H$21="B",Fiscalitat!$H$21="D"),AH24*(1-$E$8)+AG24*$D$8*$K$8*(1-$E$8),AH24*(1-$E$8))</f>
        <v>0</v>
      </c>
      <c r="AK24" s="794">
        <f>IF(OR(Fiscalitat!$H$21="a",Fiscalitat!$H$21="B",Fiscalitat!$H$21="D"),0,AJ24*$I$8)</f>
        <v>0</v>
      </c>
      <c r="AL24" s="1020">
        <f>'Introducció dades'!I172</f>
        <v>0</v>
      </c>
      <c r="AM24" s="1021">
        <f t="shared" si="14"/>
        <v>0</v>
      </c>
      <c r="AN24" s="1022">
        <f>IF(OR(Fiscalitat!$H$21="a",Fiscalitat!$H$21="B",Fiscalitat!$H$21="D"),((1+$F$9)*AM24*D$9),AM24*$D$9)</f>
        <v>0</v>
      </c>
      <c r="AO24" s="1022">
        <f>IF(OR(Fiscalitat!$H$21="a",Fiscalitat!$H$21="B",Fiscalitat!$H$21="D"),0,AN24*$F$9)</f>
        <v>0</v>
      </c>
      <c r="AP24" s="1022">
        <f>IF(OR(Fiscalitat!$H$21="B",Fiscalitat!$H$21="D"),AN24*(1-$E$9)+AM24*$D$9*$K$9*(1-$E$9),AN24*(1-$E$9))</f>
        <v>0</v>
      </c>
      <c r="AQ24" s="1022">
        <f>IF(OR(Fiscalitat!$H$21="a",Fiscalitat!$H$21="B",Fiscalitat!$H$21="D"),0,AP24*$I$9)</f>
        <v>0</v>
      </c>
      <c r="AR24" s="1023">
        <f>'Introducció dades'!J172</f>
        <v>0</v>
      </c>
      <c r="AS24" s="1024">
        <f t="shared" si="15"/>
        <v>0</v>
      </c>
      <c r="AT24" s="794">
        <f>IF(OR(Fiscalitat!$H$21="a",Fiscalitat!$H$21="B",Fiscalitat!$H$21="D"),((1+$F$10)*AS24*D$10),AS24*$D$10)</f>
        <v>0</v>
      </c>
      <c r="AU24" s="794">
        <f>IF(OR(Fiscalitat!$H$21="a",Fiscalitat!$H$21="B",Fiscalitat!$H$21="D"),0,AT24*$F$10)</f>
        <v>0</v>
      </c>
      <c r="AV24" s="794">
        <f>IF(OR(Fiscalitat!$H$21="B",Fiscalitat!$H$21="D"),AT24*(1-$E$10)+AS24*$D$10*$K$10*(1-$E$10),AT24*(1-$E$10))</f>
        <v>0</v>
      </c>
      <c r="AW24" s="794">
        <f>IF(OR(Fiscalitat!$H$21="a",Fiscalitat!$H$21="B",Fiscalitat!$H$21="D"),0,AV24*$I$10)</f>
        <v>0</v>
      </c>
      <c r="AX24" s="1020">
        <f>'Introducció dades'!K172</f>
        <v>0</v>
      </c>
      <c r="AY24" s="1021">
        <f t="shared" si="16"/>
        <v>0</v>
      </c>
      <c r="AZ24" s="1022">
        <f>IF(OR(Fiscalitat!$H$21="a",Fiscalitat!$H$21="B",Fiscalitat!$H$21="D"),((1+$F$11)*AY24*D$11),AY24*$D$11)</f>
        <v>0</v>
      </c>
      <c r="BA24" s="1022">
        <f>IF(OR(Fiscalitat!$H$21="a",Fiscalitat!$H$21="B",Fiscalitat!$H$21="D"),0,AZ24*$F$11)</f>
        <v>0</v>
      </c>
      <c r="BB24" s="1022">
        <f>IF(OR(Fiscalitat!$H$21="B",Fiscalitat!$H$21="D"),AZ24*(1-$E$11)+AY24*$D$11*$K$11*(1-$E$11),AZ24*(1-$E$11))</f>
        <v>0</v>
      </c>
      <c r="BC24" s="1022">
        <f>IF(OR(Fiscalitat!$H$21="a",Fiscalitat!$H$21="B",Fiscalitat!$H$21="D"),0,BB24*$I$11)</f>
        <v>0</v>
      </c>
      <c r="BD24" s="1023">
        <f>'Introducció dades'!L172</f>
        <v>0</v>
      </c>
      <c r="BE24" s="1024">
        <f t="shared" si="17"/>
        <v>0</v>
      </c>
      <c r="BF24" s="794">
        <f>IF(OR(Fiscalitat!$H$21="a",Fiscalitat!$H$21="B",Fiscalitat!$H$21="D"),((1+$F$12)*BE24*D$12),BE24*$D$12)</f>
        <v>0</v>
      </c>
      <c r="BG24" s="794">
        <f>IF(OR(Fiscalitat!$H$21="a",Fiscalitat!$H$21="B",Fiscalitat!$H$21="D"),0,BF24*$F$12)</f>
        <v>0</v>
      </c>
      <c r="BH24" s="794">
        <f>IF(OR(Fiscalitat!$H$21="B",Fiscalitat!$H$21="D"),BF24*(1-$E$12)+BE24*$D$12*$K$12*(1-$E$12),BF24*(1-$E$12))</f>
        <v>0</v>
      </c>
      <c r="BI24" s="794">
        <f>IF(OR(Fiscalitat!$H$21="a",Fiscalitat!$H$21="B",Fiscalitat!$H$21="D"),0,BH24*$I$12)</f>
        <v>0</v>
      </c>
      <c r="BJ24" s="1020">
        <f>'Introducció dades'!M172</f>
        <v>0</v>
      </c>
      <c r="BK24" s="1021">
        <f t="shared" si="18"/>
        <v>0</v>
      </c>
      <c r="BL24" s="1022">
        <f>IF(OR(Fiscalitat!$H$21="a",Fiscalitat!$H$21="B",Fiscalitat!$H$21="D"),((1+$F$13)*BK24*D$13),BK24*$D$13)</f>
        <v>0</v>
      </c>
      <c r="BM24" s="1022">
        <f>IF(OR(Fiscalitat!$H$21="a",Fiscalitat!$H$21="B",Fiscalitat!$H$21="D"),0,BL24*$F$13)</f>
        <v>0</v>
      </c>
      <c r="BN24" s="1022">
        <f>IF(OR(Fiscalitat!$H$21="B",Fiscalitat!$H$21="D"),BL24*(1-$E$13)+BK24*$D$13*$K$13*(1-$E$13),BL24*(1-$E$13))</f>
        <v>0</v>
      </c>
      <c r="BO24" s="1022">
        <f>IF(OR(Fiscalitat!$H$21="a",Fiscalitat!$H$21="B",Fiscalitat!$H$21="D"),0,BN24*$I$13)</f>
        <v>0</v>
      </c>
      <c r="BP24" s="1025">
        <f>'Introducció dades'!N172</f>
        <v>0</v>
      </c>
      <c r="BQ24" s="1024">
        <f t="shared" si="19"/>
        <v>0</v>
      </c>
      <c r="BR24" s="794">
        <f>IF(OR(Fiscalitat!$H$21="a",Fiscalitat!$H$21="B",Fiscalitat!$H$21="D"),((1+$F$14)*BQ24*D$14),BQ24*$D$14)</f>
        <v>0</v>
      </c>
      <c r="BS24" s="794">
        <f>IF(OR(Fiscalitat!$H$21="a",Fiscalitat!$H$21="B",Fiscalitat!$H$21="D"),0,BR24*$F$14)</f>
        <v>0</v>
      </c>
      <c r="BT24" s="794">
        <f>IF(OR(Fiscalitat!$H$21="B",Fiscalitat!$H$21="D"),BR24*(1-$E$14)+BQ24*$D$14*$K$14*(1-$E$14),BR24*(1-$E$14))</f>
        <v>0</v>
      </c>
      <c r="BU24" s="794">
        <f>IF(OR(Fiscalitat!$H$21="a",Fiscalitat!$H$21="B",Fiscalitat!$H$21="D"),0,BT24*$I$14)</f>
        <v>0</v>
      </c>
      <c r="BV24" s="25">
        <f t="shared" si="20"/>
        <v>0</v>
      </c>
      <c r="BW24" s="1026">
        <f t="shared" si="20"/>
        <v>0</v>
      </c>
      <c r="BX24" s="1026">
        <f t="shared" si="20"/>
        <v>0</v>
      </c>
      <c r="BY24" s="1026">
        <f t="shared" si="20"/>
        <v>0</v>
      </c>
      <c r="BZ24" s="1026">
        <f t="shared" si="7"/>
        <v>0</v>
      </c>
      <c r="CA24" s="108" t="s">
        <v>306</v>
      </c>
      <c r="CB24" s="1027">
        <f>$BX22</f>
        <v>0</v>
      </c>
      <c r="CC24" s="1027">
        <f>$BX23</f>
        <v>0</v>
      </c>
      <c r="CD24" s="1027">
        <f>$BX24</f>
        <v>0</v>
      </c>
      <c r="CE24" s="1027">
        <f>$BX25</f>
        <v>0</v>
      </c>
      <c r="CF24" s="1027">
        <f>$BX26</f>
        <v>0</v>
      </c>
      <c r="CG24" s="1027">
        <f>$BX27</f>
        <v>0</v>
      </c>
      <c r="CH24" s="1027">
        <f>$BX28</f>
        <v>0</v>
      </c>
      <c r="CI24" s="1027">
        <f>$BX29</f>
        <v>0</v>
      </c>
      <c r="CJ24" s="1027">
        <f>$BX30</f>
        <v>0</v>
      </c>
      <c r="CK24" s="1027">
        <f>$BX31</f>
        <v>0</v>
      </c>
      <c r="CL24" s="1027">
        <f>$BX32</f>
        <v>0</v>
      </c>
      <c r="CM24" s="1027">
        <f>$BX33</f>
        <v>0</v>
      </c>
      <c r="CN24" s="1028">
        <f>SUM(CB24:CM24)</f>
        <v>0</v>
      </c>
      <c r="CO24" s="1029">
        <f t="shared" si="21"/>
        <v>0</v>
      </c>
    </row>
    <row r="25" spans="1:93" ht="13" x14ac:dyDescent="0.3">
      <c r="A25" s="1019" t="str">
        <f>TRIBUTS!K4</f>
        <v>ABRIL</v>
      </c>
      <c r="B25" s="1020">
        <f>'Introducció dades'!C173</f>
        <v>0</v>
      </c>
      <c r="C25" s="1021">
        <f t="shared" si="8"/>
        <v>0</v>
      </c>
      <c r="D25" s="1022">
        <f>IF(OR(Fiscalitat!$H$21="a",Fiscalitat!$H$21="B",Fiscalitat!$H$21="D"),((1+$F$3)*C25*D$3),C25*$D$3)</f>
        <v>0</v>
      </c>
      <c r="E25" s="1022">
        <f>IF(OR(Fiscalitat!$H$21="a",Fiscalitat!$H$21="B",Fiscalitat!$H$21="D"),0,D25*$F$3)</f>
        <v>0</v>
      </c>
      <c r="F25" s="1022">
        <f>IF(OR(Fiscalitat!$H$21="B",Fiscalitat!$H$21="D"),D25*(1-$E$3)+C25*$D$3*$K$3*(1-$E$3),D25*(1-$E$3))</f>
        <v>0</v>
      </c>
      <c r="G25" s="1022">
        <f>IF(OR(Fiscalitat!$H$21="a",Fiscalitat!$H$21="B",Fiscalitat!$H$21="D"),0,F25*$I$3)</f>
        <v>0</v>
      </c>
      <c r="H25" s="1023">
        <f>'Introducció dades'!D173</f>
        <v>0</v>
      </c>
      <c r="I25" s="1024">
        <f t="shared" si="9"/>
        <v>0</v>
      </c>
      <c r="J25" s="794">
        <f>IF(OR(Fiscalitat!$H$21="a",Fiscalitat!$H$21="B",Fiscalitat!$H$21="D"),((1+$F$4)*I25*D$4),I25*$D$4)</f>
        <v>0</v>
      </c>
      <c r="K25" s="794">
        <f>IF(OR(Fiscalitat!$H$21="a",Fiscalitat!$H$21="B",Fiscalitat!$H$21="D"),0,J25*$F$4)</f>
        <v>0</v>
      </c>
      <c r="L25" s="794">
        <f>IF(OR(Fiscalitat!$H$21="B",Fiscalitat!$H$21="D"),J25*(1-$E$4)+I25*$D$4*$K$4*(1-$E$4),J25*(1-$E$4))</f>
        <v>0</v>
      </c>
      <c r="M25" s="794">
        <f>IF(OR(Fiscalitat!$H$21="a",Fiscalitat!$H$21="B",Fiscalitat!$H$21="D"),0,L25*$I$4)</f>
        <v>0</v>
      </c>
      <c r="N25" s="1020">
        <f>'Introducció dades'!E173</f>
        <v>0</v>
      </c>
      <c r="O25" s="1021">
        <f t="shared" si="10"/>
        <v>0</v>
      </c>
      <c r="P25" s="1022">
        <f>IF(OR(Fiscalitat!$H$21="a",Fiscalitat!$H$21="B",Fiscalitat!$H$21="D"),((1+$F$5)*O25*D$5),O25*$D$5)</f>
        <v>0</v>
      </c>
      <c r="Q25" s="1022">
        <f>IF(OR(Fiscalitat!$H$21="a",Fiscalitat!$H$21="B",Fiscalitat!$H$21="D"),0,P25*$F$5)</f>
        <v>0</v>
      </c>
      <c r="R25" s="1022">
        <f>IF(OR(Fiscalitat!$H$21="B",Fiscalitat!$H$21="D"),P25*(1-$E$5)+O25*$D$5*$K$5*(1-$E$5),P25*(1-$E$5))</f>
        <v>0</v>
      </c>
      <c r="S25" s="1022">
        <f>IF(OR(Fiscalitat!$H$21="a",Fiscalitat!$H$21="B",Fiscalitat!$H$21="D"),0,R25*$I$5)</f>
        <v>0</v>
      </c>
      <c r="T25" s="1023">
        <f>'Introducció dades'!F173</f>
        <v>0</v>
      </c>
      <c r="U25" s="1024">
        <f t="shared" si="11"/>
        <v>0</v>
      </c>
      <c r="V25" s="794">
        <f>IF(OR(Fiscalitat!$H$21="a",Fiscalitat!$H$21="B",Fiscalitat!$H$21="D"),((1+$F$6)*U25*D$6),U25*$D$6)</f>
        <v>0</v>
      </c>
      <c r="W25" s="794">
        <f>IF(OR(Fiscalitat!$H$21="a",Fiscalitat!$H$21="B",Fiscalitat!$H$21="D"),0,V25*$F$6)</f>
        <v>0</v>
      </c>
      <c r="X25" s="794">
        <f>IF(OR(Fiscalitat!$H$21="B",Fiscalitat!$H$21="D"),V25*(1-$E$6)+U25*$D$6*$K$6*(1-$E$6),V25*(1-$E$6))</f>
        <v>0</v>
      </c>
      <c r="Y25" s="794">
        <f>IF(OR(Fiscalitat!$H$21="a",Fiscalitat!$H$21="B",Fiscalitat!$H$21="D"),0,X25*$I$6)</f>
        <v>0</v>
      </c>
      <c r="Z25" s="1020">
        <f>'Introducció dades'!G173</f>
        <v>0</v>
      </c>
      <c r="AA25" s="1021">
        <f t="shared" si="12"/>
        <v>0</v>
      </c>
      <c r="AB25" s="1022">
        <f>IF(OR(Fiscalitat!$H$21="a",Fiscalitat!$H$21="B",Fiscalitat!$H$21="D"),((1+$F$7)*AA25*D$7),AA25*$D$7)</f>
        <v>0</v>
      </c>
      <c r="AC25" s="1022">
        <f>IF(OR(Fiscalitat!$H$21="a",Fiscalitat!$H$21="B",Fiscalitat!$H$21="D"),0,AB25*$F$7)</f>
        <v>0</v>
      </c>
      <c r="AD25" s="1022">
        <f>IF(OR(Fiscalitat!$H$21="B",Fiscalitat!$H$21="D"),AB25*(1-$E$7)+AA25*$D$7*$K$7*(1-$E$7),AB25*(1-$E$7))</f>
        <v>0</v>
      </c>
      <c r="AE25" s="1022">
        <f>IF(OR(Fiscalitat!$H$21="a",Fiscalitat!$H$21="B",Fiscalitat!$H$21="D"),0,AD25*$I$7)</f>
        <v>0</v>
      </c>
      <c r="AF25" s="1023">
        <f>'Introducció dades'!H173</f>
        <v>0</v>
      </c>
      <c r="AG25" s="1024">
        <f t="shared" si="13"/>
        <v>0</v>
      </c>
      <c r="AH25" s="794">
        <f>IF(OR(Fiscalitat!$H$21="a",Fiscalitat!$H$21="B",Fiscalitat!$H$21="D"),((1+$F$8)*AG25*D$8),AG25*$D$8)</f>
        <v>0</v>
      </c>
      <c r="AI25" s="794">
        <f>IF(OR(Fiscalitat!$H$21="a",Fiscalitat!$H$21="B",Fiscalitat!$H$21="D"),0,AH25*$F$8)</f>
        <v>0</v>
      </c>
      <c r="AJ25" s="794">
        <f>IF(OR(Fiscalitat!$H$21="B",Fiscalitat!$H$21="D"),AH25*(1-$E$8)+AG25*$D$8*$K$8*(1-$E$8),AH25*(1-$E$8))</f>
        <v>0</v>
      </c>
      <c r="AK25" s="794">
        <f>IF(OR(Fiscalitat!$H$21="a",Fiscalitat!$H$21="B",Fiscalitat!$H$21="D"),0,AJ25*$I$8)</f>
        <v>0</v>
      </c>
      <c r="AL25" s="1020">
        <f>'Introducció dades'!I173</f>
        <v>0</v>
      </c>
      <c r="AM25" s="1021">
        <f t="shared" si="14"/>
        <v>0</v>
      </c>
      <c r="AN25" s="1022">
        <f>IF(OR(Fiscalitat!$H$21="a",Fiscalitat!$H$21="B",Fiscalitat!$H$21="D"),((1+$F$9)*AM25*D$9),AM25*$D$9)</f>
        <v>0</v>
      </c>
      <c r="AO25" s="1022">
        <f>IF(OR(Fiscalitat!$H$21="a",Fiscalitat!$H$21="B",Fiscalitat!$H$21="D"),0,AN25*$F$9)</f>
        <v>0</v>
      </c>
      <c r="AP25" s="1022">
        <f>IF(OR(Fiscalitat!$H$21="B",Fiscalitat!$H$21="D"),AN25*(1-$E$9)+AM25*$D$9*$K$9*(1-$E$9),AN25*(1-$E$9))</f>
        <v>0</v>
      </c>
      <c r="AQ25" s="1022">
        <f>IF(OR(Fiscalitat!$H$21="a",Fiscalitat!$H$21="B",Fiscalitat!$H$21="D"),0,AP25*$I$9)</f>
        <v>0</v>
      </c>
      <c r="AR25" s="1023">
        <f>'Introducció dades'!J173</f>
        <v>0</v>
      </c>
      <c r="AS25" s="1024">
        <f t="shared" si="15"/>
        <v>0</v>
      </c>
      <c r="AT25" s="794">
        <f>IF(OR(Fiscalitat!$H$21="a",Fiscalitat!$H$21="B",Fiscalitat!$H$21="D"),((1+$F$10)*AS25*D$10),AS25*$D$10)</f>
        <v>0</v>
      </c>
      <c r="AU25" s="794">
        <f>IF(OR(Fiscalitat!$H$21="a",Fiscalitat!$H$21="B",Fiscalitat!$H$21="D"),0,AT25*$F$10)</f>
        <v>0</v>
      </c>
      <c r="AV25" s="794">
        <f>IF(OR(Fiscalitat!$H$21="B",Fiscalitat!$H$21="D"),AT25*(1-$E$10)+AS25*$D$10*$K$10*(1-$E$10),AT25*(1-$E$10))</f>
        <v>0</v>
      </c>
      <c r="AW25" s="794">
        <f>IF(OR(Fiscalitat!$H$21="a",Fiscalitat!$H$21="B",Fiscalitat!$H$21="D"),0,AV25*$I$10)</f>
        <v>0</v>
      </c>
      <c r="AX25" s="1020">
        <f>'Introducció dades'!K173</f>
        <v>0</v>
      </c>
      <c r="AY25" s="1021">
        <f t="shared" si="16"/>
        <v>0</v>
      </c>
      <c r="AZ25" s="1022">
        <f>IF(OR(Fiscalitat!$H$21="a",Fiscalitat!$H$21="B",Fiscalitat!$H$21="D"),((1+$F$11)*AY25*D$11),AY25*$D$11)</f>
        <v>0</v>
      </c>
      <c r="BA25" s="1022">
        <f>IF(OR(Fiscalitat!$H$21="a",Fiscalitat!$H$21="B",Fiscalitat!$H$21="D"),0,AZ25*$F$11)</f>
        <v>0</v>
      </c>
      <c r="BB25" s="1022">
        <f>IF(OR(Fiscalitat!$H$21="B",Fiscalitat!$H$21="D"),AZ25*(1-$E$11)+AY25*$D$11*$K$11*(1-$E$11),AZ25*(1-$E$11))</f>
        <v>0</v>
      </c>
      <c r="BC25" s="1022">
        <f>IF(OR(Fiscalitat!$H$21="a",Fiscalitat!$H$21="B",Fiscalitat!$H$21="D"),0,BB25*$I$11)</f>
        <v>0</v>
      </c>
      <c r="BD25" s="1023">
        <f>'Introducció dades'!L173</f>
        <v>0</v>
      </c>
      <c r="BE25" s="1024">
        <f t="shared" si="17"/>
        <v>0</v>
      </c>
      <c r="BF25" s="794">
        <f>IF(OR(Fiscalitat!$H$21="a",Fiscalitat!$H$21="B",Fiscalitat!$H$21="D"),((1+$F$12)*BE25*D$12),BE25*$D$12)</f>
        <v>0</v>
      </c>
      <c r="BG25" s="794">
        <f>IF(OR(Fiscalitat!$H$21="a",Fiscalitat!$H$21="B",Fiscalitat!$H$21="D"),0,BF25*$F$12)</f>
        <v>0</v>
      </c>
      <c r="BH25" s="794">
        <f>IF(OR(Fiscalitat!$H$21="B",Fiscalitat!$H$21="D"),BF25*(1-$E$12)+BE25*$D$12*$K$12*(1-$E$12),BF25*(1-$E$12))</f>
        <v>0</v>
      </c>
      <c r="BI25" s="794">
        <f>IF(OR(Fiscalitat!$H$21="a",Fiscalitat!$H$21="B",Fiscalitat!$H$21="D"),0,BH25*$I$12)</f>
        <v>0</v>
      </c>
      <c r="BJ25" s="1020">
        <f>'Introducció dades'!M173</f>
        <v>0</v>
      </c>
      <c r="BK25" s="1021">
        <f t="shared" si="18"/>
        <v>0</v>
      </c>
      <c r="BL25" s="1022">
        <f>IF(OR(Fiscalitat!$H$21="a",Fiscalitat!$H$21="B",Fiscalitat!$H$21="D"),((1+$F$13)*BK25*D$13),BK25*$D$13)</f>
        <v>0</v>
      </c>
      <c r="BM25" s="1022">
        <f>IF(OR(Fiscalitat!$H$21="a",Fiscalitat!$H$21="B",Fiscalitat!$H$21="D"),0,BL25*$F$13)</f>
        <v>0</v>
      </c>
      <c r="BN25" s="1022">
        <f>IF(OR(Fiscalitat!$H$21="B",Fiscalitat!$H$21="D"),BL25*(1-$E$13)+BK25*$D$13*$K$13*(1-$E$13),BL25*(1-$E$13))</f>
        <v>0</v>
      </c>
      <c r="BO25" s="1022">
        <f>IF(OR(Fiscalitat!$H$21="a",Fiscalitat!$H$21="B",Fiscalitat!$H$21="D"),0,BN25*$I$13)</f>
        <v>0</v>
      </c>
      <c r="BP25" s="1025">
        <f>'Introducció dades'!N173</f>
        <v>0</v>
      </c>
      <c r="BQ25" s="1024">
        <f t="shared" si="19"/>
        <v>0</v>
      </c>
      <c r="BR25" s="794">
        <f>IF(OR(Fiscalitat!$H$21="a",Fiscalitat!$H$21="B",Fiscalitat!$H$21="D"),((1+$F$14)*BQ25*D$14),BQ25*$D$14)</f>
        <v>0</v>
      </c>
      <c r="BS25" s="794">
        <f>IF(OR(Fiscalitat!$H$21="a",Fiscalitat!$H$21="B",Fiscalitat!$H$21="D"),0,BR25*$F$14)</f>
        <v>0</v>
      </c>
      <c r="BT25" s="794">
        <f>IF(OR(Fiscalitat!$H$21="B",Fiscalitat!$H$21="D"),BR25*(1-$E$14)+BQ25*$D$14*$K$14*(1-$E$14),BR25*(1-$E$14))</f>
        <v>0</v>
      </c>
      <c r="BU25" s="794">
        <f>IF(OR(Fiscalitat!$H$21="a",Fiscalitat!$H$21="B",Fiscalitat!$H$21="D"),0,BT25*$I$14)</f>
        <v>0</v>
      </c>
      <c r="BV25" s="25">
        <f t="shared" si="20"/>
        <v>0</v>
      </c>
      <c r="BW25" s="1026">
        <f t="shared" si="20"/>
        <v>0</v>
      </c>
      <c r="BX25" s="1026">
        <f t="shared" si="20"/>
        <v>0</v>
      </c>
      <c r="BY25" s="1026">
        <f t="shared" si="20"/>
        <v>0</v>
      </c>
      <c r="BZ25" s="1026">
        <f t="shared" si="7"/>
        <v>0</v>
      </c>
      <c r="CA25" s="108" t="s">
        <v>314</v>
      </c>
      <c r="CB25" s="1030"/>
      <c r="CC25" s="1030"/>
      <c r="CD25" s="1030"/>
      <c r="CE25" s="1030"/>
      <c r="CF25" s="1030"/>
      <c r="CG25" s="1030"/>
      <c r="CH25" s="1030"/>
      <c r="CI25" s="1030"/>
      <c r="CJ25" s="1030"/>
      <c r="CK25" s="1030"/>
      <c r="CL25" s="1030"/>
      <c r="CM25" s="1030"/>
      <c r="CN25" s="1031">
        <f>IF(CN22=0,0,CN24/CN22)</f>
        <v>0</v>
      </c>
      <c r="CO25" s="1029">
        <f t="shared" si="21"/>
        <v>0</v>
      </c>
    </row>
    <row r="26" spans="1:93" ht="13" x14ac:dyDescent="0.3">
      <c r="A26" s="1019" t="str">
        <f>TRIBUTS!K5</f>
        <v>MAIG</v>
      </c>
      <c r="B26" s="1020">
        <f>'Introducció dades'!C174</f>
        <v>0</v>
      </c>
      <c r="C26" s="1021">
        <f t="shared" si="8"/>
        <v>0</v>
      </c>
      <c r="D26" s="1022">
        <f>IF(OR(Fiscalitat!$H$21="a",Fiscalitat!$H$21="B",Fiscalitat!$H$21="D"),((1+$F$3)*C26*D$3),C26*$D$3)</f>
        <v>0</v>
      </c>
      <c r="E26" s="1022">
        <f>IF(OR(Fiscalitat!$H$21="a",Fiscalitat!$H$21="B",Fiscalitat!$H$21="D"),0,D26*$F$3)</f>
        <v>0</v>
      </c>
      <c r="F26" s="1022">
        <f>IF(OR(Fiscalitat!$H$21="B",Fiscalitat!$H$21="D"),D26*(1-$E$3)+C26*$D$3*$K$3*(1-$E$3),D26*(1-$E$3))</f>
        <v>0</v>
      </c>
      <c r="G26" s="1022">
        <f>IF(OR(Fiscalitat!$H$21="a",Fiscalitat!$H$21="B",Fiscalitat!$H$21="D"),0,F26*$I$3)</f>
        <v>0</v>
      </c>
      <c r="H26" s="1023">
        <f>'Introducció dades'!D174</f>
        <v>0</v>
      </c>
      <c r="I26" s="1024">
        <f t="shared" si="9"/>
        <v>0</v>
      </c>
      <c r="J26" s="794">
        <f>IF(OR(Fiscalitat!$H$21="a",Fiscalitat!$H$21="B",Fiscalitat!$H$21="D"),((1+$F$4)*I26*D$4),I26*$D$4)</f>
        <v>0</v>
      </c>
      <c r="K26" s="794">
        <f>IF(OR(Fiscalitat!$H$21="a",Fiscalitat!$H$21="B",Fiscalitat!$H$21="D"),0,J26*$F$4)</f>
        <v>0</v>
      </c>
      <c r="L26" s="794">
        <f>IF(OR(Fiscalitat!$H$21="B",Fiscalitat!$H$21="D"),J26*(1-$E$4)+I26*$D$4*$K$4*(1-$E$4),J26*(1-$E$4))</f>
        <v>0</v>
      </c>
      <c r="M26" s="794">
        <f>IF(OR(Fiscalitat!$H$21="a",Fiscalitat!$H$21="B",Fiscalitat!$H$21="D"),0,L26*$I$4)</f>
        <v>0</v>
      </c>
      <c r="N26" s="1020">
        <f>'Introducció dades'!E174</f>
        <v>0</v>
      </c>
      <c r="O26" s="1021">
        <f t="shared" si="10"/>
        <v>0</v>
      </c>
      <c r="P26" s="1022">
        <f>IF(OR(Fiscalitat!$H$21="a",Fiscalitat!$H$21="B",Fiscalitat!$H$21="D"),((1+$F$5)*O26*D$5),O26*$D$5)</f>
        <v>0</v>
      </c>
      <c r="Q26" s="1022">
        <f>IF(OR(Fiscalitat!$H$21="a",Fiscalitat!$H$21="B",Fiscalitat!$H$21="D"),0,P26*$F$5)</f>
        <v>0</v>
      </c>
      <c r="R26" s="1022">
        <f>IF(OR(Fiscalitat!$H$21="B",Fiscalitat!$H$21="D"),P26*(1-$E$5)+O26*$D$5*$K$5*(1-$E$5),P26*(1-$E$5))</f>
        <v>0</v>
      </c>
      <c r="S26" s="1022">
        <f>IF(OR(Fiscalitat!$H$21="a",Fiscalitat!$H$21="B",Fiscalitat!$H$21="D"),0,R26*$I$5)</f>
        <v>0</v>
      </c>
      <c r="T26" s="1023">
        <f>'Introducció dades'!F174</f>
        <v>0</v>
      </c>
      <c r="U26" s="1024">
        <f t="shared" si="11"/>
        <v>0</v>
      </c>
      <c r="V26" s="794">
        <f>IF(OR(Fiscalitat!$H$21="a",Fiscalitat!$H$21="B",Fiscalitat!$H$21="D"),((1+$F$6)*U26*D$6),U26*$D$6)</f>
        <v>0</v>
      </c>
      <c r="W26" s="794">
        <f>IF(OR(Fiscalitat!$H$21="a",Fiscalitat!$H$21="B",Fiscalitat!$H$21="D"),0,V26*$F$6)</f>
        <v>0</v>
      </c>
      <c r="X26" s="794">
        <f>IF(OR(Fiscalitat!$H$21="B",Fiscalitat!$H$21="D"),V26*(1-$E$6)+U26*$D$6*$K$6*(1-$E$6),V26*(1-$E$6))</f>
        <v>0</v>
      </c>
      <c r="Y26" s="794">
        <f>IF(OR(Fiscalitat!$H$21="a",Fiscalitat!$H$21="B",Fiscalitat!$H$21="D"),0,X26*$I$6)</f>
        <v>0</v>
      </c>
      <c r="Z26" s="1020">
        <f>'Introducció dades'!G174</f>
        <v>0</v>
      </c>
      <c r="AA26" s="1021">
        <f t="shared" si="12"/>
        <v>0</v>
      </c>
      <c r="AB26" s="1022">
        <f>IF(OR(Fiscalitat!$H$21="a",Fiscalitat!$H$21="B",Fiscalitat!$H$21="D"),((1+$F$7)*AA26*D$7),AA26*$D$7)</f>
        <v>0</v>
      </c>
      <c r="AC26" s="1022">
        <f>IF(OR(Fiscalitat!$H$21="a",Fiscalitat!$H$21="B",Fiscalitat!$H$21="D"),0,AB26*$F$7)</f>
        <v>0</v>
      </c>
      <c r="AD26" s="1022">
        <f>IF(OR(Fiscalitat!$H$21="B",Fiscalitat!$H$21="D"),AB26*(1-$E$7)+AA26*$D$7*$K$7*(1-$E$7),AB26*(1-$E$7))</f>
        <v>0</v>
      </c>
      <c r="AE26" s="1022">
        <f>IF(OR(Fiscalitat!$H$21="a",Fiscalitat!$H$21="B",Fiscalitat!$H$21="D"),0,AD26*$I$7)</f>
        <v>0</v>
      </c>
      <c r="AF26" s="1023">
        <f>'Introducció dades'!H174</f>
        <v>0</v>
      </c>
      <c r="AG26" s="1024">
        <f t="shared" si="13"/>
        <v>0</v>
      </c>
      <c r="AH26" s="794">
        <f>IF(OR(Fiscalitat!$H$21="a",Fiscalitat!$H$21="B",Fiscalitat!$H$21="D"),((1+$F$8)*AG26*D$8),AG26*$D$8)</f>
        <v>0</v>
      </c>
      <c r="AI26" s="794">
        <f>IF(OR(Fiscalitat!$H$21="a",Fiscalitat!$H$21="B",Fiscalitat!$H$21="D"),0,AH26*$F$8)</f>
        <v>0</v>
      </c>
      <c r="AJ26" s="794">
        <f>IF(OR(Fiscalitat!$H$21="B",Fiscalitat!$H$21="D"),AH26*(1-$E$8)+AG26*$D$8*$K$8*(1-$E$8),AH26*(1-$E$8))</f>
        <v>0</v>
      </c>
      <c r="AK26" s="794">
        <f>IF(OR(Fiscalitat!$H$21="a",Fiscalitat!$H$21="B",Fiscalitat!$H$21="D"),0,AJ26*$I$8)</f>
        <v>0</v>
      </c>
      <c r="AL26" s="1020">
        <f>'Introducció dades'!I174</f>
        <v>0</v>
      </c>
      <c r="AM26" s="1021">
        <f t="shared" si="14"/>
        <v>0</v>
      </c>
      <c r="AN26" s="1022">
        <f>IF(OR(Fiscalitat!$H$21="a",Fiscalitat!$H$21="B",Fiscalitat!$H$21="D"),((1+$F$9)*AM26*D$9),AM26*$D$9)</f>
        <v>0</v>
      </c>
      <c r="AO26" s="1022">
        <f>IF(OR(Fiscalitat!$H$21="a",Fiscalitat!$H$21="B",Fiscalitat!$H$21="D"),0,AN26*$F$9)</f>
        <v>0</v>
      </c>
      <c r="AP26" s="1022">
        <f>IF(OR(Fiscalitat!$H$21="B",Fiscalitat!$H$21="D"),AN26*(1-$E$9)+AM26*$D$9*$K$9*(1-$E$9),AN26*(1-$E$9))</f>
        <v>0</v>
      </c>
      <c r="AQ26" s="1022">
        <f>IF(OR(Fiscalitat!$H$21="a",Fiscalitat!$H$21="B",Fiscalitat!$H$21="D"),0,AP26*$I$9)</f>
        <v>0</v>
      </c>
      <c r="AR26" s="1023">
        <f>'Introducció dades'!J174</f>
        <v>0</v>
      </c>
      <c r="AS26" s="1024">
        <f t="shared" si="15"/>
        <v>0</v>
      </c>
      <c r="AT26" s="794">
        <f>IF(OR(Fiscalitat!$H$21="a",Fiscalitat!$H$21="B",Fiscalitat!$H$21="D"),((1+$F$10)*AS26*D$10),AS26*$D$10)</f>
        <v>0</v>
      </c>
      <c r="AU26" s="794">
        <f>IF(OR(Fiscalitat!$H$21="a",Fiscalitat!$H$21="B",Fiscalitat!$H$21="D"),0,AT26*$F$10)</f>
        <v>0</v>
      </c>
      <c r="AV26" s="794">
        <f>IF(OR(Fiscalitat!$H$21="B",Fiscalitat!$H$21="D"),AT26*(1-$E$10)+AS26*$D$10*$K$10*(1-$E$10),AT26*(1-$E$10))</f>
        <v>0</v>
      </c>
      <c r="AW26" s="794">
        <f>IF(OR(Fiscalitat!$H$21="a",Fiscalitat!$H$21="B",Fiscalitat!$H$21="D"),0,AV26*$I$10)</f>
        <v>0</v>
      </c>
      <c r="AX26" s="1020">
        <f>'Introducció dades'!K174</f>
        <v>0</v>
      </c>
      <c r="AY26" s="1021">
        <f t="shared" si="16"/>
        <v>0</v>
      </c>
      <c r="AZ26" s="1022">
        <f>IF(OR(Fiscalitat!$H$21="a",Fiscalitat!$H$21="B",Fiscalitat!$H$21="D"),((1+$F$11)*AY26*D$11),AY26*$D$11)</f>
        <v>0</v>
      </c>
      <c r="BA26" s="1022">
        <f>IF(OR(Fiscalitat!$H$21="a",Fiscalitat!$H$21="B",Fiscalitat!$H$21="D"),0,AZ26*$F$11)</f>
        <v>0</v>
      </c>
      <c r="BB26" s="1022">
        <f>IF(OR(Fiscalitat!$H$21="B",Fiscalitat!$H$21="D"),AZ26*(1-$E$11)+AY26*$D$11*$K$11*(1-$E$11),AZ26*(1-$E$11))</f>
        <v>0</v>
      </c>
      <c r="BC26" s="1022">
        <f>IF(OR(Fiscalitat!$H$21="a",Fiscalitat!$H$21="B",Fiscalitat!$H$21="D"),0,BB26*$I$11)</f>
        <v>0</v>
      </c>
      <c r="BD26" s="1023">
        <f>'Introducció dades'!L174</f>
        <v>0</v>
      </c>
      <c r="BE26" s="1024">
        <f t="shared" si="17"/>
        <v>0</v>
      </c>
      <c r="BF26" s="794">
        <f>IF(OR(Fiscalitat!$H$21="a",Fiscalitat!$H$21="B",Fiscalitat!$H$21="D"),((1+$F$12)*BE26*D$12),BE26*$D$12)</f>
        <v>0</v>
      </c>
      <c r="BG26" s="794">
        <f>IF(OR(Fiscalitat!$H$21="a",Fiscalitat!$H$21="B",Fiscalitat!$H$21="D"),0,BF26*$F$12)</f>
        <v>0</v>
      </c>
      <c r="BH26" s="794">
        <f>IF(OR(Fiscalitat!$H$21="B",Fiscalitat!$H$21="D"),BF26*(1-$E$12)+BE26*$D$12*$K$12*(1-$E$12),BF26*(1-$E$12))</f>
        <v>0</v>
      </c>
      <c r="BI26" s="794">
        <f>IF(OR(Fiscalitat!$H$21="a",Fiscalitat!$H$21="B",Fiscalitat!$H$21="D"),0,BH26*$I$12)</f>
        <v>0</v>
      </c>
      <c r="BJ26" s="1020">
        <f>'Introducció dades'!M174</f>
        <v>0</v>
      </c>
      <c r="BK26" s="1021">
        <f t="shared" si="18"/>
        <v>0</v>
      </c>
      <c r="BL26" s="1022">
        <f>IF(OR(Fiscalitat!$H$21="a",Fiscalitat!$H$21="B",Fiscalitat!$H$21="D"),((1+$F$13)*BK26*D$13),BK26*$D$13)</f>
        <v>0</v>
      </c>
      <c r="BM26" s="1022">
        <f>IF(OR(Fiscalitat!$H$21="a",Fiscalitat!$H$21="B",Fiscalitat!$H$21="D"),0,BL26*$F$13)</f>
        <v>0</v>
      </c>
      <c r="BN26" s="1022">
        <f>IF(OR(Fiscalitat!$H$21="B",Fiscalitat!$H$21="D"),BL26*(1-$E$13)+BK26*$D$13*$K$13*(1-$E$13),BL26*(1-$E$13))</f>
        <v>0</v>
      </c>
      <c r="BO26" s="1022">
        <f>IF(OR(Fiscalitat!$H$21="a",Fiscalitat!$H$21="B",Fiscalitat!$H$21="D"),0,BN26*$I$13)</f>
        <v>0</v>
      </c>
      <c r="BP26" s="1025">
        <f>'Introducció dades'!N174</f>
        <v>0</v>
      </c>
      <c r="BQ26" s="1024">
        <f t="shared" si="19"/>
        <v>0</v>
      </c>
      <c r="BR26" s="794">
        <f>IF(OR(Fiscalitat!$H$21="a",Fiscalitat!$H$21="B",Fiscalitat!$H$21="D"),((1+$F$14)*BQ26*D$14),BQ26*$D$14)</f>
        <v>0</v>
      </c>
      <c r="BS26" s="794">
        <f>IF(OR(Fiscalitat!$H$21="a",Fiscalitat!$H$21="B",Fiscalitat!$H$21="D"),0,BR26*$F$14)</f>
        <v>0</v>
      </c>
      <c r="BT26" s="794">
        <f>IF(OR(Fiscalitat!$H$21="B",Fiscalitat!$H$21="D"),BR26*(1-$E$14)+BQ26*$D$14*$K$14*(1-$E$14),BR26*(1-$E$14))</f>
        <v>0</v>
      </c>
      <c r="BU26" s="794">
        <f>IF(OR(Fiscalitat!$H$21="a",Fiscalitat!$H$21="B",Fiscalitat!$H$21="D"),0,BT26*$I$14)</f>
        <v>0</v>
      </c>
      <c r="BV26" s="25">
        <f t="shared" si="20"/>
        <v>0</v>
      </c>
      <c r="BW26" s="1026">
        <f t="shared" si="20"/>
        <v>0</v>
      </c>
      <c r="BX26" s="1026">
        <f t="shared" si="20"/>
        <v>0</v>
      </c>
      <c r="BY26" s="1026">
        <f t="shared" si="20"/>
        <v>0</v>
      </c>
      <c r="BZ26" s="1026">
        <f t="shared" si="7"/>
        <v>0</v>
      </c>
      <c r="CA26" s="108" t="s">
        <v>302</v>
      </c>
      <c r="CB26" s="1027">
        <f>$BZ22</f>
        <v>0</v>
      </c>
      <c r="CC26" s="1027">
        <f>$BZ23</f>
        <v>0</v>
      </c>
      <c r="CD26" s="1027">
        <f>$BZ24</f>
        <v>0</v>
      </c>
      <c r="CE26" s="1027">
        <f>$BZ25</f>
        <v>0</v>
      </c>
      <c r="CF26" s="1027">
        <f>$BZ26</f>
        <v>0</v>
      </c>
      <c r="CG26" s="1027">
        <f>$BZ27</f>
        <v>0</v>
      </c>
      <c r="CH26" s="1027">
        <f>$BZ28</f>
        <v>0</v>
      </c>
      <c r="CI26" s="1027">
        <f>$BZ29</f>
        <v>0</v>
      </c>
      <c r="CJ26" s="1027">
        <f>$BZ30</f>
        <v>0</v>
      </c>
      <c r="CK26" s="1027">
        <f>$BZ31</f>
        <v>0</v>
      </c>
      <c r="CL26" s="1027">
        <f>$BZ32</f>
        <v>0</v>
      </c>
      <c r="CM26" s="1027">
        <f>$BZ33</f>
        <v>0</v>
      </c>
      <c r="CN26" s="1028">
        <f>SUM(CB26:CM26)</f>
        <v>0</v>
      </c>
      <c r="CO26" s="1029">
        <f t="shared" si="21"/>
        <v>0</v>
      </c>
    </row>
    <row r="27" spans="1:93" ht="13" x14ac:dyDescent="0.3">
      <c r="A27" s="1019" t="str">
        <f>TRIBUTS!K6</f>
        <v>JUNY</v>
      </c>
      <c r="B27" s="1020">
        <f>'Introducció dades'!C175</f>
        <v>0</v>
      </c>
      <c r="C27" s="1021">
        <f t="shared" si="8"/>
        <v>0</v>
      </c>
      <c r="D27" s="1022">
        <f>IF(OR(Fiscalitat!$H$21="a",Fiscalitat!$H$21="B",Fiscalitat!$H$21="D"),((1+$F$3)*C27*D$3),C27*$D$3)</f>
        <v>0</v>
      </c>
      <c r="E27" s="1022">
        <f>IF(OR(Fiscalitat!$H$21="a",Fiscalitat!$H$21="B",Fiscalitat!$H$21="D"),0,D27*$F$3)</f>
        <v>0</v>
      </c>
      <c r="F27" s="1022">
        <f>IF(OR(Fiscalitat!$H$21="B",Fiscalitat!$H$21="D"),D27*(1-$E$3)+C27*$D$3*$K$3*(1-$E$3),D27*(1-$E$3))</f>
        <v>0</v>
      </c>
      <c r="G27" s="1022">
        <f>IF(OR(Fiscalitat!$H$21="a",Fiscalitat!$H$21="B",Fiscalitat!$H$21="D"),0,F27*$I$3)</f>
        <v>0</v>
      </c>
      <c r="H27" s="1023">
        <f>'Introducció dades'!D175</f>
        <v>0</v>
      </c>
      <c r="I27" s="1024">
        <f t="shared" si="9"/>
        <v>0</v>
      </c>
      <c r="J27" s="794">
        <f>IF(OR(Fiscalitat!$H$21="a",Fiscalitat!$H$21="B",Fiscalitat!$H$21="D"),((1+$F$4)*I27*D$4),I27*$D$4)</f>
        <v>0</v>
      </c>
      <c r="K27" s="794">
        <f>IF(OR(Fiscalitat!$H$21="a",Fiscalitat!$H$21="B",Fiscalitat!$H$21="D"),0,J27*$F$4)</f>
        <v>0</v>
      </c>
      <c r="L27" s="794">
        <f>IF(OR(Fiscalitat!$H$21="B",Fiscalitat!$H$21="D"),J27*(1-$E$4)+I27*$D$4*$K$4*(1-$E$4),J27*(1-$E$4))</f>
        <v>0</v>
      </c>
      <c r="M27" s="794">
        <f>IF(OR(Fiscalitat!$H$21="a",Fiscalitat!$H$21="B",Fiscalitat!$H$21="D"),0,L27*$I$4)</f>
        <v>0</v>
      </c>
      <c r="N27" s="1020">
        <f>'Introducció dades'!E175</f>
        <v>0</v>
      </c>
      <c r="O27" s="1021">
        <f t="shared" si="10"/>
        <v>0</v>
      </c>
      <c r="P27" s="1022">
        <f>IF(OR(Fiscalitat!$H$21="a",Fiscalitat!$H$21="B",Fiscalitat!$H$21="D"),((1+$F$5)*O27*D$5),O27*$D$5)</f>
        <v>0</v>
      </c>
      <c r="Q27" s="1022">
        <f>IF(OR(Fiscalitat!$H$21="a",Fiscalitat!$H$21="B",Fiscalitat!$H$21="D"),0,P27*$F$5)</f>
        <v>0</v>
      </c>
      <c r="R27" s="1022">
        <f>IF(OR(Fiscalitat!$H$21="B",Fiscalitat!$H$21="D"),P27*(1-$E$5)+O27*$D$5*$K$5*(1-$E$5),P27*(1-$E$5))</f>
        <v>0</v>
      </c>
      <c r="S27" s="1022">
        <f>IF(OR(Fiscalitat!$H$21="a",Fiscalitat!$H$21="B",Fiscalitat!$H$21="D"),0,R27*$I$5)</f>
        <v>0</v>
      </c>
      <c r="T27" s="1023">
        <f>'Introducció dades'!F175</f>
        <v>0</v>
      </c>
      <c r="U27" s="1024">
        <f t="shared" si="11"/>
        <v>0</v>
      </c>
      <c r="V27" s="794">
        <f>IF(OR(Fiscalitat!$H$21="a",Fiscalitat!$H$21="B",Fiscalitat!$H$21="D"),((1+$F$6)*U27*D$6),U27*$D$6)</f>
        <v>0</v>
      </c>
      <c r="W27" s="794">
        <f>IF(OR(Fiscalitat!$H$21="a",Fiscalitat!$H$21="B",Fiscalitat!$H$21="D"),0,V27*$F$6)</f>
        <v>0</v>
      </c>
      <c r="X27" s="794">
        <f>IF(OR(Fiscalitat!$H$21="B",Fiscalitat!$H$21="D"),V27*(1-$E$6)+U27*$D$6*$K$6*(1-$E$6),V27*(1-$E$6))</f>
        <v>0</v>
      </c>
      <c r="Y27" s="794">
        <f>IF(OR(Fiscalitat!$H$21="a",Fiscalitat!$H$21="B",Fiscalitat!$H$21="D"),0,X27*$I$6)</f>
        <v>0</v>
      </c>
      <c r="Z27" s="1020">
        <f>'Introducció dades'!G175</f>
        <v>0</v>
      </c>
      <c r="AA27" s="1021">
        <f t="shared" si="12"/>
        <v>0</v>
      </c>
      <c r="AB27" s="1022">
        <f>IF(OR(Fiscalitat!$H$21="a",Fiscalitat!$H$21="B",Fiscalitat!$H$21="D"),((1+$F$7)*AA27*D$7),AA27*$D$7)</f>
        <v>0</v>
      </c>
      <c r="AC27" s="1022">
        <f>IF(OR(Fiscalitat!$H$21="a",Fiscalitat!$H$21="B",Fiscalitat!$H$21="D"),0,AB27*$F$7)</f>
        <v>0</v>
      </c>
      <c r="AD27" s="1022">
        <f>IF(OR(Fiscalitat!$H$21="B",Fiscalitat!$H$21="D"),AB27*(1-$E$7)+AA27*$D$7*$K$7*(1-$E$7),AB27*(1-$E$7))</f>
        <v>0</v>
      </c>
      <c r="AE27" s="1022">
        <f>IF(OR(Fiscalitat!$H$21="a",Fiscalitat!$H$21="B",Fiscalitat!$H$21="D"),0,AD27*$I$7)</f>
        <v>0</v>
      </c>
      <c r="AF27" s="1023">
        <f>'Introducció dades'!H175</f>
        <v>0</v>
      </c>
      <c r="AG27" s="1024">
        <f t="shared" si="13"/>
        <v>0</v>
      </c>
      <c r="AH27" s="794">
        <f>IF(OR(Fiscalitat!$H$21="a",Fiscalitat!$H$21="B",Fiscalitat!$H$21="D"),((1+$F$8)*AG27*D$8),AG27*$D$8)</f>
        <v>0</v>
      </c>
      <c r="AI27" s="794">
        <f>IF(OR(Fiscalitat!$H$21="a",Fiscalitat!$H$21="B",Fiscalitat!$H$21="D"),0,AH27*$F$8)</f>
        <v>0</v>
      </c>
      <c r="AJ27" s="794">
        <f>IF(OR(Fiscalitat!$H$21="B",Fiscalitat!$H$21="D"),AH27*(1-$E$8)+AG27*$D$8*$K$8*(1-$E$8),AH27*(1-$E$8))</f>
        <v>0</v>
      </c>
      <c r="AK27" s="794">
        <f>IF(OR(Fiscalitat!$H$21="a",Fiscalitat!$H$21="B",Fiscalitat!$H$21="D"),0,AJ27*$I$8)</f>
        <v>0</v>
      </c>
      <c r="AL27" s="1020">
        <f>'Introducció dades'!I175</f>
        <v>0</v>
      </c>
      <c r="AM27" s="1021">
        <f t="shared" si="14"/>
        <v>0</v>
      </c>
      <c r="AN27" s="1022">
        <f>IF(OR(Fiscalitat!$H$21="a",Fiscalitat!$H$21="B",Fiscalitat!$H$21="D"),((1+$F$9)*AM27*D$9),AM27*$D$9)</f>
        <v>0</v>
      </c>
      <c r="AO27" s="1022">
        <f>IF(OR(Fiscalitat!$H$21="a",Fiscalitat!$H$21="B",Fiscalitat!$H$21="D"),0,AN27*$F$9)</f>
        <v>0</v>
      </c>
      <c r="AP27" s="1022">
        <f>IF(OR(Fiscalitat!$H$21="B",Fiscalitat!$H$21="D"),AN27*(1-$E$9)+AM27*$D$9*$K$9*(1-$E$9),AN27*(1-$E$9))</f>
        <v>0</v>
      </c>
      <c r="AQ27" s="1022">
        <f>IF(OR(Fiscalitat!$H$21="a",Fiscalitat!$H$21="B",Fiscalitat!$H$21="D"),0,AP27*$I$9)</f>
        <v>0</v>
      </c>
      <c r="AR27" s="1023">
        <f>'Introducció dades'!J175</f>
        <v>0</v>
      </c>
      <c r="AS27" s="1024">
        <f t="shared" si="15"/>
        <v>0</v>
      </c>
      <c r="AT27" s="794">
        <f>IF(OR(Fiscalitat!$H$21="a",Fiscalitat!$H$21="B",Fiscalitat!$H$21="D"),((1+$F$10)*AS27*D$10),AS27*$D$10)</f>
        <v>0</v>
      </c>
      <c r="AU27" s="794">
        <f>IF(OR(Fiscalitat!$H$21="a",Fiscalitat!$H$21="B",Fiscalitat!$H$21="D"),0,AT27*$F$10)</f>
        <v>0</v>
      </c>
      <c r="AV27" s="794">
        <f>IF(OR(Fiscalitat!$H$21="B",Fiscalitat!$H$21="D"),AT27*(1-$E$10)+AS27*$D$10*$K$10*(1-$E$10),AT27*(1-$E$10))</f>
        <v>0</v>
      </c>
      <c r="AW27" s="794">
        <f>IF(OR(Fiscalitat!$H$21="a",Fiscalitat!$H$21="B",Fiscalitat!$H$21="D"),0,AV27*$I$10)</f>
        <v>0</v>
      </c>
      <c r="AX27" s="1020">
        <f>'Introducció dades'!K175</f>
        <v>0</v>
      </c>
      <c r="AY27" s="1021">
        <f t="shared" si="16"/>
        <v>0</v>
      </c>
      <c r="AZ27" s="1022">
        <f>IF(OR(Fiscalitat!$H$21="a",Fiscalitat!$H$21="B",Fiscalitat!$H$21="D"),((1+$F$11)*AY27*D$11),AY27*$D$11)</f>
        <v>0</v>
      </c>
      <c r="BA27" s="1022">
        <f>IF(OR(Fiscalitat!$H$21="a",Fiscalitat!$H$21="B",Fiscalitat!$H$21="D"),0,AZ27*$F$11)</f>
        <v>0</v>
      </c>
      <c r="BB27" s="1022">
        <f>IF(OR(Fiscalitat!$H$21="B",Fiscalitat!$H$21="D"),AZ27*(1-$E$11)+AY27*$D$11*$K$11*(1-$E$11),AZ27*(1-$E$11))</f>
        <v>0</v>
      </c>
      <c r="BC27" s="1022">
        <f>IF(OR(Fiscalitat!$H$21="a",Fiscalitat!$H$21="B",Fiscalitat!$H$21="D"),0,BB27*$I$11)</f>
        <v>0</v>
      </c>
      <c r="BD27" s="1023">
        <f>'Introducció dades'!L175</f>
        <v>0</v>
      </c>
      <c r="BE27" s="1024">
        <f t="shared" si="17"/>
        <v>0</v>
      </c>
      <c r="BF27" s="794">
        <f>IF(OR(Fiscalitat!$H$21="a",Fiscalitat!$H$21="B",Fiscalitat!$H$21="D"),((1+$F$12)*BE27*D$12),BE27*$D$12)</f>
        <v>0</v>
      </c>
      <c r="BG27" s="794">
        <f>IF(OR(Fiscalitat!$H$21="a",Fiscalitat!$H$21="B",Fiscalitat!$H$21="D"),0,BF27*$F$12)</f>
        <v>0</v>
      </c>
      <c r="BH27" s="794">
        <f>IF(OR(Fiscalitat!$H$21="B",Fiscalitat!$H$21="D"),BF27*(1-$E$12)+BE27*$D$12*$K$12*(1-$E$12),BF27*(1-$E$12))</f>
        <v>0</v>
      </c>
      <c r="BI27" s="794">
        <f>IF(OR(Fiscalitat!$H$21="a",Fiscalitat!$H$21="B",Fiscalitat!$H$21="D"),0,BH27*$I$12)</f>
        <v>0</v>
      </c>
      <c r="BJ27" s="1020">
        <f>'Introducció dades'!M175</f>
        <v>0</v>
      </c>
      <c r="BK27" s="1021">
        <f t="shared" si="18"/>
        <v>0</v>
      </c>
      <c r="BL27" s="1022">
        <f>IF(OR(Fiscalitat!$H$21="a",Fiscalitat!$H$21="B",Fiscalitat!$H$21="D"),((1+$F$13)*BK27*D$13),BK27*$D$13)</f>
        <v>0</v>
      </c>
      <c r="BM27" s="1022">
        <f>IF(OR(Fiscalitat!$H$21="a",Fiscalitat!$H$21="B",Fiscalitat!$H$21="D"),0,BL27*$F$13)</f>
        <v>0</v>
      </c>
      <c r="BN27" s="1022">
        <f>IF(OR(Fiscalitat!$H$21="B",Fiscalitat!$H$21="D"),BL27*(1-$E$13)+BK27*$D$13*$K$13*(1-$E$13),BL27*(1-$E$13))</f>
        <v>0</v>
      </c>
      <c r="BO27" s="1022">
        <f>IF(OR(Fiscalitat!$H$21="a",Fiscalitat!$H$21="B",Fiscalitat!$H$21="D"),0,BN27*$I$13)</f>
        <v>0</v>
      </c>
      <c r="BP27" s="1025">
        <f>'Introducció dades'!N175</f>
        <v>0</v>
      </c>
      <c r="BQ27" s="1024">
        <f t="shared" si="19"/>
        <v>0</v>
      </c>
      <c r="BR27" s="794">
        <f>IF(OR(Fiscalitat!$H$21="a",Fiscalitat!$H$21="B",Fiscalitat!$H$21="D"),((1+$F$14)*BQ27*D$14),BQ27*$D$14)</f>
        <v>0</v>
      </c>
      <c r="BS27" s="794">
        <f>IF(OR(Fiscalitat!$H$21="a",Fiscalitat!$H$21="B",Fiscalitat!$H$21="D"),0,BR27*$F$14)</f>
        <v>0</v>
      </c>
      <c r="BT27" s="794">
        <f>IF(OR(Fiscalitat!$H$21="B",Fiscalitat!$H$21="D"),BR27*(1-$E$14)+BQ27*$D$14*$K$14*(1-$E$14),BR27*(1-$E$14))</f>
        <v>0</v>
      </c>
      <c r="BU27" s="794">
        <f>IF(OR(Fiscalitat!$H$21="a",Fiscalitat!$H$21="B",Fiscalitat!$H$21="D"),0,BT27*$I$14)</f>
        <v>0</v>
      </c>
      <c r="BV27" s="25">
        <f t="shared" si="20"/>
        <v>0</v>
      </c>
      <c r="BW27" s="1026">
        <f t="shared" si="20"/>
        <v>0</v>
      </c>
      <c r="BX27" s="1026">
        <f t="shared" si="20"/>
        <v>0</v>
      </c>
      <c r="BY27" s="1026">
        <f t="shared" si="20"/>
        <v>0</v>
      </c>
      <c r="BZ27" s="1026">
        <f t="shared" si="7"/>
        <v>0</v>
      </c>
      <c r="CA27" s="108" t="s">
        <v>316</v>
      </c>
      <c r="CB27" s="1030"/>
      <c r="CC27" s="1030"/>
      <c r="CD27" s="1030"/>
      <c r="CE27" s="1030"/>
      <c r="CF27" s="1030"/>
      <c r="CG27" s="1030"/>
      <c r="CH27" s="1030"/>
      <c r="CI27" s="1030"/>
      <c r="CJ27" s="1030"/>
      <c r="CK27" s="1030"/>
      <c r="CL27" s="1030"/>
      <c r="CM27" s="1030"/>
      <c r="CN27" s="1031">
        <f>IF(CN23=0,0,CN26/CN23)</f>
        <v>0</v>
      </c>
      <c r="CO27" s="1029">
        <f t="shared" si="21"/>
        <v>0</v>
      </c>
    </row>
    <row r="28" spans="1:93" ht="13" x14ac:dyDescent="0.3">
      <c r="A28" s="1019" t="str">
        <f>TRIBUTS!K7</f>
        <v>JULIOL</v>
      </c>
      <c r="B28" s="1020">
        <f>'Introducció dades'!C176</f>
        <v>0</v>
      </c>
      <c r="C28" s="1021">
        <f t="shared" si="8"/>
        <v>0</v>
      </c>
      <c r="D28" s="1022">
        <f>IF(OR(Fiscalitat!$H$21="a",Fiscalitat!$H$21="B",Fiscalitat!$H$21="D"),((1+$F$3)*C28*D$3),C28*$D$3)</f>
        <v>0</v>
      </c>
      <c r="E28" s="1022">
        <f>IF(OR(Fiscalitat!$H$21="a",Fiscalitat!$H$21="B",Fiscalitat!$H$21="D"),0,D28*$F$3)</f>
        <v>0</v>
      </c>
      <c r="F28" s="1022">
        <f>IF(OR(Fiscalitat!$H$21="B",Fiscalitat!$H$21="D"),D28*(1-$E$3)+C28*$D$3*$K$3*(1-$E$3),D28*(1-$E$3))</f>
        <v>0</v>
      </c>
      <c r="G28" s="1022">
        <f>IF(OR(Fiscalitat!$H$21="a",Fiscalitat!$H$21="B",Fiscalitat!$H$21="D"),0,F28*$I$3)</f>
        <v>0</v>
      </c>
      <c r="H28" s="1023">
        <f>'Introducció dades'!D176</f>
        <v>0</v>
      </c>
      <c r="I28" s="1024">
        <f t="shared" si="9"/>
        <v>0</v>
      </c>
      <c r="J28" s="794">
        <f>IF(OR(Fiscalitat!$H$21="a",Fiscalitat!$H$21="B",Fiscalitat!$H$21="D"),((1+$F$4)*I28*D$4),I28*$D$4)</f>
        <v>0</v>
      </c>
      <c r="K28" s="794">
        <f>IF(OR(Fiscalitat!$H$21="a",Fiscalitat!$H$21="B",Fiscalitat!$H$21="D"),0,J28*$F$4)</f>
        <v>0</v>
      </c>
      <c r="L28" s="794">
        <f>IF(OR(Fiscalitat!$H$21="B",Fiscalitat!$H$21="D"),J28*(1-$E$4)+I28*$D$4*$K$4*(1-$E$4),J28*(1-$E$4))</f>
        <v>0</v>
      </c>
      <c r="M28" s="794">
        <f>IF(OR(Fiscalitat!$H$21="a",Fiscalitat!$H$21="B",Fiscalitat!$H$21="D"),0,L28*$I$4)</f>
        <v>0</v>
      </c>
      <c r="N28" s="1020">
        <f>'Introducció dades'!E176</f>
        <v>0</v>
      </c>
      <c r="O28" s="1021">
        <f t="shared" si="10"/>
        <v>0</v>
      </c>
      <c r="P28" s="1022">
        <f>IF(OR(Fiscalitat!$H$21="a",Fiscalitat!$H$21="B",Fiscalitat!$H$21="D"),((1+$F$5)*O28*D$5),O28*$D$5)</f>
        <v>0</v>
      </c>
      <c r="Q28" s="1022">
        <f>IF(OR(Fiscalitat!$H$21="a",Fiscalitat!$H$21="B",Fiscalitat!$H$21="D"),0,P28*$F$5)</f>
        <v>0</v>
      </c>
      <c r="R28" s="1022">
        <f>IF(OR(Fiscalitat!$H$21="B",Fiscalitat!$H$21="D"),P28*(1-$E$5)+O28*$D$5*$K$5*(1-$E$5),P28*(1-$E$5))</f>
        <v>0</v>
      </c>
      <c r="S28" s="1022">
        <f>IF(OR(Fiscalitat!$H$21="a",Fiscalitat!$H$21="B",Fiscalitat!$H$21="D"),0,R28*$I$5)</f>
        <v>0</v>
      </c>
      <c r="T28" s="1023">
        <f>'Introducció dades'!F176</f>
        <v>0</v>
      </c>
      <c r="U28" s="1024">
        <f t="shared" si="11"/>
        <v>0</v>
      </c>
      <c r="V28" s="794">
        <f>IF(OR(Fiscalitat!$H$21="a",Fiscalitat!$H$21="B",Fiscalitat!$H$21="D"),((1+$F$6)*U28*D$6),U28*$D$6)</f>
        <v>0</v>
      </c>
      <c r="W28" s="794">
        <f>IF(OR(Fiscalitat!$H$21="a",Fiscalitat!$H$21="B",Fiscalitat!$H$21="D"),0,V28*$F$6)</f>
        <v>0</v>
      </c>
      <c r="X28" s="794">
        <f>IF(OR(Fiscalitat!$H$21="B",Fiscalitat!$H$21="D"),V28*(1-$E$6)+U28*$D$6*$K$6*(1-$E$6),V28*(1-$E$6))</f>
        <v>0</v>
      </c>
      <c r="Y28" s="794">
        <f>IF(OR(Fiscalitat!$H$21="a",Fiscalitat!$H$21="B",Fiscalitat!$H$21="D"),0,X28*$I$6)</f>
        <v>0</v>
      </c>
      <c r="Z28" s="1020">
        <f>'Introducció dades'!G176</f>
        <v>0</v>
      </c>
      <c r="AA28" s="1021">
        <f t="shared" si="12"/>
        <v>0</v>
      </c>
      <c r="AB28" s="1022">
        <f>IF(OR(Fiscalitat!$H$21="a",Fiscalitat!$H$21="B",Fiscalitat!$H$21="D"),((1+$F$7)*AA28*D$7),AA28*$D$7)</f>
        <v>0</v>
      </c>
      <c r="AC28" s="1022">
        <f>IF(OR(Fiscalitat!$H$21="a",Fiscalitat!$H$21="B",Fiscalitat!$H$21="D"),0,AB28*$F$7)</f>
        <v>0</v>
      </c>
      <c r="AD28" s="1022">
        <f>IF(OR(Fiscalitat!$H$21="B",Fiscalitat!$H$21="D"),AB28*(1-$E$7)+AA28*$D$7*$K$7*(1-$E$7),AB28*(1-$E$7))</f>
        <v>0</v>
      </c>
      <c r="AE28" s="1022">
        <f>IF(OR(Fiscalitat!$H$21="a",Fiscalitat!$H$21="B",Fiscalitat!$H$21="D"),0,AD28*$I$7)</f>
        <v>0</v>
      </c>
      <c r="AF28" s="1023">
        <f>'Introducció dades'!H176</f>
        <v>0</v>
      </c>
      <c r="AG28" s="1024">
        <f t="shared" si="13"/>
        <v>0</v>
      </c>
      <c r="AH28" s="794">
        <f>IF(OR(Fiscalitat!$H$21="a",Fiscalitat!$H$21="B",Fiscalitat!$H$21="D"),((1+$F$8)*AG28*D$8),AG28*$D$8)</f>
        <v>0</v>
      </c>
      <c r="AI28" s="794">
        <f>IF(OR(Fiscalitat!$H$21="a",Fiscalitat!$H$21="B",Fiscalitat!$H$21="D"),0,AH28*$F$8)</f>
        <v>0</v>
      </c>
      <c r="AJ28" s="794">
        <f>IF(OR(Fiscalitat!$H$21="B",Fiscalitat!$H$21="D"),AH28*(1-$E$8)+AG28*$D$8*$K$8*(1-$E$8),AH28*(1-$E$8))</f>
        <v>0</v>
      </c>
      <c r="AK28" s="794">
        <f>IF(OR(Fiscalitat!$H$21="a",Fiscalitat!$H$21="B",Fiscalitat!$H$21="D"),0,AJ28*$I$8)</f>
        <v>0</v>
      </c>
      <c r="AL28" s="1020">
        <f>'Introducció dades'!I176</f>
        <v>0</v>
      </c>
      <c r="AM28" s="1021">
        <f t="shared" si="14"/>
        <v>0</v>
      </c>
      <c r="AN28" s="1022">
        <f>IF(OR(Fiscalitat!$H$21="a",Fiscalitat!$H$21="B",Fiscalitat!$H$21="D"),((1+$F$9)*AM28*D$9),AM28*$D$9)</f>
        <v>0</v>
      </c>
      <c r="AO28" s="1022">
        <f>IF(OR(Fiscalitat!$H$21="a",Fiscalitat!$H$21="B",Fiscalitat!$H$21="D"),0,AN28*$F$9)</f>
        <v>0</v>
      </c>
      <c r="AP28" s="1022">
        <f>IF(OR(Fiscalitat!$H$21="B",Fiscalitat!$H$21="D"),AN28*(1-$E$9)+AM28*$D$9*$K$9*(1-$E$9),AN28*(1-$E$9))</f>
        <v>0</v>
      </c>
      <c r="AQ28" s="1022">
        <f>IF(OR(Fiscalitat!$H$21="a",Fiscalitat!$H$21="B",Fiscalitat!$H$21="D"),0,AP28*$I$9)</f>
        <v>0</v>
      </c>
      <c r="AR28" s="1023">
        <f>'Introducció dades'!J176</f>
        <v>0</v>
      </c>
      <c r="AS28" s="1024">
        <f t="shared" si="15"/>
        <v>0</v>
      </c>
      <c r="AT28" s="794">
        <f>IF(OR(Fiscalitat!$H$21="a",Fiscalitat!$H$21="B",Fiscalitat!$H$21="D"),((1+$F$10)*AS28*D$10),AS28*$D$10)</f>
        <v>0</v>
      </c>
      <c r="AU28" s="794">
        <f>IF(OR(Fiscalitat!$H$21="a",Fiscalitat!$H$21="B",Fiscalitat!$H$21="D"),0,AT28*$F$10)</f>
        <v>0</v>
      </c>
      <c r="AV28" s="794">
        <f>IF(OR(Fiscalitat!$H$21="B",Fiscalitat!$H$21="D"),AT28*(1-$E$10)+AS28*$D$10*$K$10*(1-$E$10),AT28*(1-$E$10))</f>
        <v>0</v>
      </c>
      <c r="AW28" s="794">
        <f>IF(OR(Fiscalitat!$H$21="a",Fiscalitat!$H$21="B",Fiscalitat!$H$21="D"),0,AV28*$I$10)</f>
        <v>0</v>
      </c>
      <c r="AX28" s="1020">
        <f>'Introducció dades'!K176</f>
        <v>0</v>
      </c>
      <c r="AY28" s="1021">
        <f t="shared" si="16"/>
        <v>0</v>
      </c>
      <c r="AZ28" s="1022">
        <f>IF(OR(Fiscalitat!$H$21="a",Fiscalitat!$H$21="B",Fiscalitat!$H$21="D"),((1+$F$11)*AY28*D$11),AY28*$D$11)</f>
        <v>0</v>
      </c>
      <c r="BA28" s="1022">
        <f>IF(OR(Fiscalitat!$H$21="a",Fiscalitat!$H$21="B",Fiscalitat!$H$21="D"),0,AZ28*$F$11)</f>
        <v>0</v>
      </c>
      <c r="BB28" s="1022">
        <f>IF(OR(Fiscalitat!$H$21="B",Fiscalitat!$H$21="D"),AZ28*(1-$E$11)+AY28*$D$11*$K$11*(1-$E$11),AZ28*(1-$E$11))</f>
        <v>0</v>
      </c>
      <c r="BC28" s="1022">
        <f>IF(OR(Fiscalitat!$H$21="a",Fiscalitat!$H$21="B",Fiscalitat!$H$21="D"),0,BB28*$I$11)</f>
        <v>0</v>
      </c>
      <c r="BD28" s="1023">
        <f>'Introducció dades'!L176</f>
        <v>0</v>
      </c>
      <c r="BE28" s="1024">
        <f t="shared" si="17"/>
        <v>0</v>
      </c>
      <c r="BF28" s="794">
        <f>IF(OR(Fiscalitat!$H$21="a",Fiscalitat!$H$21="B",Fiscalitat!$H$21="D"),((1+$F$12)*BE28*D$12),BE28*$D$12)</f>
        <v>0</v>
      </c>
      <c r="BG28" s="794">
        <f>IF(OR(Fiscalitat!$H$21="a",Fiscalitat!$H$21="B",Fiscalitat!$H$21="D"),0,BF28*$F$12)</f>
        <v>0</v>
      </c>
      <c r="BH28" s="794">
        <f>IF(OR(Fiscalitat!$H$21="B",Fiscalitat!$H$21="D"),BF28*(1-$E$12)+BE28*$D$12*$K$12*(1-$E$12),BF28*(1-$E$12))</f>
        <v>0</v>
      </c>
      <c r="BI28" s="794">
        <f>IF(OR(Fiscalitat!$H$21="a",Fiscalitat!$H$21="B",Fiscalitat!$H$21="D"),0,BH28*$I$12)</f>
        <v>0</v>
      </c>
      <c r="BJ28" s="1020">
        <f>'Introducció dades'!M176</f>
        <v>0</v>
      </c>
      <c r="BK28" s="1021">
        <f t="shared" si="18"/>
        <v>0</v>
      </c>
      <c r="BL28" s="1022">
        <f>IF(OR(Fiscalitat!$H$21="a",Fiscalitat!$H$21="B",Fiscalitat!$H$21="D"),((1+$F$13)*BK28*D$13),BK28*$D$13)</f>
        <v>0</v>
      </c>
      <c r="BM28" s="1022">
        <f>IF(OR(Fiscalitat!$H$21="a",Fiscalitat!$H$21="B",Fiscalitat!$H$21="D"),0,BL28*$F$13)</f>
        <v>0</v>
      </c>
      <c r="BN28" s="1022">
        <f>IF(OR(Fiscalitat!$H$21="B",Fiscalitat!$H$21="D"),BL28*(1-$E$13)+BK28*$D$13*$K$13*(1-$E$13),BL28*(1-$E$13))</f>
        <v>0</v>
      </c>
      <c r="BO28" s="1022">
        <f>IF(OR(Fiscalitat!$H$21="a",Fiscalitat!$H$21="B",Fiscalitat!$H$21="D"),0,BN28*$I$13)</f>
        <v>0</v>
      </c>
      <c r="BP28" s="1025">
        <f>'Introducció dades'!N176</f>
        <v>0</v>
      </c>
      <c r="BQ28" s="1024">
        <f t="shared" si="19"/>
        <v>0</v>
      </c>
      <c r="BR28" s="794">
        <f>IF(OR(Fiscalitat!$H$21="a",Fiscalitat!$H$21="B",Fiscalitat!$H$21="D"),((1+$F$14)*BQ28*D$14),BQ28*$D$14)</f>
        <v>0</v>
      </c>
      <c r="BS28" s="794">
        <f>IF(OR(Fiscalitat!$H$21="a",Fiscalitat!$H$21="B",Fiscalitat!$H$21="D"),0,BR28*$F$14)</f>
        <v>0</v>
      </c>
      <c r="BT28" s="794">
        <f>IF(OR(Fiscalitat!$H$21="B",Fiscalitat!$H$21="D"),BR28*(1-$E$14)+BQ28*$D$14*$K$14*(1-$E$14),BR28*(1-$E$14))</f>
        <v>0</v>
      </c>
      <c r="BU28" s="794">
        <f>IF(OR(Fiscalitat!$H$21="a",Fiscalitat!$H$21="B",Fiscalitat!$H$21="D"),0,BT28*$I$14)</f>
        <v>0</v>
      </c>
      <c r="BV28" s="25">
        <f t="shared" si="20"/>
        <v>0</v>
      </c>
      <c r="BW28" s="1026">
        <f t="shared" si="20"/>
        <v>0</v>
      </c>
      <c r="BX28" s="1026">
        <f t="shared" si="20"/>
        <v>0</v>
      </c>
      <c r="BY28" s="1026">
        <f t="shared" si="20"/>
        <v>0</v>
      </c>
      <c r="BZ28" s="1026">
        <f t="shared" si="7"/>
        <v>0</v>
      </c>
      <c r="CO28" s="1029">
        <f t="shared" si="21"/>
        <v>0</v>
      </c>
    </row>
    <row r="29" spans="1:93" ht="13" x14ac:dyDescent="0.3">
      <c r="A29" s="1019" t="str">
        <f>TRIBUTS!K8</f>
        <v>AGOST</v>
      </c>
      <c r="B29" s="1020">
        <f>'Introducció dades'!C177</f>
        <v>0</v>
      </c>
      <c r="C29" s="1021">
        <f t="shared" si="8"/>
        <v>0</v>
      </c>
      <c r="D29" s="1022">
        <f>IF(OR(Fiscalitat!$H$21="a",Fiscalitat!$H$21="B",Fiscalitat!$H$21="D"),((1+$F$3)*C29*D$3),C29*$D$3)</f>
        <v>0</v>
      </c>
      <c r="E29" s="1022">
        <f>IF(OR(Fiscalitat!$H$21="a",Fiscalitat!$H$21="B",Fiscalitat!$H$21="D"),0,D29*$F$3)</f>
        <v>0</v>
      </c>
      <c r="F29" s="1022">
        <f>IF(OR(Fiscalitat!$H$21="B",Fiscalitat!$H$21="D"),D29*(1-$E$3)+C29*$D$3*$K$3*(1-$E$3),D29*(1-$E$3))</f>
        <v>0</v>
      </c>
      <c r="G29" s="1022">
        <f>IF(OR(Fiscalitat!$H$21="a",Fiscalitat!$H$21="B",Fiscalitat!$H$21="D"),0,F29*$I$3)</f>
        <v>0</v>
      </c>
      <c r="H29" s="1023">
        <f>'Introducció dades'!D177</f>
        <v>0</v>
      </c>
      <c r="I29" s="1024">
        <f t="shared" si="9"/>
        <v>0</v>
      </c>
      <c r="J29" s="794">
        <f>IF(OR(Fiscalitat!$H$21="a",Fiscalitat!$H$21="B",Fiscalitat!$H$21="D"),((1+$F$4)*I29*D$4),I29*$D$4)</f>
        <v>0</v>
      </c>
      <c r="K29" s="794">
        <f>IF(OR(Fiscalitat!$H$21="a",Fiscalitat!$H$21="B",Fiscalitat!$H$21="D"),0,J29*$F$4)</f>
        <v>0</v>
      </c>
      <c r="L29" s="794">
        <f>IF(OR(Fiscalitat!$H$21="B",Fiscalitat!$H$21="D"),J29*(1-$E$4)+I29*$D$4*$K$4*(1-$E$4),J29*(1-$E$4))</f>
        <v>0</v>
      </c>
      <c r="M29" s="794">
        <f>IF(OR(Fiscalitat!$H$21="a",Fiscalitat!$H$21="B",Fiscalitat!$H$21="D"),0,L29*$I$4)</f>
        <v>0</v>
      </c>
      <c r="N29" s="1020">
        <f>'Introducció dades'!E177</f>
        <v>0</v>
      </c>
      <c r="O29" s="1021">
        <f t="shared" si="10"/>
        <v>0</v>
      </c>
      <c r="P29" s="1022">
        <f>IF(OR(Fiscalitat!$H$21="a",Fiscalitat!$H$21="B",Fiscalitat!$H$21="D"),((1+$F$5)*O29*D$5),O29*$D$5)</f>
        <v>0</v>
      </c>
      <c r="Q29" s="1022">
        <f>IF(OR(Fiscalitat!$H$21="a",Fiscalitat!$H$21="B",Fiscalitat!$H$21="D"),0,P29*$F$5)</f>
        <v>0</v>
      </c>
      <c r="R29" s="1022">
        <f>IF(OR(Fiscalitat!$H$21="B",Fiscalitat!$H$21="D"),P29*(1-$E$5)+O29*$D$5*$K$5*(1-$E$5),P29*(1-$E$5))</f>
        <v>0</v>
      </c>
      <c r="S29" s="1022">
        <f>IF(OR(Fiscalitat!$H$21="a",Fiscalitat!$H$21="B",Fiscalitat!$H$21="D"),0,R29*$I$5)</f>
        <v>0</v>
      </c>
      <c r="T29" s="1023">
        <f>'Introducció dades'!F177</f>
        <v>0</v>
      </c>
      <c r="U29" s="1024">
        <f t="shared" si="11"/>
        <v>0</v>
      </c>
      <c r="V29" s="794">
        <f>IF(OR(Fiscalitat!$H$21="a",Fiscalitat!$H$21="B",Fiscalitat!$H$21="D"),((1+$F$6)*U29*D$6),U29*$D$6)</f>
        <v>0</v>
      </c>
      <c r="W29" s="794">
        <f>IF(OR(Fiscalitat!$H$21="a",Fiscalitat!$H$21="B",Fiscalitat!$H$21="D"),0,V29*$F$6)</f>
        <v>0</v>
      </c>
      <c r="X29" s="794">
        <f>IF(OR(Fiscalitat!$H$21="B",Fiscalitat!$H$21="D"),V29*(1-$E$6)+U29*$D$6*$K$6*(1-$E$6),V29*(1-$E$6))</f>
        <v>0</v>
      </c>
      <c r="Y29" s="794">
        <f>IF(OR(Fiscalitat!$H$21="a",Fiscalitat!$H$21="B",Fiscalitat!$H$21="D"),0,X29*$I$6)</f>
        <v>0</v>
      </c>
      <c r="Z29" s="1020">
        <f>'Introducció dades'!G177</f>
        <v>0</v>
      </c>
      <c r="AA29" s="1021">
        <f t="shared" si="12"/>
        <v>0</v>
      </c>
      <c r="AB29" s="1022">
        <f>IF(OR(Fiscalitat!$H$21="a",Fiscalitat!$H$21="B",Fiscalitat!$H$21="D"),((1+$F$7)*AA29*D$7),AA29*$D$7)</f>
        <v>0</v>
      </c>
      <c r="AC29" s="1022">
        <f>IF(OR(Fiscalitat!$H$21="a",Fiscalitat!$H$21="B",Fiscalitat!$H$21="D"),0,AB29*$F$7)</f>
        <v>0</v>
      </c>
      <c r="AD29" s="1022">
        <f>IF(OR(Fiscalitat!$H$21="B",Fiscalitat!$H$21="D"),AB29*(1-$E$7)+AA29*$D$7*$K$7*(1-$E$7),AB29*(1-$E$7))</f>
        <v>0</v>
      </c>
      <c r="AE29" s="1022">
        <f>IF(OR(Fiscalitat!$H$21="a",Fiscalitat!$H$21="B",Fiscalitat!$H$21="D"),0,AD29*$I$7)</f>
        <v>0</v>
      </c>
      <c r="AF29" s="1023">
        <f>'Introducció dades'!H177</f>
        <v>0</v>
      </c>
      <c r="AG29" s="1024">
        <f t="shared" si="13"/>
        <v>0</v>
      </c>
      <c r="AH29" s="794">
        <f>IF(OR(Fiscalitat!$H$21="a",Fiscalitat!$H$21="B",Fiscalitat!$H$21="D"),((1+$F$8)*AG29*D$8),AG29*$D$8)</f>
        <v>0</v>
      </c>
      <c r="AI29" s="794">
        <f>IF(OR(Fiscalitat!$H$21="a",Fiscalitat!$H$21="B",Fiscalitat!$H$21="D"),0,AH29*$F$8)</f>
        <v>0</v>
      </c>
      <c r="AJ29" s="794">
        <f>IF(OR(Fiscalitat!$H$21="B",Fiscalitat!$H$21="D"),AH29*(1-$E$8)+AG29*$D$8*$K$8*(1-$E$8),AH29*(1-$E$8))</f>
        <v>0</v>
      </c>
      <c r="AK29" s="794">
        <f>IF(OR(Fiscalitat!$H$21="a",Fiscalitat!$H$21="B",Fiscalitat!$H$21="D"),0,AJ29*$I$8)</f>
        <v>0</v>
      </c>
      <c r="AL29" s="1020">
        <f>'Introducció dades'!I177</f>
        <v>0</v>
      </c>
      <c r="AM29" s="1021">
        <f t="shared" si="14"/>
        <v>0</v>
      </c>
      <c r="AN29" s="1022">
        <f>IF(OR(Fiscalitat!$H$21="a",Fiscalitat!$H$21="B",Fiscalitat!$H$21="D"),((1+$F$9)*AM29*D$9),AM29*$D$9)</f>
        <v>0</v>
      </c>
      <c r="AO29" s="1022">
        <f>IF(OR(Fiscalitat!$H$21="a",Fiscalitat!$H$21="B",Fiscalitat!$H$21="D"),0,AN29*$F$9)</f>
        <v>0</v>
      </c>
      <c r="AP29" s="1022">
        <f>IF(OR(Fiscalitat!$H$21="B",Fiscalitat!$H$21="D"),AN29*(1-$E$9)+AM29*$D$9*$K$9*(1-$E$9),AN29*(1-$E$9))</f>
        <v>0</v>
      </c>
      <c r="AQ29" s="1022">
        <f>IF(OR(Fiscalitat!$H$21="a",Fiscalitat!$H$21="B",Fiscalitat!$H$21="D"),0,AP29*$I$9)</f>
        <v>0</v>
      </c>
      <c r="AR29" s="1023">
        <f>'Introducció dades'!J177</f>
        <v>0</v>
      </c>
      <c r="AS29" s="1024">
        <f t="shared" si="15"/>
        <v>0</v>
      </c>
      <c r="AT29" s="794">
        <f>IF(OR(Fiscalitat!$H$21="a",Fiscalitat!$H$21="B",Fiscalitat!$H$21="D"),((1+$F$10)*AS29*D$10),AS29*$D$10)</f>
        <v>0</v>
      </c>
      <c r="AU29" s="794">
        <f>IF(OR(Fiscalitat!$H$21="a",Fiscalitat!$H$21="B",Fiscalitat!$H$21="D"),0,AT29*$F$10)</f>
        <v>0</v>
      </c>
      <c r="AV29" s="794">
        <f>IF(OR(Fiscalitat!$H$21="B",Fiscalitat!$H$21="D"),AT29*(1-$E$10)+AS29*$D$10*$K$10*(1-$E$10),AT29*(1-$E$10))</f>
        <v>0</v>
      </c>
      <c r="AW29" s="794">
        <f>IF(OR(Fiscalitat!$H$21="a",Fiscalitat!$H$21="B",Fiscalitat!$H$21="D"),0,AV29*$I$10)</f>
        <v>0</v>
      </c>
      <c r="AX29" s="1020">
        <f>'Introducció dades'!K177</f>
        <v>0</v>
      </c>
      <c r="AY29" s="1021">
        <f t="shared" si="16"/>
        <v>0</v>
      </c>
      <c r="AZ29" s="1022">
        <f>IF(OR(Fiscalitat!$H$21="a",Fiscalitat!$H$21="B",Fiscalitat!$H$21="D"),((1+$F$11)*AY29*D$11),AY29*$D$11)</f>
        <v>0</v>
      </c>
      <c r="BA29" s="1022">
        <f>IF(OR(Fiscalitat!$H$21="a",Fiscalitat!$H$21="B",Fiscalitat!$H$21="D"),0,AZ29*$F$11)</f>
        <v>0</v>
      </c>
      <c r="BB29" s="1022">
        <f>IF(OR(Fiscalitat!$H$21="B",Fiscalitat!$H$21="D"),AZ29*(1-$E$11)+AY29*$D$11*$K$11*(1-$E$11),AZ29*(1-$E$11))</f>
        <v>0</v>
      </c>
      <c r="BC29" s="1022">
        <f>IF(OR(Fiscalitat!$H$21="a",Fiscalitat!$H$21="B",Fiscalitat!$H$21="D"),0,BB29*$I$11)</f>
        <v>0</v>
      </c>
      <c r="BD29" s="1023">
        <f>'Introducció dades'!L177</f>
        <v>0</v>
      </c>
      <c r="BE29" s="1024">
        <f t="shared" si="17"/>
        <v>0</v>
      </c>
      <c r="BF29" s="794">
        <f>IF(OR(Fiscalitat!$H$21="a",Fiscalitat!$H$21="B",Fiscalitat!$H$21="D"),((1+$F$12)*BE29*D$12),BE29*$D$12)</f>
        <v>0</v>
      </c>
      <c r="BG29" s="794">
        <f>IF(OR(Fiscalitat!$H$21="a",Fiscalitat!$H$21="B",Fiscalitat!$H$21="D"),0,BF29*$F$12)</f>
        <v>0</v>
      </c>
      <c r="BH29" s="794">
        <f>IF(OR(Fiscalitat!$H$21="B",Fiscalitat!$H$21="D"),BF29*(1-$E$12)+BE29*$D$12*$K$12*(1-$E$12),BF29*(1-$E$12))</f>
        <v>0</v>
      </c>
      <c r="BI29" s="794">
        <f>IF(OR(Fiscalitat!$H$21="a",Fiscalitat!$H$21="B",Fiscalitat!$H$21="D"),0,BH29*$I$12)</f>
        <v>0</v>
      </c>
      <c r="BJ29" s="1020">
        <f>'Introducció dades'!M177</f>
        <v>0</v>
      </c>
      <c r="BK29" s="1021">
        <f t="shared" si="18"/>
        <v>0</v>
      </c>
      <c r="BL29" s="1022">
        <f>IF(OR(Fiscalitat!$H$21="a",Fiscalitat!$H$21="B",Fiscalitat!$H$21="D"),((1+$F$13)*BK29*D$13),BK29*$D$13)</f>
        <v>0</v>
      </c>
      <c r="BM29" s="1022">
        <f>IF(OR(Fiscalitat!$H$21="a",Fiscalitat!$H$21="B",Fiscalitat!$H$21="D"),0,BL29*$F$13)</f>
        <v>0</v>
      </c>
      <c r="BN29" s="1022">
        <f>IF(OR(Fiscalitat!$H$21="B",Fiscalitat!$H$21="D"),BL29*(1-$E$13)+BK29*$D$13*$K$13*(1-$E$13),BL29*(1-$E$13))</f>
        <v>0</v>
      </c>
      <c r="BO29" s="1022">
        <f>IF(OR(Fiscalitat!$H$21="a",Fiscalitat!$H$21="B",Fiscalitat!$H$21="D"),0,BN29*$I$13)</f>
        <v>0</v>
      </c>
      <c r="BP29" s="1025">
        <f>'Introducció dades'!N177</f>
        <v>0</v>
      </c>
      <c r="BQ29" s="1024">
        <f t="shared" si="19"/>
        <v>0</v>
      </c>
      <c r="BR29" s="794">
        <f>IF(OR(Fiscalitat!$H$21="a",Fiscalitat!$H$21="B",Fiscalitat!$H$21="D"),((1+$F$14)*BQ29*D$14),BQ29*$D$14)</f>
        <v>0</v>
      </c>
      <c r="BS29" s="794">
        <f>IF(OR(Fiscalitat!$H$21="a",Fiscalitat!$H$21="B",Fiscalitat!$H$21="D"),0,BR29*$F$14)</f>
        <v>0</v>
      </c>
      <c r="BT29" s="794">
        <f>IF(OR(Fiscalitat!$H$21="B",Fiscalitat!$H$21="D"),BR29*(1-$E$14)+BQ29*$D$14*$K$14*(1-$E$14),BR29*(1-$E$14))</f>
        <v>0</v>
      </c>
      <c r="BU29" s="794">
        <f>IF(OR(Fiscalitat!$H$21="a",Fiscalitat!$H$21="B",Fiscalitat!$H$21="D"),0,BT29*$I$14)</f>
        <v>0</v>
      </c>
      <c r="BV29" s="25">
        <f t="shared" si="20"/>
        <v>0</v>
      </c>
      <c r="BW29" s="1026">
        <f t="shared" si="20"/>
        <v>0</v>
      </c>
      <c r="BX29" s="1026">
        <f t="shared" si="20"/>
        <v>0</v>
      </c>
      <c r="BY29" s="1026">
        <f t="shared" si="20"/>
        <v>0</v>
      </c>
      <c r="BZ29" s="1026">
        <f t="shared" si="7"/>
        <v>0</v>
      </c>
      <c r="CO29" s="1029">
        <f t="shared" si="21"/>
        <v>0</v>
      </c>
    </row>
    <row r="30" spans="1:93" ht="13" x14ac:dyDescent="0.3">
      <c r="A30" s="1019" t="str">
        <f>TRIBUTS!K9</f>
        <v>SETEMBRE</v>
      </c>
      <c r="B30" s="1020">
        <f>'Introducció dades'!C178</f>
        <v>0</v>
      </c>
      <c r="C30" s="1021">
        <f t="shared" si="8"/>
        <v>0</v>
      </c>
      <c r="D30" s="1022">
        <f>IF(OR(Fiscalitat!$H$21="a",Fiscalitat!$H$21="B",Fiscalitat!$H$21="D"),((1+$F$3)*C30*D$3),C30*$D$3)</f>
        <v>0</v>
      </c>
      <c r="E30" s="1022">
        <f>IF(OR(Fiscalitat!$H$21="a",Fiscalitat!$H$21="B",Fiscalitat!$H$21="D"),0,D30*$F$3)</f>
        <v>0</v>
      </c>
      <c r="F30" s="1022">
        <f>IF(OR(Fiscalitat!$H$21="B",Fiscalitat!$H$21="D"),D30*(1-$E$3)+C30*$D$3*$K$3*(1-$E$3),D30*(1-$E$3))</f>
        <v>0</v>
      </c>
      <c r="G30" s="1022">
        <f>IF(OR(Fiscalitat!$H$21="a",Fiscalitat!$H$21="B",Fiscalitat!$H$21="D"),0,F30*$I$3)</f>
        <v>0</v>
      </c>
      <c r="H30" s="1023">
        <f>'Introducció dades'!D178</f>
        <v>0</v>
      </c>
      <c r="I30" s="1024">
        <f t="shared" si="9"/>
        <v>0</v>
      </c>
      <c r="J30" s="794">
        <f>IF(OR(Fiscalitat!$H$21="a",Fiscalitat!$H$21="B",Fiscalitat!$H$21="D"),((1+$F$4)*I30*D$4),I30*$D$4)</f>
        <v>0</v>
      </c>
      <c r="K30" s="794">
        <f>IF(OR(Fiscalitat!$H$21="a",Fiscalitat!$H$21="B",Fiscalitat!$H$21="D"),0,J30*$F$4)</f>
        <v>0</v>
      </c>
      <c r="L30" s="794">
        <f>IF(OR(Fiscalitat!$H$21="B",Fiscalitat!$H$21="D"),J30*(1-$E$4)+I30*$D$4*$K$4*(1-$E$4),J30*(1-$E$4))</f>
        <v>0</v>
      </c>
      <c r="M30" s="794">
        <f>IF(OR(Fiscalitat!$H$21="a",Fiscalitat!$H$21="B",Fiscalitat!$H$21="D"),0,L30*$I$4)</f>
        <v>0</v>
      </c>
      <c r="N30" s="1020">
        <f>'Introducció dades'!E178</f>
        <v>0</v>
      </c>
      <c r="O30" s="1021">
        <f t="shared" si="10"/>
        <v>0</v>
      </c>
      <c r="P30" s="1022">
        <f>IF(OR(Fiscalitat!$H$21="a",Fiscalitat!$H$21="B",Fiscalitat!$H$21="D"),((1+$F$5)*O30*D$5),O30*$D$5)</f>
        <v>0</v>
      </c>
      <c r="Q30" s="1022">
        <f>IF(OR(Fiscalitat!$H$21="a",Fiscalitat!$H$21="B",Fiscalitat!$H$21="D"),0,P30*$F$5)</f>
        <v>0</v>
      </c>
      <c r="R30" s="1022">
        <f>IF(OR(Fiscalitat!$H$21="B",Fiscalitat!$H$21="D"),P30*(1-$E$5)+O30*$D$5*$K$5*(1-$E$5),P30*(1-$E$5))</f>
        <v>0</v>
      </c>
      <c r="S30" s="1022">
        <f>IF(OR(Fiscalitat!$H$21="a",Fiscalitat!$H$21="B",Fiscalitat!$H$21="D"),0,R30*$I$5)</f>
        <v>0</v>
      </c>
      <c r="T30" s="1023">
        <f>'Introducció dades'!F178</f>
        <v>0</v>
      </c>
      <c r="U30" s="1024">
        <f t="shared" si="11"/>
        <v>0</v>
      </c>
      <c r="V30" s="794">
        <f>IF(OR(Fiscalitat!$H$21="a",Fiscalitat!$H$21="B",Fiscalitat!$H$21="D"),((1+$F$6)*U30*D$6),U30*$D$6)</f>
        <v>0</v>
      </c>
      <c r="W30" s="794">
        <f>IF(OR(Fiscalitat!$H$21="a",Fiscalitat!$H$21="B",Fiscalitat!$H$21="D"),0,V30*$F$6)</f>
        <v>0</v>
      </c>
      <c r="X30" s="794">
        <f>IF(OR(Fiscalitat!$H$21="B",Fiscalitat!$H$21="D"),V30*(1-$E$6)+U30*$D$6*$K$6*(1-$E$6),V30*(1-$E$6))</f>
        <v>0</v>
      </c>
      <c r="Y30" s="794">
        <f>IF(OR(Fiscalitat!$H$21="a",Fiscalitat!$H$21="B",Fiscalitat!$H$21="D"),0,X30*$I$6)</f>
        <v>0</v>
      </c>
      <c r="Z30" s="1020">
        <f>'Introducció dades'!G178</f>
        <v>0</v>
      </c>
      <c r="AA30" s="1021">
        <f t="shared" si="12"/>
        <v>0</v>
      </c>
      <c r="AB30" s="1022">
        <f>IF(OR(Fiscalitat!$H$21="a",Fiscalitat!$H$21="B",Fiscalitat!$H$21="D"),((1+$F$7)*AA30*D$7),AA30*$D$7)</f>
        <v>0</v>
      </c>
      <c r="AC30" s="1022">
        <f>IF(OR(Fiscalitat!$H$21="a",Fiscalitat!$H$21="B",Fiscalitat!$H$21="D"),0,AB30*$F$7)</f>
        <v>0</v>
      </c>
      <c r="AD30" s="1022">
        <f>IF(OR(Fiscalitat!$H$21="B",Fiscalitat!$H$21="D"),AB30*(1-$E$7)+AA30*$D$7*$K$7*(1-$E$7),AB30*(1-$E$7))</f>
        <v>0</v>
      </c>
      <c r="AE30" s="1022">
        <f>IF(OR(Fiscalitat!$H$21="a",Fiscalitat!$H$21="B",Fiscalitat!$H$21="D"),0,AD30*$I$7)</f>
        <v>0</v>
      </c>
      <c r="AF30" s="1023">
        <f>'Introducció dades'!H178</f>
        <v>0</v>
      </c>
      <c r="AG30" s="1024">
        <f t="shared" si="13"/>
        <v>0</v>
      </c>
      <c r="AH30" s="794">
        <f>IF(OR(Fiscalitat!$H$21="a",Fiscalitat!$H$21="B",Fiscalitat!$H$21="D"),((1+$F$8)*AG30*D$8),AG30*$D$8)</f>
        <v>0</v>
      </c>
      <c r="AI30" s="794">
        <f>IF(OR(Fiscalitat!$H$21="a",Fiscalitat!$H$21="B",Fiscalitat!$H$21="D"),0,AH30*$F$8)</f>
        <v>0</v>
      </c>
      <c r="AJ30" s="794">
        <f>IF(OR(Fiscalitat!$H$21="B",Fiscalitat!$H$21="D"),AH30*(1-$E$8)+AG30*$D$8*$K$8*(1-$E$8),AH30*(1-$E$8))</f>
        <v>0</v>
      </c>
      <c r="AK30" s="794">
        <f>IF(OR(Fiscalitat!$H$21="a",Fiscalitat!$H$21="B",Fiscalitat!$H$21="D"),0,AJ30*$I$8)</f>
        <v>0</v>
      </c>
      <c r="AL30" s="1020">
        <f>'Introducció dades'!I178</f>
        <v>0</v>
      </c>
      <c r="AM30" s="1021">
        <f t="shared" si="14"/>
        <v>0</v>
      </c>
      <c r="AN30" s="1022">
        <f>IF(OR(Fiscalitat!$H$21="a",Fiscalitat!$H$21="B",Fiscalitat!$H$21="D"),((1+$F$9)*AM30*D$9),AM30*$D$9)</f>
        <v>0</v>
      </c>
      <c r="AO30" s="1022">
        <f>IF(OR(Fiscalitat!$H$21="a",Fiscalitat!$H$21="B",Fiscalitat!$H$21="D"),0,AN30*$F$9)</f>
        <v>0</v>
      </c>
      <c r="AP30" s="1022">
        <f>IF(OR(Fiscalitat!$H$21="B",Fiscalitat!$H$21="D"),AN30*(1-$E$9)+AM30*$D$9*$K$9*(1-$E$9),AN30*(1-$E$9))</f>
        <v>0</v>
      </c>
      <c r="AQ30" s="1022">
        <f>IF(OR(Fiscalitat!$H$21="a",Fiscalitat!$H$21="B",Fiscalitat!$H$21="D"),0,AP30*$I$9)</f>
        <v>0</v>
      </c>
      <c r="AR30" s="1023">
        <f>'Introducció dades'!J178</f>
        <v>0</v>
      </c>
      <c r="AS30" s="1024">
        <f t="shared" si="15"/>
        <v>0</v>
      </c>
      <c r="AT30" s="794">
        <f>IF(OR(Fiscalitat!$H$21="a",Fiscalitat!$H$21="B",Fiscalitat!$H$21="D"),((1+$F$10)*AS30*D$10),AS30*$D$10)</f>
        <v>0</v>
      </c>
      <c r="AU30" s="794">
        <f>IF(OR(Fiscalitat!$H$21="a",Fiscalitat!$H$21="B",Fiscalitat!$H$21="D"),0,AT30*$F$10)</f>
        <v>0</v>
      </c>
      <c r="AV30" s="794">
        <f>IF(OR(Fiscalitat!$H$21="B",Fiscalitat!$H$21="D"),AT30*(1-$E$10)+AS30*$D$10*$K$10*(1-$E$10),AT30*(1-$E$10))</f>
        <v>0</v>
      </c>
      <c r="AW30" s="794">
        <f>IF(OR(Fiscalitat!$H$21="a",Fiscalitat!$H$21="B",Fiscalitat!$H$21="D"),0,AV30*$I$10)</f>
        <v>0</v>
      </c>
      <c r="AX30" s="1020">
        <f>'Introducció dades'!K178</f>
        <v>0</v>
      </c>
      <c r="AY30" s="1021">
        <f t="shared" si="16"/>
        <v>0</v>
      </c>
      <c r="AZ30" s="1022">
        <f>IF(OR(Fiscalitat!$H$21="a",Fiscalitat!$H$21="B",Fiscalitat!$H$21="D"),((1+$F$11)*AY30*D$11),AY30*$D$11)</f>
        <v>0</v>
      </c>
      <c r="BA30" s="1022">
        <f>IF(OR(Fiscalitat!$H$21="a",Fiscalitat!$H$21="B",Fiscalitat!$H$21="D"),0,AZ30*$F$11)</f>
        <v>0</v>
      </c>
      <c r="BB30" s="1022">
        <f>IF(OR(Fiscalitat!$H$21="B",Fiscalitat!$H$21="D"),AZ30*(1-$E$11)+AY30*$D$11*$K$11*(1-$E$11),AZ30*(1-$E$11))</f>
        <v>0</v>
      </c>
      <c r="BC30" s="1022">
        <f>IF(OR(Fiscalitat!$H$21="a",Fiscalitat!$H$21="B",Fiscalitat!$H$21="D"),0,BB30*$I$11)</f>
        <v>0</v>
      </c>
      <c r="BD30" s="1023">
        <f>'Introducció dades'!L178</f>
        <v>0</v>
      </c>
      <c r="BE30" s="1024">
        <f t="shared" si="17"/>
        <v>0</v>
      </c>
      <c r="BF30" s="794">
        <f>IF(OR(Fiscalitat!$H$21="a",Fiscalitat!$H$21="B",Fiscalitat!$H$21="D"),((1+$F$12)*BE30*D$12),BE30*$D$12)</f>
        <v>0</v>
      </c>
      <c r="BG30" s="794">
        <f>IF(OR(Fiscalitat!$H$21="a",Fiscalitat!$H$21="B",Fiscalitat!$H$21="D"),0,BF30*$F$12)</f>
        <v>0</v>
      </c>
      <c r="BH30" s="794">
        <f>IF(OR(Fiscalitat!$H$21="B",Fiscalitat!$H$21="D"),BF30*(1-$E$12)+BE30*$D$12*$K$12*(1-$E$12),BF30*(1-$E$12))</f>
        <v>0</v>
      </c>
      <c r="BI30" s="794">
        <f>IF(OR(Fiscalitat!$H$21="a",Fiscalitat!$H$21="B",Fiscalitat!$H$21="D"),0,BH30*$I$12)</f>
        <v>0</v>
      </c>
      <c r="BJ30" s="1020">
        <f>'Introducció dades'!M178</f>
        <v>0</v>
      </c>
      <c r="BK30" s="1021">
        <f t="shared" si="18"/>
        <v>0</v>
      </c>
      <c r="BL30" s="1022">
        <f>IF(OR(Fiscalitat!$H$21="a",Fiscalitat!$H$21="B",Fiscalitat!$H$21="D"),((1+$F$13)*BK30*D$13),BK30*$D$13)</f>
        <v>0</v>
      </c>
      <c r="BM30" s="1022">
        <f>IF(OR(Fiscalitat!$H$21="a",Fiscalitat!$H$21="B",Fiscalitat!$H$21="D"),0,BL30*$F$13)</f>
        <v>0</v>
      </c>
      <c r="BN30" s="1022">
        <f>IF(OR(Fiscalitat!$H$21="B",Fiscalitat!$H$21="D"),BL30*(1-$E$13)+BK30*$D$13*$K$13*(1-$E$13),BL30*(1-$E$13))</f>
        <v>0</v>
      </c>
      <c r="BO30" s="1022">
        <f>IF(OR(Fiscalitat!$H$21="a",Fiscalitat!$H$21="B",Fiscalitat!$H$21="D"),0,BN30*$I$13)</f>
        <v>0</v>
      </c>
      <c r="BP30" s="1025">
        <f>'Introducció dades'!N178</f>
        <v>0</v>
      </c>
      <c r="BQ30" s="1024">
        <f t="shared" si="19"/>
        <v>0</v>
      </c>
      <c r="BR30" s="794">
        <f>IF(OR(Fiscalitat!$H$21="a",Fiscalitat!$H$21="B",Fiscalitat!$H$21="D"),((1+$F$14)*BQ30*D$14),BQ30*$D$14)</f>
        <v>0</v>
      </c>
      <c r="BS30" s="794">
        <f>IF(OR(Fiscalitat!$H$21="a",Fiscalitat!$H$21="B",Fiscalitat!$H$21="D"),0,BR30*$F$14)</f>
        <v>0</v>
      </c>
      <c r="BT30" s="794">
        <f>IF(OR(Fiscalitat!$H$21="B",Fiscalitat!$H$21="D"),BR30*(1-$E$14)+BQ30*$D$14*$K$14*(1-$E$14),BR30*(1-$E$14))</f>
        <v>0</v>
      </c>
      <c r="BU30" s="794">
        <f>IF(OR(Fiscalitat!$H$21="a",Fiscalitat!$H$21="B",Fiscalitat!$H$21="D"),0,BT30*$I$14)</f>
        <v>0</v>
      </c>
      <c r="BV30" s="25">
        <f t="shared" si="20"/>
        <v>0</v>
      </c>
      <c r="BW30" s="1026">
        <f t="shared" si="20"/>
        <v>0</v>
      </c>
      <c r="BX30" s="1026">
        <f t="shared" si="20"/>
        <v>0</v>
      </c>
      <c r="BY30" s="1026">
        <f t="shared" si="20"/>
        <v>0</v>
      </c>
      <c r="BZ30" s="1026">
        <f t="shared" si="7"/>
        <v>0</v>
      </c>
      <c r="CO30" s="1029">
        <f t="shared" si="21"/>
        <v>0</v>
      </c>
    </row>
    <row r="31" spans="1:93" ht="13" x14ac:dyDescent="0.3">
      <c r="A31" s="1019" t="str">
        <f>TRIBUTS!K10</f>
        <v>OCTUBRE</v>
      </c>
      <c r="B31" s="1020">
        <f>'Introducció dades'!C179</f>
        <v>0</v>
      </c>
      <c r="C31" s="1021">
        <f t="shared" si="8"/>
        <v>0</v>
      </c>
      <c r="D31" s="1022">
        <f>IF(OR(Fiscalitat!$H$21="a",Fiscalitat!$H$21="B",Fiscalitat!$H$21="D"),((1+$F$3)*C31*D$3),C31*$D$3)</f>
        <v>0</v>
      </c>
      <c r="E31" s="1022">
        <f>IF(OR(Fiscalitat!$H$21="a",Fiscalitat!$H$21="B",Fiscalitat!$H$21="D"),0,D31*$F$3)</f>
        <v>0</v>
      </c>
      <c r="F31" s="1022">
        <f>IF(OR(Fiscalitat!$H$21="B",Fiscalitat!$H$21="D"),D31*(1-$E$3)+C31*$D$3*$K$3*(1-$E$3),D31*(1-$E$3))</f>
        <v>0</v>
      </c>
      <c r="G31" s="1022">
        <f>IF(OR(Fiscalitat!$H$21="a",Fiscalitat!$H$21="B",Fiscalitat!$H$21="D"),0,F31*$I$3)</f>
        <v>0</v>
      </c>
      <c r="H31" s="1023">
        <f>'Introducció dades'!D179</f>
        <v>0</v>
      </c>
      <c r="I31" s="1024">
        <f t="shared" si="9"/>
        <v>0</v>
      </c>
      <c r="J31" s="794">
        <f>IF(OR(Fiscalitat!$H$21="a",Fiscalitat!$H$21="B",Fiscalitat!$H$21="D"),((1+$F$4)*I31*D$4),I31*$D$4)</f>
        <v>0</v>
      </c>
      <c r="K31" s="794">
        <f>IF(OR(Fiscalitat!$H$21="a",Fiscalitat!$H$21="B",Fiscalitat!$H$21="D"),0,J31*$F$4)</f>
        <v>0</v>
      </c>
      <c r="L31" s="794">
        <f>IF(OR(Fiscalitat!$H$21="B",Fiscalitat!$H$21="D"),J31*(1-$E$4)+I31*$D$4*$K$4*(1-$E$4),J31*(1-$E$4))</f>
        <v>0</v>
      </c>
      <c r="M31" s="794">
        <f>IF(OR(Fiscalitat!$H$21="a",Fiscalitat!$H$21="B",Fiscalitat!$H$21="D"),0,L31*$I$4)</f>
        <v>0</v>
      </c>
      <c r="N31" s="1020">
        <f>'Introducció dades'!E179</f>
        <v>0</v>
      </c>
      <c r="O31" s="1021">
        <f t="shared" si="10"/>
        <v>0</v>
      </c>
      <c r="P31" s="1022">
        <f>IF(OR(Fiscalitat!$H$21="a",Fiscalitat!$H$21="B",Fiscalitat!$H$21="D"),((1+$F$5)*O31*D$5),O31*$D$5)</f>
        <v>0</v>
      </c>
      <c r="Q31" s="1022">
        <f>IF(OR(Fiscalitat!$H$21="a",Fiscalitat!$H$21="B",Fiscalitat!$H$21="D"),0,P31*$F$5)</f>
        <v>0</v>
      </c>
      <c r="R31" s="1022">
        <f>IF(OR(Fiscalitat!$H$21="B",Fiscalitat!$H$21="D"),P31*(1-$E$5)+O31*$D$5*$K$5*(1-$E$5),P31*(1-$E$5))</f>
        <v>0</v>
      </c>
      <c r="S31" s="1022">
        <f>IF(OR(Fiscalitat!$H$21="a",Fiscalitat!$H$21="B",Fiscalitat!$H$21="D"),0,R31*$I$5)</f>
        <v>0</v>
      </c>
      <c r="T31" s="1023">
        <f>'Introducció dades'!F179</f>
        <v>0</v>
      </c>
      <c r="U31" s="1024">
        <f t="shared" si="11"/>
        <v>0</v>
      </c>
      <c r="V31" s="794">
        <f>IF(OR(Fiscalitat!$H$21="a",Fiscalitat!$H$21="B",Fiscalitat!$H$21="D"),((1+$F$6)*U31*D$6),U31*$D$6)</f>
        <v>0</v>
      </c>
      <c r="W31" s="794">
        <f>IF(OR(Fiscalitat!$H$21="a",Fiscalitat!$H$21="B",Fiscalitat!$H$21="D"),0,V31*$F$6)</f>
        <v>0</v>
      </c>
      <c r="X31" s="794">
        <f>IF(OR(Fiscalitat!$H$21="B",Fiscalitat!$H$21="D"),V31*(1-$E$6)+U31*$D$6*$K$6*(1-$E$6),V31*(1-$E$6))</f>
        <v>0</v>
      </c>
      <c r="Y31" s="794">
        <f>IF(OR(Fiscalitat!$H$21="a",Fiscalitat!$H$21="B",Fiscalitat!$H$21="D"),0,X31*$I$6)</f>
        <v>0</v>
      </c>
      <c r="Z31" s="1020">
        <f>'Introducció dades'!G179</f>
        <v>0</v>
      </c>
      <c r="AA31" s="1021">
        <f t="shared" si="12"/>
        <v>0</v>
      </c>
      <c r="AB31" s="1022">
        <f>IF(OR(Fiscalitat!$H$21="a",Fiscalitat!$H$21="B",Fiscalitat!$H$21="D"),((1+$F$7)*AA31*D$7),AA31*$D$7)</f>
        <v>0</v>
      </c>
      <c r="AC31" s="1022">
        <f>IF(OR(Fiscalitat!$H$21="a",Fiscalitat!$H$21="B",Fiscalitat!$H$21="D"),0,AB31*$F$7)</f>
        <v>0</v>
      </c>
      <c r="AD31" s="1022">
        <f>IF(OR(Fiscalitat!$H$21="B",Fiscalitat!$H$21="D"),AB31*(1-$E$7)+AA31*$D$7*$K$7*(1-$E$7),AB31*(1-$E$7))</f>
        <v>0</v>
      </c>
      <c r="AE31" s="1022">
        <f>IF(OR(Fiscalitat!$H$21="a",Fiscalitat!$H$21="B",Fiscalitat!$H$21="D"),0,AD31*$I$7)</f>
        <v>0</v>
      </c>
      <c r="AF31" s="1023">
        <f>'Introducció dades'!H179</f>
        <v>0</v>
      </c>
      <c r="AG31" s="1024">
        <f t="shared" si="13"/>
        <v>0</v>
      </c>
      <c r="AH31" s="794">
        <f>IF(OR(Fiscalitat!$H$21="a",Fiscalitat!$H$21="B",Fiscalitat!$H$21="D"),((1+$F$8)*AG31*D$8),AG31*$D$8)</f>
        <v>0</v>
      </c>
      <c r="AI31" s="794">
        <f>IF(OR(Fiscalitat!$H$21="a",Fiscalitat!$H$21="B",Fiscalitat!$H$21="D"),0,AH31*$F$8)</f>
        <v>0</v>
      </c>
      <c r="AJ31" s="794">
        <f>IF(OR(Fiscalitat!$H$21="B",Fiscalitat!$H$21="D"),AH31*(1-$E$8)+AG31*$D$8*$K$8*(1-$E$8),AH31*(1-$E$8))</f>
        <v>0</v>
      </c>
      <c r="AK31" s="794">
        <f>IF(OR(Fiscalitat!$H$21="a",Fiscalitat!$H$21="B",Fiscalitat!$H$21="D"),0,AJ31*$I$8)</f>
        <v>0</v>
      </c>
      <c r="AL31" s="1020">
        <f>'Introducció dades'!I179</f>
        <v>0</v>
      </c>
      <c r="AM31" s="1021">
        <f t="shared" si="14"/>
        <v>0</v>
      </c>
      <c r="AN31" s="1022">
        <f>IF(OR(Fiscalitat!$H$21="a",Fiscalitat!$H$21="B",Fiscalitat!$H$21="D"),((1+$F$9)*AM31*D$9),AM31*$D$9)</f>
        <v>0</v>
      </c>
      <c r="AO31" s="1022">
        <f>IF(OR(Fiscalitat!$H$21="a",Fiscalitat!$H$21="B",Fiscalitat!$H$21="D"),0,AN31*$F$9)</f>
        <v>0</v>
      </c>
      <c r="AP31" s="1022">
        <f>IF(OR(Fiscalitat!$H$21="B",Fiscalitat!$H$21="D"),AN31*(1-$E$9)+AM31*$D$9*$K$9*(1-$E$9),AN31*(1-$E$9))</f>
        <v>0</v>
      </c>
      <c r="AQ31" s="1022">
        <f>IF(OR(Fiscalitat!$H$21="a",Fiscalitat!$H$21="B",Fiscalitat!$H$21="D"),0,AP31*$I$9)</f>
        <v>0</v>
      </c>
      <c r="AR31" s="1023">
        <f>'Introducció dades'!J179</f>
        <v>0</v>
      </c>
      <c r="AS31" s="1024">
        <f t="shared" si="15"/>
        <v>0</v>
      </c>
      <c r="AT31" s="794">
        <f>IF(OR(Fiscalitat!$H$21="a",Fiscalitat!$H$21="B",Fiscalitat!$H$21="D"),((1+$F$10)*AS31*D$10),AS31*$D$10)</f>
        <v>0</v>
      </c>
      <c r="AU31" s="794">
        <f>IF(OR(Fiscalitat!$H$21="a",Fiscalitat!$H$21="B",Fiscalitat!$H$21="D"),0,AT31*$F$10)</f>
        <v>0</v>
      </c>
      <c r="AV31" s="794">
        <f>IF(OR(Fiscalitat!$H$21="B",Fiscalitat!$H$21="D"),AT31*(1-$E$10)+AS31*$D$10*$K$10*(1-$E$10),AT31*(1-$E$10))</f>
        <v>0</v>
      </c>
      <c r="AW31" s="794">
        <f>IF(OR(Fiscalitat!$H$21="a",Fiscalitat!$H$21="B",Fiscalitat!$H$21="D"),0,AV31*$I$10)</f>
        <v>0</v>
      </c>
      <c r="AX31" s="1020">
        <f>'Introducció dades'!K179</f>
        <v>0</v>
      </c>
      <c r="AY31" s="1021">
        <f t="shared" si="16"/>
        <v>0</v>
      </c>
      <c r="AZ31" s="1022">
        <f>IF(OR(Fiscalitat!$H$21="a",Fiscalitat!$H$21="B",Fiscalitat!$H$21="D"),((1+$F$11)*AY31*D$11),AY31*$D$11)</f>
        <v>0</v>
      </c>
      <c r="BA31" s="1022">
        <f>IF(OR(Fiscalitat!$H$21="a",Fiscalitat!$H$21="B",Fiscalitat!$H$21="D"),0,AZ31*$F$11)</f>
        <v>0</v>
      </c>
      <c r="BB31" s="1022">
        <f>IF(OR(Fiscalitat!$H$21="B",Fiscalitat!$H$21="D"),AZ31*(1-$E$11)+AY31*$D$11*$K$11*(1-$E$11),AZ31*(1-$E$11))</f>
        <v>0</v>
      </c>
      <c r="BC31" s="1022">
        <f>IF(OR(Fiscalitat!$H$21="a",Fiscalitat!$H$21="B",Fiscalitat!$H$21="D"),0,BB31*$I$11)</f>
        <v>0</v>
      </c>
      <c r="BD31" s="1023">
        <f>'Introducció dades'!L179</f>
        <v>0</v>
      </c>
      <c r="BE31" s="1024">
        <f t="shared" si="17"/>
        <v>0</v>
      </c>
      <c r="BF31" s="794">
        <f>IF(OR(Fiscalitat!$H$21="a",Fiscalitat!$H$21="B",Fiscalitat!$H$21="D"),((1+$F$12)*BE31*D$12),BE31*$D$12)</f>
        <v>0</v>
      </c>
      <c r="BG31" s="794">
        <f>IF(OR(Fiscalitat!$H$21="a",Fiscalitat!$H$21="B",Fiscalitat!$H$21="D"),0,BF31*$F$12)</f>
        <v>0</v>
      </c>
      <c r="BH31" s="794">
        <f>IF(OR(Fiscalitat!$H$21="B",Fiscalitat!$H$21="D"),BF31*(1-$E$12)+BE31*$D$12*$K$12*(1-$E$12),BF31*(1-$E$12))</f>
        <v>0</v>
      </c>
      <c r="BI31" s="794">
        <f>IF(OR(Fiscalitat!$H$21="a",Fiscalitat!$H$21="B",Fiscalitat!$H$21="D"),0,BH31*$I$12)</f>
        <v>0</v>
      </c>
      <c r="BJ31" s="1020">
        <f>'Introducció dades'!M179</f>
        <v>0</v>
      </c>
      <c r="BK31" s="1021">
        <f t="shared" si="18"/>
        <v>0</v>
      </c>
      <c r="BL31" s="1022">
        <f>IF(OR(Fiscalitat!$H$21="a",Fiscalitat!$H$21="B",Fiscalitat!$H$21="D"),((1+$F$13)*BK31*D$13),BK31*$D$13)</f>
        <v>0</v>
      </c>
      <c r="BM31" s="1022">
        <f>IF(OR(Fiscalitat!$H$21="a",Fiscalitat!$H$21="B",Fiscalitat!$H$21="D"),0,BL31*$F$13)</f>
        <v>0</v>
      </c>
      <c r="BN31" s="1022">
        <f>IF(OR(Fiscalitat!$H$21="B",Fiscalitat!$H$21="D"),BL31*(1-$E$13)+BK31*$D$13*$K$13*(1-$E$13),BL31*(1-$E$13))</f>
        <v>0</v>
      </c>
      <c r="BO31" s="1022">
        <f>IF(OR(Fiscalitat!$H$21="a",Fiscalitat!$H$21="B",Fiscalitat!$H$21="D"),0,BN31*$I$13)</f>
        <v>0</v>
      </c>
      <c r="BP31" s="1025">
        <f>'Introducció dades'!N179</f>
        <v>0</v>
      </c>
      <c r="BQ31" s="1024">
        <f t="shared" si="19"/>
        <v>0</v>
      </c>
      <c r="BR31" s="794">
        <f>IF(OR(Fiscalitat!$H$21="a",Fiscalitat!$H$21="B",Fiscalitat!$H$21="D"),((1+$F$14)*BQ31*D$14),BQ31*$D$14)</f>
        <v>0</v>
      </c>
      <c r="BS31" s="794">
        <f>IF(OR(Fiscalitat!$H$21="a",Fiscalitat!$H$21="B",Fiscalitat!$H$21="D"),0,BR31*$F$14)</f>
        <v>0</v>
      </c>
      <c r="BT31" s="794">
        <f>IF(OR(Fiscalitat!$H$21="B",Fiscalitat!$H$21="D"),BR31*(1-$E$14)+BQ31*$D$14*$K$14*(1-$E$14),BR31*(1-$E$14))</f>
        <v>0</v>
      </c>
      <c r="BU31" s="794">
        <f>IF(OR(Fiscalitat!$H$21="a",Fiscalitat!$H$21="B",Fiscalitat!$H$21="D"),0,BT31*$I$14)</f>
        <v>0</v>
      </c>
      <c r="BV31" s="25">
        <f t="shared" si="20"/>
        <v>0</v>
      </c>
      <c r="BW31" s="1026">
        <f t="shared" si="20"/>
        <v>0</v>
      </c>
      <c r="BX31" s="1026">
        <f t="shared" si="20"/>
        <v>0</v>
      </c>
      <c r="BY31" s="1026">
        <f t="shared" si="20"/>
        <v>0</v>
      </c>
      <c r="BZ31" s="1026">
        <f t="shared" si="7"/>
        <v>0</v>
      </c>
      <c r="CO31" s="1029">
        <f t="shared" si="21"/>
        <v>0</v>
      </c>
    </row>
    <row r="32" spans="1:93" ht="13" x14ac:dyDescent="0.3">
      <c r="A32" s="1019" t="str">
        <f>TRIBUTS!K11</f>
        <v>NOVEMBRE</v>
      </c>
      <c r="B32" s="1020">
        <f>'Introducció dades'!C180</f>
        <v>0</v>
      </c>
      <c r="C32" s="1021">
        <f t="shared" si="8"/>
        <v>0</v>
      </c>
      <c r="D32" s="1022">
        <f>IF(OR(Fiscalitat!$H$21="a",Fiscalitat!$H$21="B",Fiscalitat!$H$21="D"),((1+$F$3)*C32*D$3),C32*$D$3)</f>
        <v>0</v>
      </c>
      <c r="E32" s="1022">
        <f>IF(OR(Fiscalitat!$H$21="a",Fiscalitat!$H$21="B",Fiscalitat!$H$21="D"),0,D32*$F$3)</f>
        <v>0</v>
      </c>
      <c r="F32" s="1022">
        <f>IF(OR(Fiscalitat!$H$21="B",Fiscalitat!$H$21="D"),D32*(1-$E$3)+C32*$D$3*$K$3*(1-$E$3),D32*(1-$E$3))</f>
        <v>0</v>
      </c>
      <c r="G32" s="1022">
        <f>IF(OR(Fiscalitat!$H$21="a",Fiscalitat!$H$21="B",Fiscalitat!$H$21="D"),0,F32*$I$3)</f>
        <v>0</v>
      </c>
      <c r="H32" s="1023">
        <f>'Introducció dades'!D180</f>
        <v>0</v>
      </c>
      <c r="I32" s="1024">
        <f t="shared" si="9"/>
        <v>0</v>
      </c>
      <c r="J32" s="794">
        <f>IF(OR(Fiscalitat!$H$21="a",Fiscalitat!$H$21="B",Fiscalitat!$H$21="D"),((1+$F$4)*I32*D$4),I32*$D$4)</f>
        <v>0</v>
      </c>
      <c r="K32" s="794">
        <f>IF(OR(Fiscalitat!$H$21="a",Fiscalitat!$H$21="B",Fiscalitat!$H$21="D"),0,J32*$F$4)</f>
        <v>0</v>
      </c>
      <c r="L32" s="794">
        <f>IF(OR(Fiscalitat!$H$21="B",Fiscalitat!$H$21="D"),J32*(1-$E$4)+I32*$D$4*$K$4*(1-$E$4),J32*(1-$E$4))</f>
        <v>0</v>
      </c>
      <c r="M32" s="794">
        <f>IF(OR(Fiscalitat!$H$21="a",Fiscalitat!$H$21="B",Fiscalitat!$H$21="D"),0,L32*$I$4)</f>
        <v>0</v>
      </c>
      <c r="N32" s="1020">
        <f>'Introducció dades'!E180</f>
        <v>0</v>
      </c>
      <c r="O32" s="1021">
        <f t="shared" si="10"/>
        <v>0</v>
      </c>
      <c r="P32" s="1022">
        <f>IF(OR(Fiscalitat!$H$21="a",Fiscalitat!$H$21="B",Fiscalitat!$H$21="D"),((1+$F$5)*O32*D$5),O32*$D$5)</f>
        <v>0</v>
      </c>
      <c r="Q32" s="1022">
        <f>IF(OR(Fiscalitat!$H$21="a",Fiscalitat!$H$21="B",Fiscalitat!$H$21="D"),0,P32*$F$5)</f>
        <v>0</v>
      </c>
      <c r="R32" s="1022">
        <f>IF(OR(Fiscalitat!$H$21="B",Fiscalitat!$H$21="D"),P32*(1-$E$5)+O32*$D$5*$K$5*(1-$E$5),P32*(1-$E$5))</f>
        <v>0</v>
      </c>
      <c r="S32" s="1022">
        <f>IF(OR(Fiscalitat!$H$21="a",Fiscalitat!$H$21="B",Fiscalitat!$H$21="D"),0,R32*$I$5)</f>
        <v>0</v>
      </c>
      <c r="T32" s="1023">
        <f>'Introducció dades'!F180</f>
        <v>0</v>
      </c>
      <c r="U32" s="1024">
        <f t="shared" si="11"/>
        <v>0</v>
      </c>
      <c r="V32" s="794">
        <f>IF(OR(Fiscalitat!$H$21="a",Fiscalitat!$H$21="B",Fiscalitat!$H$21="D"),((1+$F$6)*U32*D$6),U32*$D$6)</f>
        <v>0</v>
      </c>
      <c r="W32" s="794">
        <f>IF(OR(Fiscalitat!$H$21="a",Fiscalitat!$H$21="B",Fiscalitat!$H$21="D"),0,V32*$F$6)</f>
        <v>0</v>
      </c>
      <c r="X32" s="794">
        <f>IF(OR(Fiscalitat!$H$21="B",Fiscalitat!$H$21="D"),V32*(1-$E$6)+U32*$D$6*$K$6*(1-$E$6),V32*(1-$E$6))</f>
        <v>0</v>
      </c>
      <c r="Y32" s="794">
        <f>IF(OR(Fiscalitat!$H$21="a",Fiscalitat!$H$21="B",Fiscalitat!$H$21="D"),0,X32*$I$6)</f>
        <v>0</v>
      </c>
      <c r="Z32" s="1020">
        <f>'Introducció dades'!G180</f>
        <v>0</v>
      </c>
      <c r="AA32" s="1021">
        <f t="shared" si="12"/>
        <v>0</v>
      </c>
      <c r="AB32" s="1022">
        <f>IF(OR(Fiscalitat!$H$21="a",Fiscalitat!$H$21="B",Fiscalitat!$H$21="D"),((1+$F$7)*AA32*D$7),AA32*$D$7)</f>
        <v>0</v>
      </c>
      <c r="AC32" s="1022">
        <f>IF(OR(Fiscalitat!$H$21="a",Fiscalitat!$H$21="B",Fiscalitat!$H$21="D"),0,AB32*$F$7)</f>
        <v>0</v>
      </c>
      <c r="AD32" s="1022">
        <f>IF(OR(Fiscalitat!$H$21="B",Fiscalitat!$H$21="D"),AB32*(1-$E$7)+AA32*$D$7*$K$7*(1-$E$7),AB32*(1-$E$7))</f>
        <v>0</v>
      </c>
      <c r="AE32" s="1022">
        <f>IF(OR(Fiscalitat!$H$21="a",Fiscalitat!$H$21="B",Fiscalitat!$H$21="D"),0,AD32*$I$7)</f>
        <v>0</v>
      </c>
      <c r="AF32" s="1023">
        <f>'Introducció dades'!H180</f>
        <v>0</v>
      </c>
      <c r="AG32" s="1024">
        <f t="shared" si="13"/>
        <v>0</v>
      </c>
      <c r="AH32" s="794">
        <f>IF(OR(Fiscalitat!$H$21="a",Fiscalitat!$H$21="B",Fiscalitat!$H$21="D"),((1+$F$8)*AG32*D$8),AG32*$D$8)</f>
        <v>0</v>
      </c>
      <c r="AI32" s="794">
        <f>IF(OR(Fiscalitat!$H$21="a",Fiscalitat!$H$21="B",Fiscalitat!$H$21="D"),0,AH32*$F$8)</f>
        <v>0</v>
      </c>
      <c r="AJ32" s="794">
        <f>IF(OR(Fiscalitat!$H$21="B",Fiscalitat!$H$21="D"),AH32*(1-$E$8)+AG32*$D$8*$K$8*(1-$E$8),AH32*(1-$E$8))</f>
        <v>0</v>
      </c>
      <c r="AK32" s="794">
        <f>IF(OR(Fiscalitat!$H$21="a",Fiscalitat!$H$21="B",Fiscalitat!$H$21="D"),0,AJ32*$I$8)</f>
        <v>0</v>
      </c>
      <c r="AL32" s="1020">
        <f>'Introducció dades'!I180</f>
        <v>0</v>
      </c>
      <c r="AM32" s="1021">
        <f t="shared" si="14"/>
        <v>0</v>
      </c>
      <c r="AN32" s="1022">
        <f>IF(OR(Fiscalitat!$H$21="a",Fiscalitat!$H$21="B",Fiscalitat!$H$21="D"),((1+$F$9)*AM32*D$9),AM32*$D$9)</f>
        <v>0</v>
      </c>
      <c r="AO32" s="1022">
        <f>IF(OR(Fiscalitat!$H$21="a",Fiscalitat!$H$21="B",Fiscalitat!$H$21="D"),0,AN32*$F$9)</f>
        <v>0</v>
      </c>
      <c r="AP32" s="1022">
        <f>IF(OR(Fiscalitat!$H$21="B",Fiscalitat!$H$21="D"),AN32*(1-$E$9)+AM32*$D$9*$K$9*(1-$E$9),AN32*(1-$E$9))</f>
        <v>0</v>
      </c>
      <c r="AQ32" s="1022">
        <f>IF(OR(Fiscalitat!$H$21="a",Fiscalitat!$H$21="B",Fiscalitat!$H$21="D"),0,AP32*$I$9)</f>
        <v>0</v>
      </c>
      <c r="AR32" s="1023">
        <f>'Introducció dades'!J180</f>
        <v>0</v>
      </c>
      <c r="AS32" s="1024">
        <f t="shared" si="15"/>
        <v>0</v>
      </c>
      <c r="AT32" s="794">
        <f>IF(OR(Fiscalitat!$H$21="a",Fiscalitat!$H$21="B",Fiscalitat!$H$21="D"),((1+$F$10)*AS32*D$10),AS32*$D$10)</f>
        <v>0</v>
      </c>
      <c r="AU32" s="794">
        <f>IF(OR(Fiscalitat!$H$21="a",Fiscalitat!$H$21="B",Fiscalitat!$H$21="D"),0,AT32*$F$10)</f>
        <v>0</v>
      </c>
      <c r="AV32" s="794">
        <f>IF(OR(Fiscalitat!$H$21="B",Fiscalitat!$H$21="D"),AT32*(1-$E$10)+AS32*$D$10*$K$10*(1-$E$10),AT32*(1-$E$10))</f>
        <v>0</v>
      </c>
      <c r="AW32" s="794">
        <f>IF(OR(Fiscalitat!$H$21="a",Fiscalitat!$H$21="B",Fiscalitat!$H$21="D"),0,AV32*$I$10)</f>
        <v>0</v>
      </c>
      <c r="AX32" s="1020">
        <f>'Introducció dades'!K180</f>
        <v>0</v>
      </c>
      <c r="AY32" s="1021">
        <f t="shared" si="16"/>
        <v>0</v>
      </c>
      <c r="AZ32" s="1022">
        <f>IF(OR(Fiscalitat!$H$21="a",Fiscalitat!$H$21="B",Fiscalitat!$H$21="D"),((1+$F$11)*AY32*D$11),AY32*$D$11)</f>
        <v>0</v>
      </c>
      <c r="BA32" s="1022">
        <f>IF(OR(Fiscalitat!$H$21="a",Fiscalitat!$H$21="B",Fiscalitat!$H$21="D"),0,AZ32*$F$11)</f>
        <v>0</v>
      </c>
      <c r="BB32" s="1022">
        <f>IF(OR(Fiscalitat!$H$21="B",Fiscalitat!$H$21="D"),AZ32*(1-$E$11)+AY32*$D$11*$K$11*(1-$E$11),AZ32*(1-$E$11))</f>
        <v>0</v>
      </c>
      <c r="BC32" s="1022">
        <f>IF(OR(Fiscalitat!$H$21="a",Fiscalitat!$H$21="B",Fiscalitat!$H$21="D"),0,BB32*$I$11)</f>
        <v>0</v>
      </c>
      <c r="BD32" s="1023">
        <f>'Introducció dades'!L180</f>
        <v>0</v>
      </c>
      <c r="BE32" s="1024">
        <f t="shared" si="17"/>
        <v>0</v>
      </c>
      <c r="BF32" s="794">
        <f>IF(OR(Fiscalitat!$H$21="a",Fiscalitat!$H$21="B",Fiscalitat!$H$21="D"),((1+$F$12)*BE32*D$12),BE32*$D$12)</f>
        <v>0</v>
      </c>
      <c r="BG32" s="794">
        <f>IF(OR(Fiscalitat!$H$21="a",Fiscalitat!$H$21="B",Fiscalitat!$H$21="D"),0,BF32*$F$12)</f>
        <v>0</v>
      </c>
      <c r="BH32" s="794">
        <f>IF(OR(Fiscalitat!$H$21="B",Fiscalitat!$H$21="D"),BF32*(1-$E$12)+BE32*$D$12*$K$12*(1-$E$12),BF32*(1-$E$12))</f>
        <v>0</v>
      </c>
      <c r="BI32" s="794">
        <f>IF(OR(Fiscalitat!$H$21="a",Fiscalitat!$H$21="B",Fiscalitat!$H$21="D"),0,BH32*$I$12)</f>
        <v>0</v>
      </c>
      <c r="BJ32" s="1020">
        <f>'Introducció dades'!M180</f>
        <v>0</v>
      </c>
      <c r="BK32" s="1021">
        <f t="shared" si="18"/>
        <v>0</v>
      </c>
      <c r="BL32" s="1022">
        <f>IF(OR(Fiscalitat!$H$21="a",Fiscalitat!$H$21="B",Fiscalitat!$H$21="D"),((1+$F$13)*BK32*D$13),BK32*$D$13)</f>
        <v>0</v>
      </c>
      <c r="BM32" s="1022">
        <f>IF(OR(Fiscalitat!$H$21="a",Fiscalitat!$H$21="B",Fiscalitat!$H$21="D"),0,BL32*$F$13)</f>
        <v>0</v>
      </c>
      <c r="BN32" s="1022">
        <f>IF(OR(Fiscalitat!$H$21="B",Fiscalitat!$H$21="D"),BL32*(1-$E$13)+BK32*$D$13*$K$13*(1-$E$13),BL32*(1-$E$13))</f>
        <v>0</v>
      </c>
      <c r="BO32" s="1022">
        <f>IF(OR(Fiscalitat!$H$21="a",Fiscalitat!$H$21="B",Fiscalitat!$H$21="D"),0,BN32*$I$13)</f>
        <v>0</v>
      </c>
      <c r="BP32" s="1025">
        <f>'Introducció dades'!N180</f>
        <v>0</v>
      </c>
      <c r="BQ32" s="1024">
        <f t="shared" si="19"/>
        <v>0</v>
      </c>
      <c r="BR32" s="794">
        <f>IF(OR(Fiscalitat!$H$21="a",Fiscalitat!$H$21="B",Fiscalitat!$H$21="D"),((1+$F$14)*BQ32*D$14),BQ32*$D$14)</f>
        <v>0</v>
      </c>
      <c r="BS32" s="794">
        <f>IF(OR(Fiscalitat!$H$21="a",Fiscalitat!$H$21="B",Fiscalitat!$H$21="D"),0,BR32*$F$14)</f>
        <v>0</v>
      </c>
      <c r="BT32" s="794">
        <f>IF(OR(Fiscalitat!$H$21="B",Fiscalitat!$H$21="D"),BR32*(1-$E$14)+BQ32*$D$14*$K$14*(1-$E$14),BR32*(1-$E$14))</f>
        <v>0</v>
      </c>
      <c r="BU32" s="794">
        <f>IF(OR(Fiscalitat!$H$21="a",Fiscalitat!$H$21="B",Fiscalitat!$H$21="D"),0,BT32*$I$14)</f>
        <v>0</v>
      </c>
      <c r="BV32" s="25">
        <f t="shared" si="20"/>
        <v>0</v>
      </c>
      <c r="BW32" s="1026">
        <f t="shared" si="20"/>
        <v>0</v>
      </c>
      <c r="BX32" s="1026">
        <f t="shared" si="20"/>
        <v>0</v>
      </c>
      <c r="BY32" s="1026">
        <f t="shared" si="20"/>
        <v>0</v>
      </c>
      <c r="BZ32" s="1026">
        <f t="shared" si="7"/>
        <v>0</v>
      </c>
      <c r="CO32" s="1029">
        <f t="shared" si="21"/>
        <v>0</v>
      </c>
    </row>
    <row r="33" spans="1:93" ht="13" x14ac:dyDescent="0.3">
      <c r="A33" s="1032" t="str">
        <f>TRIBUTS!K12</f>
        <v>DESEMBRE</v>
      </c>
      <c r="B33" s="1020">
        <f>'Introducció dades'!C181</f>
        <v>0</v>
      </c>
      <c r="C33" s="1021">
        <f t="shared" si="8"/>
        <v>0</v>
      </c>
      <c r="D33" s="1022">
        <f>IF(OR(Fiscalitat!$H$21="a",Fiscalitat!$H$21="B",Fiscalitat!$H$21="D"),((1+$F$3)*C33*D$3),C33*$D$3)</f>
        <v>0</v>
      </c>
      <c r="E33" s="1022">
        <f>IF(OR(Fiscalitat!$H$21="a",Fiscalitat!$H$21="B",Fiscalitat!$H$21="D"),0,D33*$F$3)</f>
        <v>0</v>
      </c>
      <c r="F33" s="1022">
        <f>IF(OR(Fiscalitat!$H$21="B",Fiscalitat!$H$21="D"),D33*(1-$E$3)+C33*$D$3*$K$3*(1-$E$3),D33*(1-$E$3))</f>
        <v>0</v>
      </c>
      <c r="G33" s="1022">
        <f>IF(OR(Fiscalitat!$H$21="a",Fiscalitat!$H$21="B",Fiscalitat!$H$21="D"),0,F33*$I$3)</f>
        <v>0</v>
      </c>
      <c r="H33" s="1023">
        <f>'Introducció dades'!D181</f>
        <v>0</v>
      </c>
      <c r="I33" s="1024">
        <f t="shared" si="9"/>
        <v>0</v>
      </c>
      <c r="J33" s="794">
        <f>IF(OR(Fiscalitat!$H$21="a",Fiscalitat!$H$21="B",Fiscalitat!$H$21="D"),((1+$F$4)*I33*D$4),I33*$D$4)</f>
        <v>0</v>
      </c>
      <c r="K33" s="794">
        <f>IF(OR(Fiscalitat!$H$21="a",Fiscalitat!$H$21="B",Fiscalitat!$H$21="D"),0,J33*$F$4)</f>
        <v>0</v>
      </c>
      <c r="L33" s="794">
        <f>IF(OR(Fiscalitat!$H$21="B",Fiscalitat!$H$21="D"),J33*(1-$E$4)+I33*$D$4*$K$4*(1-$E$4),J33*(1-$E$4))</f>
        <v>0</v>
      </c>
      <c r="M33" s="794">
        <f>IF(OR(Fiscalitat!$H$21="a",Fiscalitat!$H$21="B",Fiscalitat!$H$21="D"),0,L33*$I$4)</f>
        <v>0</v>
      </c>
      <c r="N33" s="1020">
        <f>'Introducció dades'!E181</f>
        <v>0</v>
      </c>
      <c r="O33" s="1021">
        <f t="shared" si="10"/>
        <v>0</v>
      </c>
      <c r="P33" s="1022">
        <f>IF(OR(Fiscalitat!$H$21="a",Fiscalitat!$H$21="B",Fiscalitat!$H$21="D"),((1+$F$5)*O33*D$5),O33*$D$5)</f>
        <v>0</v>
      </c>
      <c r="Q33" s="1022">
        <f>IF(OR(Fiscalitat!$H$21="a",Fiscalitat!$H$21="B",Fiscalitat!$H$21="D"),0,P33*$F$5)</f>
        <v>0</v>
      </c>
      <c r="R33" s="1022">
        <f>IF(OR(Fiscalitat!$H$21="B",Fiscalitat!$H$21="D"),P33*(1-$E$5)+O33*$D$5*$K$5*(1-$E$5),P33*(1-$E$5))</f>
        <v>0</v>
      </c>
      <c r="S33" s="1022">
        <f>IF(OR(Fiscalitat!$H$21="a",Fiscalitat!$H$21="B",Fiscalitat!$H$21="D"),0,R33*$I$5)</f>
        <v>0</v>
      </c>
      <c r="T33" s="1023">
        <f>'Introducció dades'!F181</f>
        <v>0</v>
      </c>
      <c r="U33" s="1024">
        <f t="shared" si="11"/>
        <v>0</v>
      </c>
      <c r="V33" s="794">
        <f>IF(OR(Fiscalitat!$H$21="a",Fiscalitat!$H$21="B",Fiscalitat!$H$21="D"),((1+$F$6)*U33*D$6),U33*$D$6)</f>
        <v>0</v>
      </c>
      <c r="W33" s="794">
        <f>IF(OR(Fiscalitat!$H$21="a",Fiscalitat!$H$21="B",Fiscalitat!$H$21="D"),0,V33*$F$6)</f>
        <v>0</v>
      </c>
      <c r="X33" s="794">
        <f>IF(OR(Fiscalitat!$H$21="B",Fiscalitat!$H$21="D"),V33*(1-$E$6)+U33*$D$6*$K$6*(1-$E$6),V33*(1-$E$6))</f>
        <v>0</v>
      </c>
      <c r="Y33" s="794">
        <f>IF(OR(Fiscalitat!$H$21="a",Fiscalitat!$H$21="B",Fiscalitat!$H$21="D"),0,X33*$I$6)</f>
        <v>0</v>
      </c>
      <c r="Z33" s="1020">
        <f>'Introducció dades'!G181</f>
        <v>0</v>
      </c>
      <c r="AA33" s="1021">
        <f t="shared" si="12"/>
        <v>0</v>
      </c>
      <c r="AB33" s="1022">
        <f>IF(OR(Fiscalitat!$H$21="a",Fiscalitat!$H$21="B",Fiscalitat!$H$21="D"),((1+$F$7)*AA33*D$7),AA33*$D$7)</f>
        <v>0</v>
      </c>
      <c r="AC33" s="1022">
        <f>IF(OR(Fiscalitat!$H$21="a",Fiscalitat!$H$21="B",Fiscalitat!$H$21="D"),0,AB33*$F$7)</f>
        <v>0</v>
      </c>
      <c r="AD33" s="1022">
        <f>IF(OR(Fiscalitat!$H$21="B",Fiscalitat!$H$21="D"),AB33*(1-$E$7)+AA33*$D$7*$K$7*(1-$E$7),AB33*(1-$E$7))</f>
        <v>0</v>
      </c>
      <c r="AE33" s="1022">
        <f>IF(OR(Fiscalitat!$H$21="a",Fiscalitat!$H$21="B",Fiscalitat!$H$21="D"),0,AD33*$I$7)</f>
        <v>0</v>
      </c>
      <c r="AF33" s="1023">
        <f>'Introducció dades'!H181</f>
        <v>0</v>
      </c>
      <c r="AG33" s="1024">
        <f t="shared" si="13"/>
        <v>0</v>
      </c>
      <c r="AH33" s="794">
        <f>IF(OR(Fiscalitat!$H$21="a",Fiscalitat!$H$21="B",Fiscalitat!$H$21="D"),((1+$F$8)*AG33*D$8),AG33*$D$8)</f>
        <v>0</v>
      </c>
      <c r="AI33" s="794">
        <f>IF(OR(Fiscalitat!$H$21="a",Fiscalitat!$H$21="B",Fiscalitat!$H$21="D"),0,AH33*$F$8)</f>
        <v>0</v>
      </c>
      <c r="AJ33" s="794">
        <f>IF(OR(Fiscalitat!$H$21="B",Fiscalitat!$H$21="D"),AH33*(1-$E$8)+AG33*$D$8*$K$8*(1-$E$8),AH33*(1-$E$8))</f>
        <v>0</v>
      </c>
      <c r="AK33" s="794">
        <f>IF(OR(Fiscalitat!$H$21="a",Fiscalitat!$H$21="B",Fiscalitat!$H$21="D"),0,AJ33*$I$8)</f>
        <v>0</v>
      </c>
      <c r="AL33" s="1020">
        <f>'Introducció dades'!I181</f>
        <v>0</v>
      </c>
      <c r="AM33" s="1021">
        <f t="shared" si="14"/>
        <v>0</v>
      </c>
      <c r="AN33" s="1022">
        <f>IF(OR(Fiscalitat!$H$21="a",Fiscalitat!$H$21="B",Fiscalitat!$H$21="D"),((1+$F$9)*AM33*D$9),AM33*$D$9)</f>
        <v>0</v>
      </c>
      <c r="AO33" s="1022">
        <f>IF(OR(Fiscalitat!$H$21="a",Fiscalitat!$H$21="B",Fiscalitat!$H$21="D"),0,AN33*$F$9)</f>
        <v>0</v>
      </c>
      <c r="AP33" s="1022">
        <f>IF(OR(Fiscalitat!$H$21="B",Fiscalitat!$H$21="D"),AN33*(1-$E$9)+AM33*$D$9*$K$9*(1-$E$9),AN33*(1-$E$9))</f>
        <v>0</v>
      </c>
      <c r="AQ33" s="1022">
        <f>IF(OR(Fiscalitat!$H$21="a",Fiscalitat!$H$21="B",Fiscalitat!$H$21="D"),0,AP33*$I$9)</f>
        <v>0</v>
      </c>
      <c r="AR33" s="1023">
        <f>'Introducció dades'!J181</f>
        <v>0</v>
      </c>
      <c r="AS33" s="1024">
        <f t="shared" si="15"/>
        <v>0</v>
      </c>
      <c r="AT33" s="794">
        <f>IF(OR(Fiscalitat!$H$21="a",Fiscalitat!$H$21="B",Fiscalitat!$H$21="D"),((1+$F$10)*AS33*D$10),AS33*$D$10)</f>
        <v>0</v>
      </c>
      <c r="AU33" s="794">
        <f>IF(OR(Fiscalitat!$H$21="a",Fiscalitat!$H$21="B",Fiscalitat!$H$21="D"),0,AT33*$F$10)</f>
        <v>0</v>
      </c>
      <c r="AV33" s="794">
        <f>IF(OR(Fiscalitat!$H$21="B",Fiscalitat!$H$21="D"),AT33*(1-$E$10)+AS33*$D$10*$K$10*(1-$E$10),AT33*(1-$E$10))</f>
        <v>0</v>
      </c>
      <c r="AW33" s="794">
        <f>IF(OR(Fiscalitat!$H$21="a",Fiscalitat!$H$21="B",Fiscalitat!$H$21="D"),0,AV33*$I$10)</f>
        <v>0</v>
      </c>
      <c r="AX33" s="1020">
        <f>'Introducció dades'!K181</f>
        <v>0</v>
      </c>
      <c r="AY33" s="1021">
        <f t="shared" si="16"/>
        <v>0</v>
      </c>
      <c r="AZ33" s="1022">
        <f>IF(OR(Fiscalitat!$H$21="a",Fiscalitat!$H$21="B",Fiscalitat!$H$21="D"),((1+$F$11)*AY33*D$11),AY33*$D$11)</f>
        <v>0</v>
      </c>
      <c r="BA33" s="1022">
        <f>IF(OR(Fiscalitat!$H$21="a",Fiscalitat!$H$21="B",Fiscalitat!$H$21="D"),0,AZ33*$F$11)</f>
        <v>0</v>
      </c>
      <c r="BB33" s="1022">
        <f>IF(OR(Fiscalitat!$H$21="B",Fiscalitat!$H$21="D"),AZ33*(1-$E$11)+AY33*$D$11*$K$11*(1-$E$11),AZ33*(1-$E$11))</f>
        <v>0</v>
      </c>
      <c r="BC33" s="1022">
        <f>IF(OR(Fiscalitat!$H$21="a",Fiscalitat!$H$21="B",Fiscalitat!$H$21="D"),0,BB33*$I$11)</f>
        <v>0</v>
      </c>
      <c r="BD33" s="1023">
        <f>'Introducció dades'!L181</f>
        <v>0</v>
      </c>
      <c r="BE33" s="1024">
        <f t="shared" si="17"/>
        <v>0</v>
      </c>
      <c r="BF33" s="794">
        <f>IF(OR(Fiscalitat!$H$21="a",Fiscalitat!$H$21="B",Fiscalitat!$H$21="D"),((1+$F$12)*BE33*D$12),BE33*$D$12)</f>
        <v>0</v>
      </c>
      <c r="BG33" s="794">
        <f>IF(OR(Fiscalitat!$H$21="a",Fiscalitat!$H$21="B",Fiscalitat!$H$21="D"),0,BF33*$F$12)</f>
        <v>0</v>
      </c>
      <c r="BH33" s="794">
        <f>IF(OR(Fiscalitat!$H$21="B",Fiscalitat!$H$21="D"),BF33*(1-$E$12)+BE33*$D$12*$K$12*(1-$E$12),BF33*(1-$E$12))</f>
        <v>0</v>
      </c>
      <c r="BI33" s="794">
        <f>IF(OR(Fiscalitat!$H$21="a",Fiscalitat!$H$21="B",Fiscalitat!$H$21="D"),0,BH33*$I$12)</f>
        <v>0</v>
      </c>
      <c r="BJ33" s="1020">
        <f>'Introducció dades'!M181</f>
        <v>0</v>
      </c>
      <c r="BK33" s="1021">
        <f t="shared" si="18"/>
        <v>0</v>
      </c>
      <c r="BL33" s="1022">
        <f>IF(OR(Fiscalitat!$H$21="a",Fiscalitat!$H$21="B",Fiscalitat!$H$21="D"),((1+$F$13)*BK33*D$13),BK33*$D$13)</f>
        <v>0</v>
      </c>
      <c r="BM33" s="1022">
        <f>IF(OR(Fiscalitat!$H$21="a",Fiscalitat!$H$21="B",Fiscalitat!$H$21="D"),0,BL33*$F$13)</f>
        <v>0</v>
      </c>
      <c r="BN33" s="1022">
        <f>IF(OR(Fiscalitat!$H$21="B",Fiscalitat!$H$21="D"),BL33*(1-$E$13)+BK33*$D$13*$K$13*(1-$E$13),BL33*(1-$E$13))</f>
        <v>0</v>
      </c>
      <c r="BO33" s="1022">
        <f>IF(OR(Fiscalitat!$H$21="a",Fiscalitat!$H$21="B",Fiscalitat!$H$21="D"),0,BN33*$I$13)</f>
        <v>0</v>
      </c>
      <c r="BP33" s="1025">
        <f>'Introducció dades'!N181</f>
        <v>0</v>
      </c>
      <c r="BQ33" s="1024">
        <f t="shared" si="19"/>
        <v>0</v>
      </c>
      <c r="BR33" s="794">
        <f>IF(OR(Fiscalitat!$H$21="a",Fiscalitat!$H$21="B",Fiscalitat!$H$21="D"),((1+$F$14)*BQ33*D$14),BQ33*$D$14)</f>
        <v>0</v>
      </c>
      <c r="BS33" s="794">
        <f>IF(OR(Fiscalitat!$H$21="a",Fiscalitat!$H$21="B",Fiscalitat!$H$21="D"),0,BR33*$F$14)</f>
        <v>0</v>
      </c>
      <c r="BT33" s="794">
        <f>IF(OR(Fiscalitat!$H$21="B",Fiscalitat!$H$21="D"),BR33*(1-$E$14)+BQ33*$D$14*$K$14*(1-$E$14),BR33*(1-$E$14))</f>
        <v>0</v>
      </c>
      <c r="BU33" s="794">
        <f>IF(OR(Fiscalitat!$H$21="a",Fiscalitat!$H$21="B",Fiscalitat!$H$21="D"),0,BT33*$I$14)</f>
        <v>0</v>
      </c>
      <c r="BV33" s="25">
        <f t="shared" si="20"/>
        <v>0</v>
      </c>
      <c r="BW33" s="1026">
        <f t="shared" si="20"/>
        <v>0</v>
      </c>
      <c r="BX33" s="1026">
        <f t="shared" si="20"/>
        <v>0</v>
      </c>
      <c r="BY33" s="1026">
        <f t="shared" si="20"/>
        <v>0</v>
      </c>
      <c r="BZ33" s="1026">
        <f t="shared" si="7"/>
        <v>0</v>
      </c>
      <c r="CO33" s="1029">
        <f t="shared" si="21"/>
        <v>0</v>
      </c>
    </row>
    <row r="34" spans="1:93" s="7" customFormat="1" ht="13" x14ac:dyDescent="0.3">
      <c r="A34" s="71" t="s">
        <v>245</v>
      </c>
      <c r="B34" s="72"/>
      <c r="C34" s="1033">
        <f>SUM(C22:C33)</f>
        <v>0</v>
      </c>
      <c r="D34" s="799">
        <f>SUM(D22:D33)</f>
        <v>0</v>
      </c>
      <c r="E34" s="799">
        <f>SUM(E22:E33)</f>
        <v>0</v>
      </c>
      <c r="F34" s="799">
        <f>SUM(F22:F33)</f>
        <v>0</v>
      </c>
      <c r="G34" s="799">
        <f>SUM(G22:G33)</f>
        <v>0</v>
      </c>
      <c r="H34" s="72"/>
      <c r="I34" s="1033">
        <f>SUM(I22:I33)</f>
        <v>0</v>
      </c>
      <c r="J34" s="799">
        <f>SUM(J22:J33)</f>
        <v>0</v>
      </c>
      <c r="K34" s="799">
        <f>SUM(K22:K33)</f>
        <v>0</v>
      </c>
      <c r="L34" s="799">
        <f>SUM(L22:L33)</f>
        <v>0</v>
      </c>
      <c r="M34" s="799">
        <f>SUM(M22:M33)</f>
        <v>0</v>
      </c>
      <c r="N34" s="72"/>
      <c r="O34" s="1033">
        <f>SUM(O22:O33)</f>
        <v>0</v>
      </c>
      <c r="P34" s="799">
        <f>SUM(P22:P33)</f>
        <v>0</v>
      </c>
      <c r="Q34" s="799">
        <f>SUM(Q22:Q33)</f>
        <v>0</v>
      </c>
      <c r="R34" s="799">
        <f>SUM(R22:R33)</f>
        <v>0</v>
      </c>
      <c r="S34" s="799">
        <f>SUM(S22:S33)</f>
        <v>0</v>
      </c>
      <c r="T34" s="72"/>
      <c r="U34" s="1033">
        <f>SUM(U22:U33)</f>
        <v>0</v>
      </c>
      <c r="V34" s="799">
        <f>SUM(V22:V33)</f>
        <v>0</v>
      </c>
      <c r="W34" s="799">
        <f>SUM(W22:W33)</f>
        <v>0</v>
      </c>
      <c r="X34" s="799">
        <f>SUM(X22:X33)</f>
        <v>0</v>
      </c>
      <c r="Y34" s="799">
        <f>SUM(Y22:Y33)</f>
        <v>0</v>
      </c>
      <c r="Z34" s="72"/>
      <c r="AA34" s="1033">
        <f>SUM(AA22:AA33)</f>
        <v>0</v>
      </c>
      <c r="AB34" s="799">
        <f>SUM(AB22:AB33)</f>
        <v>0</v>
      </c>
      <c r="AC34" s="799">
        <f>SUM(AC22:AC33)</f>
        <v>0</v>
      </c>
      <c r="AD34" s="799">
        <f>SUM(AD22:AD33)</f>
        <v>0</v>
      </c>
      <c r="AE34" s="799">
        <f>SUM(AE22:AE33)</f>
        <v>0</v>
      </c>
      <c r="AF34" s="72"/>
      <c r="AG34" s="1033">
        <f>SUM(AG22:AG33)</f>
        <v>0</v>
      </c>
      <c r="AH34" s="799">
        <f>SUM(AH22:AH33)</f>
        <v>0</v>
      </c>
      <c r="AI34" s="799">
        <f>SUM(AI22:AI33)</f>
        <v>0</v>
      </c>
      <c r="AJ34" s="799">
        <f>SUM(AJ22:AJ33)</f>
        <v>0</v>
      </c>
      <c r="AK34" s="799">
        <f>SUM(AK22:AK33)</f>
        <v>0</v>
      </c>
      <c r="AL34" s="72"/>
      <c r="AM34" s="1033">
        <f>SUM(AM22:AM33)</f>
        <v>0</v>
      </c>
      <c r="AN34" s="799">
        <f>SUM(AN22:AN33)</f>
        <v>0</v>
      </c>
      <c r="AO34" s="799">
        <f>SUM(AO22:AO33)</f>
        <v>0</v>
      </c>
      <c r="AP34" s="799">
        <f>SUM(AP22:AP33)</f>
        <v>0</v>
      </c>
      <c r="AQ34" s="799">
        <f>SUM(AQ22:AQ33)</f>
        <v>0</v>
      </c>
      <c r="AR34" s="72"/>
      <c r="AS34" s="1033">
        <f>SUM(AS22:AS33)</f>
        <v>0</v>
      </c>
      <c r="AT34" s="799">
        <f>SUM(AT22:AT33)</f>
        <v>0</v>
      </c>
      <c r="AU34" s="799">
        <f>SUM(AU22:AU33)</f>
        <v>0</v>
      </c>
      <c r="AV34" s="799">
        <f>SUM(AV22:AV33)</f>
        <v>0</v>
      </c>
      <c r="AW34" s="799">
        <f>SUM(AW22:AW33)</f>
        <v>0</v>
      </c>
      <c r="AX34" s="72"/>
      <c r="AY34" s="1033">
        <f>SUM(AY22:AY33)</f>
        <v>0</v>
      </c>
      <c r="AZ34" s="799">
        <f>SUM(AZ22:AZ33)</f>
        <v>0</v>
      </c>
      <c r="BA34" s="799">
        <f>SUM(BA22:BA33)</f>
        <v>0</v>
      </c>
      <c r="BB34" s="799">
        <f>SUM(BB22:BB33)</f>
        <v>0</v>
      </c>
      <c r="BC34" s="799">
        <f>SUM(BC22:BC33)</f>
        <v>0</v>
      </c>
      <c r="BD34" s="72"/>
      <c r="BE34" s="1033">
        <f>SUM(BE22:BE33)</f>
        <v>0</v>
      </c>
      <c r="BF34" s="799">
        <f>SUM(BF22:BF33)</f>
        <v>0</v>
      </c>
      <c r="BG34" s="799">
        <f>SUM(BG22:BG33)</f>
        <v>0</v>
      </c>
      <c r="BH34" s="799">
        <f>SUM(BH22:BH33)</f>
        <v>0</v>
      </c>
      <c r="BI34" s="799">
        <f>SUM(BI22:BI33)</f>
        <v>0</v>
      </c>
      <c r="BJ34" s="1034"/>
      <c r="BK34" s="1033">
        <f>SUM(BK22:BK33)</f>
        <v>0</v>
      </c>
      <c r="BL34" s="799">
        <f>SUM(BL22:BL33)</f>
        <v>0</v>
      </c>
      <c r="BM34" s="799">
        <f>SUM(BM22:BM33)</f>
        <v>0</v>
      </c>
      <c r="BN34" s="799">
        <f>SUM(BN22:BN33)</f>
        <v>0</v>
      </c>
      <c r="BO34" s="799">
        <f>SUM(BO22:BO33)</f>
        <v>0</v>
      </c>
      <c r="BP34" s="1034"/>
      <c r="BQ34" s="1033">
        <f t="shared" ref="BQ34:BZ34" si="22">SUM(BQ22:BQ33)</f>
        <v>0</v>
      </c>
      <c r="BR34" s="799">
        <f t="shared" si="22"/>
        <v>0</v>
      </c>
      <c r="BS34" s="799">
        <f t="shared" si="22"/>
        <v>0</v>
      </c>
      <c r="BT34" s="799">
        <f t="shared" si="22"/>
        <v>0</v>
      </c>
      <c r="BU34" s="799">
        <f t="shared" si="22"/>
        <v>0</v>
      </c>
      <c r="BV34" s="1033">
        <f t="shared" si="22"/>
        <v>0</v>
      </c>
      <c r="BW34" s="799">
        <f t="shared" si="22"/>
        <v>0</v>
      </c>
      <c r="BX34" s="799">
        <f t="shared" si="22"/>
        <v>0</v>
      </c>
      <c r="BY34" s="799">
        <f t="shared" si="22"/>
        <v>0</v>
      </c>
      <c r="BZ34" s="799">
        <f t="shared" si="22"/>
        <v>0</v>
      </c>
      <c r="CO34" s="72">
        <f t="shared" si="21"/>
        <v>0</v>
      </c>
    </row>
    <row r="37" spans="1:93" ht="13" x14ac:dyDescent="0.3">
      <c r="A37" s="1834" t="s">
        <v>47</v>
      </c>
      <c r="B37" s="1834"/>
    </row>
    <row r="39" spans="1:93" ht="13" x14ac:dyDescent="0.3">
      <c r="B39" s="1861" t="s">
        <v>336</v>
      </c>
      <c r="C39" s="1861"/>
      <c r="D39" s="1861"/>
      <c r="E39" s="1861"/>
      <c r="F39" s="1861"/>
      <c r="G39" s="1861"/>
      <c r="H39" s="1861"/>
      <c r="I39" s="1861"/>
      <c r="J39" s="1861"/>
      <c r="K39" s="1861"/>
      <c r="L39" s="1861"/>
      <c r="M39" s="1861"/>
      <c r="N39" s="1861"/>
      <c r="O39" s="1861"/>
      <c r="P39" s="1861"/>
      <c r="Q39" s="1861"/>
      <c r="R39" s="1861"/>
      <c r="S39" s="1861"/>
      <c r="T39" s="1861"/>
      <c r="U39" s="1861"/>
      <c r="V39" s="1861"/>
      <c r="W39" s="1861"/>
      <c r="X39" s="1861"/>
      <c r="Y39" s="1861"/>
      <c r="Z39" s="1861"/>
      <c r="AA39" s="1861"/>
      <c r="AB39" s="1861"/>
      <c r="AC39" s="1861"/>
      <c r="AD39" s="1861"/>
      <c r="AE39" s="1861"/>
      <c r="AF39" s="1861"/>
      <c r="AG39" s="1861"/>
      <c r="AH39" s="1861"/>
      <c r="AI39" s="1861"/>
      <c r="AJ39" s="1861"/>
      <c r="AK39" s="1861"/>
      <c r="AL39" s="1861"/>
      <c r="AM39" s="1861"/>
      <c r="AN39" s="1861"/>
      <c r="AO39" s="1861"/>
      <c r="AP39" s="1861"/>
      <c r="AQ39" s="1861"/>
      <c r="AR39" s="1861"/>
      <c r="AS39" s="1861"/>
      <c r="AT39" s="1861"/>
      <c r="AU39" s="1861"/>
      <c r="AV39" s="1861"/>
      <c r="AW39" s="1861"/>
      <c r="AX39" s="1861"/>
      <c r="AY39" s="1861"/>
      <c r="AZ39" s="1861"/>
      <c r="BA39" s="1861"/>
      <c r="BB39" s="1861"/>
      <c r="BC39" s="1861"/>
      <c r="BD39" s="1861"/>
      <c r="BE39" s="1861"/>
      <c r="BF39" s="1861"/>
      <c r="BG39" s="1861"/>
      <c r="BH39" s="1861"/>
      <c r="BI39" s="1861"/>
      <c r="BJ39" s="1861"/>
      <c r="BK39" s="1861"/>
      <c r="BL39" s="1861"/>
      <c r="BM39" s="1861"/>
      <c r="BN39" s="1861"/>
      <c r="BO39" s="1861"/>
      <c r="BP39" s="1861"/>
      <c r="BQ39" s="1861"/>
      <c r="BR39" s="1861"/>
      <c r="BS39" s="1861"/>
      <c r="BT39" s="1861"/>
      <c r="BU39" s="1861"/>
      <c r="BV39" s="1861"/>
      <c r="BW39" s="1861"/>
      <c r="BX39" s="1861"/>
      <c r="BY39" s="1861"/>
      <c r="BZ39" s="1861"/>
      <c r="CA39" s="1861"/>
      <c r="CB39" s="1861"/>
      <c r="CC39" s="1861"/>
      <c r="CD39" s="1861"/>
      <c r="CE39" s="1861"/>
      <c r="CF39" s="1861"/>
      <c r="CG39" s="1861"/>
      <c r="CH39" s="1861"/>
      <c r="CI39" s="1861"/>
      <c r="CJ39" s="1861"/>
      <c r="CK39" s="1861"/>
      <c r="CL39" s="1861"/>
      <c r="CM39" s="1861"/>
      <c r="CN39" s="1861"/>
      <c r="CO39" s="1861"/>
    </row>
    <row r="40" spans="1:93" ht="13" x14ac:dyDescent="0.3">
      <c r="B40" s="1862" t="str">
        <f>B20</f>
        <v>A</v>
      </c>
      <c r="C40" s="1862"/>
      <c r="D40" s="1862"/>
      <c r="E40" s="1862"/>
      <c r="F40" s="1862"/>
      <c r="G40" s="1862"/>
      <c r="H40" s="1863" t="str">
        <f>H20</f>
        <v>B</v>
      </c>
      <c r="I40" s="1863"/>
      <c r="J40" s="1863"/>
      <c r="K40" s="1863"/>
      <c r="L40" s="1863"/>
      <c r="M40" s="1863"/>
      <c r="N40" s="1862" t="str">
        <f>N20</f>
        <v>C</v>
      </c>
      <c r="O40" s="1862"/>
      <c r="P40" s="1862"/>
      <c r="Q40" s="1862"/>
      <c r="R40" s="1862"/>
      <c r="S40" s="1862"/>
      <c r="T40" s="1863" t="str">
        <f>T20</f>
        <v>D</v>
      </c>
      <c r="U40" s="1863"/>
      <c r="V40" s="1863"/>
      <c r="W40" s="1863"/>
      <c r="X40" s="1863"/>
      <c r="Y40" s="1863"/>
      <c r="Z40" s="1862" t="str">
        <f>Z20</f>
        <v>E</v>
      </c>
      <c r="AA40" s="1862"/>
      <c r="AB40" s="1862"/>
      <c r="AC40" s="1862"/>
      <c r="AD40" s="1862"/>
      <c r="AE40" s="1862"/>
      <c r="AF40" s="1863" t="str">
        <f>AF20</f>
        <v>F</v>
      </c>
      <c r="AG40" s="1863"/>
      <c r="AH40" s="1863"/>
      <c r="AI40" s="1863"/>
      <c r="AJ40" s="1863"/>
      <c r="AK40" s="1863"/>
      <c r="AL40" s="1862" t="str">
        <f>AL20</f>
        <v>G</v>
      </c>
      <c r="AM40" s="1862"/>
      <c r="AN40" s="1862"/>
      <c r="AO40" s="1862"/>
      <c r="AP40" s="1862"/>
      <c r="AQ40" s="1862"/>
      <c r="AR40" s="1863" t="str">
        <f>AR20</f>
        <v>H</v>
      </c>
      <c r="AS40" s="1863"/>
      <c r="AT40" s="1863"/>
      <c r="AU40" s="1863"/>
      <c r="AV40" s="1863"/>
      <c r="AW40" s="1863"/>
      <c r="AX40" s="1862" t="str">
        <f>AX20</f>
        <v>I</v>
      </c>
      <c r="AY40" s="1862"/>
      <c r="AZ40" s="1862"/>
      <c r="BA40" s="1862"/>
      <c r="BB40" s="1862"/>
      <c r="BC40" s="1862"/>
      <c r="BD40" s="1863" t="str">
        <f>BD20</f>
        <v>J</v>
      </c>
      <c r="BE40" s="1863"/>
      <c r="BF40" s="1863"/>
      <c r="BG40" s="1863"/>
      <c r="BH40" s="1863"/>
      <c r="BI40" s="1863"/>
      <c r="BJ40" s="1862" t="str">
        <f>BJ20</f>
        <v>K</v>
      </c>
      <c r="BK40" s="1862"/>
      <c r="BL40" s="1862"/>
      <c r="BM40" s="1862"/>
      <c r="BN40" s="1862"/>
      <c r="BO40" s="1862"/>
      <c r="BP40" s="1863" t="str">
        <f>BP20</f>
        <v>L</v>
      </c>
      <c r="BQ40" s="1863"/>
      <c r="BR40" s="1863"/>
      <c r="BS40" s="1863"/>
      <c r="BT40" s="1863"/>
      <c r="BU40" s="1863"/>
      <c r="BV40" s="1864" t="str">
        <f>BV20</f>
        <v>TOTAL</v>
      </c>
      <c r="BW40" s="1864"/>
      <c r="BX40" s="1864"/>
      <c r="BY40" s="1864"/>
      <c r="BZ40" s="1864"/>
      <c r="CA40" s="1864"/>
      <c r="CB40" s="1864"/>
      <c r="CC40" s="1864"/>
      <c r="CD40" s="1864"/>
      <c r="CE40" s="1864"/>
      <c r="CF40" s="1864"/>
      <c r="CG40" s="1864"/>
      <c r="CH40" s="1864"/>
      <c r="CI40" s="1864"/>
      <c r="CJ40" s="1864"/>
      <c r="CK40" s="1864"/>
      <c r="CL40" s="1864"/>
      <c r="CM40" s="1864"/>
      <c r="CN40" s="1864"/>
      <c r="CO40" s="1864"/>
    </row>
    <row r="41" spans="1:93" ht="13" x14ac:dyDescent="0.3">
      <c r="B41" s="28" t="s">
        <v>151</v>
      </c>
      <c r="C41" s="28" t="s">
        <v>231</v>
      </c>
      <c r="D41" s="28" t="s">
        <v>58</v>
      </c>
      <c r="E41" s="28" t="s">
        <v>338</v>
      </c>
      <c r="F41" s="28" t="s">
        <v>59</v>
      </c>
      <c r="G41" s="28" t="s">
        <v>339</v>
      </c>
      <c r="H41" s="22" t="s">
        <v>151</v>
      </c>
      <c r="I41" s="22" t="s">
        <v>231</v>
      </c>
      <c r="J41" s="1014" t="str">
        <f>D41</f>
        <v>INGRESSOS</v>
      </c>
      <c r="K41" s="22" t="s">
        <v>338</v>
      </c>
      <c r="L41" s="1014" t="str">
        <f>F41</f>
        <v>DESPESES</v>
      </c>
      <c r="M41" s="22" t="s">
        <v>339</v>
      </c>
      <c r="N41" s="28" t="s">
        <v>151</v>
      </c>
      <c r="O41" s="28" t="s">
        <v>231</v>
      </c>
      <c r="P41" s="28" t="s">
        <v>58</v>
      </c>
      <c r="Q41" s="28" t="s">
        <v>338</v>
      </c>
      <c r="R41" s="28" t="s">
        <v>59</v>
      </c>
      <c r="S41" s="28" t="s">
        <v>339</v>
      </c>
      <c r="T41" s="22" t="s">
        <v>151</v>
      </c>
      <c r="U41" s="22" t="s">
        <v>231</v>
      </c>
      <c r="V41" s="1014" t="str">
        <f>P41</f>
        <v>INGRESSOS</v>
      </c>
      <c r="W41" s="22" t="s">
        <v>338</v>
      </c>
      <c r="X41" s="1014" t="str">
        <f>R41</f>
        <v>DESPESES</v>
      </c>
      <c r="Y41" s="22" t="s">
        <v>339</v>
      </c>
      <c r="Z41" s="28" t="s">
        <v>151</v>
      </c>
      <c r="AA41" s="28" t="s">
        <v>231</v>
      </c>
      <c r="AB41" s="28" t="s">
        <v>58</v>
      </c>
      <c r="AC41" s="28" t="s">
        <v>338</v>
      </c>
      <c r="AD41" s="28" t="s">
        <v>59</v>
      </c>
      <c r="AE41" s="28" t="s">
        <v>339</v>
      </c>
      <c r="AF41" s="22" t="s">
        <v>151</v>
      </c>
      <c r="AG41" s="22" t="s">
        <v>231</v>
      </c>
      <c r="AH41" s="1014" t="str">
        <f>AB41</f>
        <v>INGRESSOS</v>
      </c>
      <c r="AI41" s="22" t="s">
        <v>338</v>
      </c>
      <c r="AJ41" s="1014" t="str">
        <f>AD41</f>
        <v>DESPESES</v>
      </c>
      <c r="AK41" s="22" t="s">
        <v>339</v>
      </c>
      <c r="AL41" s="28" t="s">
        <v>151</v>
      </c>
      <c r="AM41" s="28" t="s">
        <v>231</v>
      </c>
      <c r="AN41" s="28" t="s">
        <v>58</v>
      </c>
      <c r="AO41" s="28" t="s">
        <v>338</v>
      </c>
      <c r="AP41" s="28" t="s">
        <v>59</v>
      </c>
      <c r="AQ41" s="28" t="s">
        <v>339</v>
      </c>
      <c r="AR41" s="22" t="s">
        <v>151</v>
      </c>
      <c r="AS41" s="22" t="s">
        <v>231</v>
      </c>
      <c r="AT41" s="1014" t="str">
        <f>AN41</f>
        <v>INGRESSOS</v>
      </c>
      <c r="AU41" s="22" t="s">
        <v>338</v>
      </c>
      <c r="AV41" s="1014" t="str">
        <f>AP41</f>
        <v>DESPESES</v>
      </c>
      <c r="AW41" s="22" t="s">
        <v>339</v>
      </c>
      <c r="AX41" s="28" t="s">
        <v>151</v>
      </c>
      <c r="AY41" s="28" t="s">
        <v>231</v>
      </c>
      <c r="AZ41" s="28" t="s">
        <v>58</v>
      </c>
      <c r="BA41" s="28" t="s">
        <v>338</v>
      </c>
      <c r="BB41" s="28" t="s">
        <v>59</v>
      </c>
      <c r="BC41" s="28" t="s">
        <v>339</v>
      </c>
      <c r="BD41" s="22" t="s">
        <v>151</v>
      </c>
      <c r="BE41" s="22" t="s">
        <v>231</v>
      </c>
      <c r="BF41" s="1014" t="str">
        <f>AZ41</f>
        <v>INGRESSOS</v>
      </c>
      <c r="BG41" s="22" t="s">
        <v>338</v>
      </c>
      <c r="BH41" s="1014" t="str">
        <f>BB41</f>
        <v>DESPESES</v>
      </c>
      <c r="BI41" s="22" t="s">
        <v>339</v>
      </c>
      <c r="BJ41" s="28" t="s">
        <v>151</v>
      </c>
      <c r="BK41" s="28" t="s">
        <v>231</v>
      </c>
      <c r="BL41" s="28" t="s">
        <v>58</v>
      </c>
      <c r="BM41" s="28" t="s">
        <v>338</v>
      </c>
      <c r="BN41" s="28" t="s">
        <v>59</v>
      </c>
      <c r="BO41" s="28" t="s">
        <v>339</v>
      </c>
      <c r="BP41" s="22" t="s">
        <v>151</v>
      </c>
      <c r="BQ41" s="22" t="s">
        <v>231</v>
      </c>
      <c r="BR41" s="1014" t="str">
        <f>BL41</f>
        <v>INGRESSOS</v>
      </c>
      <c r="BS41" s="22" t="s">
        <v>338</v>
      </c>
      <c r="BT41" s="1014" t="str">
        <f>BN41</f>
        <v>DESPESES</v>
      </c>
      <c r="BU41" s="22" t="s">
        <v>339</v>
      </c>
      <c r="BV41" s="1013" t="s">
        <v>231</v>
      </c>
      <c r="BW41" s="1013" t="str">
        <f>BR41</f>
        <v>INGRESSOS</v>
      </c>
      <c r="BX41" s="1013" t="s">
        <v>338</v>
      </c>
      <c r="BY41" s="1013" t="str">
        <f>BT41</f>
        <v>DESPESES</v>
      </c>
      <c r="BZ41" s="1013" t="s">
        <v>339</v>
      </c>
      <c r="CA41" s="897"/>
      <c r="CB41" s="22" t="str">
        <f>CB21</f>
        <v>GENER</v>
      </c>
      <c r="CC41" s="22" t="str">
        <f t="shared" ref="CC41:CM41" si="23">CC21</f>
        <v>FEBRER</v>
      </c>
      <c r="CD41" s="22" t="str">
        <f t="shared" si="23"/>
        <v>MARÇ</v>
      </c>
      <c r="CE41" s="22" t="str">
        <f t="shared" si="23"/>
        <v>ABRIL</v>
      </c>
      <c r="CF41" s="22" t="str">
        <f t="shared" si="23"/>
        <v>MAIG</v>
      </c>
      <c r="CG41" s="22" t="str">
        <f t="shared" si="23"/>
        <v>JUNY</v>
      </c>
      <c r="CH41" s="22" t="str">
        <f t="shared" si="23"/>
        <v>JULIOL</v>
      </c>
      <c r="CI41" s="22" t="str">
        <f t="shared" si="23"/>
        <v>AGOST</v>
      </c>
      <c r="CJ41" s="22" t="str">
        <f t="shared" si="23"/>
        <v>SETEMBRE</v>
      </c>
      <c r="CK41" s="22" t="str">
        <f t="shared" si="23"/>
        <v>OCTUBRE</v>
      </c>
      <c r="CL41" s="22" t="str">
        <f t="shared" si="23"/>
        <v>NOVEMBRE</v>
      </c>
      <c r="CM41" s="22" t="str">
        <f t="shared" si="23"/>
        <v>DESEMBRE</v>
      </c>
      <c r="CN41" s="883" t="s">
        <v>245</v>
      </c>
      <c r="CO41" s="1013" t="s">
        <v>233</v>
      </c>
    </row>
    <row r="42" spans="1:93" ht="13" x14ac:dyDescent="0.3">
      <c r="A42" s="1019" t="str">
        <f>A22</f>
        <v>GENER</v>
      </c>
      <c r="B42" s="1020">
        <f>'Introducció dades'!C186</f>
        <v>0</v>
      </c>
      <c r="C42" s="1021">
        <f t="shared" ref="C42:C53" si="24">B42*C$3</f>
        <v>0</v>
      </c>
      <c r="D42" s="1022">
        <f>IF(OR(Fiscalitat!$H$21="a",Fiscalitat!$H$21="B",Fiscalitat!$H$21="D"),((1+$F$3)*C42*D$3),C42*$D$3)</f>
        <v>0</v>
      </c>
      <c r="E42" s="1022">
        <f>IF(OR(Fiscalitat!$H$21="a",Fiscalitat!$H$21="B",Fiscalitat!$H$21="D"),0,D42*$F$3)</f>
        <v>0</v>
      </c>
      <c r="F42" s="1022">
        <f>IF(OR(Fiscalitat!$H$21="B",Fiscalitat!$H$21="D"),D42*(1-$E$3)+C42*$D$3*$K$3*(1-$E$3),D42*(1-$E$3))</f>
        <v>0</v>
      </c>
      <c r="G42" s="1022">
        <f>IF(OR(Fiscalitat!$H$21="a",Fiscalitat!$H$21="B",Fiscalitat!$H$21="D"),0,F42*$I$3)</f>
        <v>0</v>
      </c>
      <c r="H42" s="1023">
        <f>'Introducció dades'!D186</f>
        <v>0</v>
      </c>
      <c r="I42" s="1024">
        <f t="shared" ref="I42:I53" si="25">H42*C$4</f>
        <v>0</v>
      </c>
      <c r="J42" s="794">
        <f>IF(OR(Fiscalitat!$H$21="a",Fiscalitat!$H$21="B",Fiscalitat!$H$21="D"),((1+$F$4)*I42*D$4),I42*$D$4)</f>
        <v>0</v>
      </c>
      <c r="K42" s="794">
        <f>IF(OR(Fiscalitat!$H$21="a",Fiscalitat!$H$21="B",Fiscalitat!$H$21="D"),0,J42*$F$4)</f>
        <v>0</v>
      </c>
      <c r="L42" s="794">
        <f>IF(OR(Fiscalitat!$H$21="B",Fiscalitat!$H$21="D"),J42*(1-$E$4)+I42*$D$4*$K$4*(1-$E$4),J42*(1-$E$4))</f>
        <v>0</v>
      </c>
      <c r="M42" s="794">
        <f>IF(OR(Fiscalitat!$H$21="a",Fiscalitat!$H$21="B",Fiscalitat!$H$21="D"),0,L42*$I$4)</f>
        <v>0</v>
      </c>
      <c r="N42" s="1020">
        <f>'Introducció dades'!E186</f>
        <v>0</v>
      </c>
      <c r="O42" s="1021">
        <f>N42*C$5</f>
        <v>0</v>
      </c>
      <c r="P42" s="1022">
        <f>IF(OR(Fiscalitat!$H$21="a",Fiscalitat!$H$21="B",Fiscalitat!$H$21="D"),((1+$F$5)*O42*D$5),O42*$D$5)</f>
        <v>0</v>
      </c>
      <c r="Q42" s="1022">
        <f>IF(OR(Fiscalitat!$H$21="a",Fiscalitat!$H$21="B",Fiscalitat!$H$21="D"),0,P42*$F$5)</f>
        <v>0</v>
      </c>
      <c r="R42" s="1022">
        <f>IF(OR(Fiscalitat!$H$21="B",Fiscalitat!$H$21="D"),P42*(1-$E$5)+O42*$D$5*$K$5*(1-$E$5),P42*(1-$E$5))</f>
        <v>0</v>
      </c>
      <c r="S42" s="1022">
        <f>IF(OR(Fiscalitat!$H$21="a",Fiscalitat!$H$21="B",Fiscalitat!$H$21="D"),0,R42*$I$5)</f>
        <v>0</v>
      </c>
      <c r="T42" s="1023">
        <f>'Introducció dades'!F186</f>
        <v>0</v>
      </c>
      <c r="U42" s="1024">
        <f>T42*$C$6</f>
        <v>0</v>
      </c>
      <c r="V42" s="794">
        <f>IF(OR(Fiscalitat!$H$21="a",Fiscalitat!$H$21="B",Fiscalitat!$H$21="D"),((1+$F$6)*U42*D$6),U42*$D$6)</f>
        <v>0</v>
      </c>
      <c r="W42" s="794">
        <f>IF(OR(Fiscalitat!$H$21="a",Fiscalitat!$H$21="B",Fiscalitat!$H$21="D"),0,V42*$F$6)</f>
        <v>0</v>
      </c>
      <c r="X42" s="794">
        <f>IF(OR(Fiscalitat!$H$21="B",Fiscalitat!$H$21="D"),V42*(1-$E$6)+U42*$D$6*$K$6*(1-$E$6),V42*(1-$E$6))</f>
        <v>0</v>
      </c>
      <c r="Y42" s="794">
        <f>IF(OR(Fiscalitat!$H$21="a",Fiscalitat!$H$21="B",Fiscalitat!$H$21="D"),0,X42*$I$6)</f>
        <v>0</v>
      </c>
      <c r="Z42" s="1020">
        <f>'Introducció dades'!G186</f>
        <v>0</v>
      </c>
      <c r="AA42" s="1021">
        <f t="shared" ref="AA42:AA53" si="26">Z42*$C$7</f>
        <v>0</v>
      </c>
      <c r="AB42" s="1022">
        <f>IF(OR(Fiscalitat!$H$21="a",Fiscalitat!$H$21="B",Fiscalitat!$H$21="D"),((1+$F$7)*AA42*D$7),AA42*$D$7)</f>
        <v>0</v>
      </c>
      <c r="AC42" s="1022">
        <f>IF(OR(Fiscalitat!$H$21="a",Fiscalitat!$H$21="B",Fiscalitat!$H$21="D"),0,AB42*$F$7)</f>
        <v>0</v>
      </c>
      <c r="AD42" s="1022">
        <f>IF(OR(Fiscalitat!$H$21="B",Fiscalitat!$H$21="D"),AB42*(1-$E$7)+AA42*$D$7*$K$7*(1-$E$7),AB42*(1-$E$7))</f>
        <v>0</v>
      </c>
      <c r="AE42" s="1022">
        <f>IF(OR(Fiscalitat!$H$21="a",Fiscalitat!$H$21="B",Fiscalitat!$H$21="D"),0,AD42*$I$7)</f>
        <v>0</v>
      </c>
      <c r="AF42" s="1023">
        <f>'Introducció dades'!H186</f>
        <v>0</v>
      </c>
      <c r="AG42" s="1024">
        <f t="shared" ref="AG42:AG53" si="27">AF42*$C$8</f>
        <v>0</v>
      </c>
      <c r="AH42" s="794">
        <f>IF(OR(Fiscalitat!$H$21="a",Fiscalitat!$H$21="B",Fiscalitat!$H$21="D"),((1+$F$8)*AG42*D$8),AG42*$D$8)</f>
        <v>0</v>
      </c>
      <c r="AI42" s="794">
        <f>IF(OR(Fiscalitat!$H$21="a",Fiscalitat!$H$21="B",Fiscalitat!$H$21="D"),0,AH42*$F$8)</f>
        <v>0</v>
      </c>
      <c r="AJ42" s="794">
        <f>IF(OR(Fiscalitat!$H$21="B",Fiscalitat!$H$21="D"),AH42*(1-$E$8)+AG42*$D$8*$K$8*(1-$E$8),AH42*(1-$E$8))</f>
        <v>0</v>
      </c>
      <c r="AK42" s="794">
        <f>IF(OR(Fiscalitat!$H$21="a",Fiscalitat!$H$21="B",Fiscalitat!$H$21="D"),0,AJ42*$I$8)</f>
        <v>0</v>
      </c>
      <c r="AL42" s="1020">
        <f>'Introducció dades'!I186</f>
        <v>0</v>
      </c>
      <c r="AM42" s="1021">
        <f t="shared" ref="AM42:AM53" si="28">AL42*$C$9</f>
        <v>0</v>
      </c>
      <c r="AN42" s="1022">
        <f>IF(OR(Fiscalitat!$H$21="a",Fiscalitat!$H$21="B",Fiscalitat!$H$21="D"),((1+$F$9)*AM42*D$9),AM42*$D$9)</f>
        <v>0</v>
      </c>
      <c r="AO42" s="1022">
        <f>IF(OR(Fiscalitat!$H$21="a",Fiscalitat!$H$21="B",Fiscalitat!$H$21="D"),0,AN42*$F$9)</f>
        <v>0</v>
      </c>
      <c r="AP42" s="1022">
        <f>IF(OR(Fiscalitat!$H$21="B",Fiscalitat!$H$21="D"),AN42*(1-$E$9)+AM42*$D$9*$K$9*(1-$E$9),AN42*(1-$E$9))</f>
        <v>0</v>
      </c>
      <c r="AQ42" s="1022">
        <f>IF(OR(Fiscalitat!$H$21="a",Fiscalitat!$H$21="B",Fiscalitat!$H$21="D"),0,AP42*$I$9)</f>
        <v>0</v>
      </c>
      <c r="AR42" s="1023">
        <f>'Introducció dades'!J186</f>
        <v>0</v>
      </c>
      <c r="AS42" s="1024">
        <f t="shared" ref="AS42:AS53" si="29">AR42*$C$10</f>
        <v>0</v>
      </c>
      <c r="AT42" s="794">
        <f>IF(OR(Fiscalitat!$H$21="a",Fiscalitat!$H$21="B",Fiscalitat!$H$21="D"),((1+$F$10)*AS42*D$10),AS42*$D$10)</f>
        <v>0</v>
      </c>
      <c r="AU42" s="794">
        <f>IF(OR(Fiscalitat!$H$21="a",Fiscalitat!$H$21="B",Fiscalitat!$H$21="D"),0,AT42*$F$10)</f>
        <v>0</v>
      </c>
      <c r="AV42" s="794">
        <f>IF(OR(Fiscalitat!$H$21="B",Fiscalitat!$H$21="D"),AT42*(1-$E$10)+AS42*$D$10*$K$10*(1-$E$10),AT42*(1-$E$10))</f>
        <v>0</v>
      </c>
      <c r="AW42" s="794">
        <f>IF(OR(Fiscalitat!$H$21="a",Fiscalitat!$H$21="B",Fiscalitat!$H$21="D"),0,AV42*$I$10)</f>
        <v>0</v>
      </c>
      <c r="AX42" s="1020">
        <f>'Introducció dades'!K186</f>
        <v>0</v>
      </c>
      <c r="AY42" s="1021">
        <f t="shared" ref="AY42:AY53" si="30">AX42*$C$11</f>
        <v>0</v>
      </c>
      <c r="AZ42" s="1022">
        <f>IF(OR(Fiscalitat!$H$21="a",Fiscalitat!$H$21="B",Fiscalitat!$H$21="D"),((1+$F$11)*AY42*D$11),AY42*$D$11)</f>
        <v>0</v>
      </c>
      <c r="BA42" s="1022">
        <f>IF(OR(Fiscalitat!$H$21="a",Fiscalitat!$H$21="B",Fiscalitat!$H$21="D"),0,AZ42*$F$11)</f>
        <v>0</v>
      </c>
      <c r="BB42" s="1022">
        <f>IF(OR(Fiscalitat!$H$21="B",Fiscalitat!$H$21="D"),AZ42*(1-$E$11)+AY42*$D$11*$K$11*(1-$E$11),AZ42*(1-$E$11))</f>
        <v>0</v>
      </c>
      <c r="BC42" s="1022">
        <f>IF(OR(Fiscalitat!$H$21="a",Fiscalitat!$H$21="B",Fiscalitat!$H$21="D"),0,BB42*$I$11)</f>
        <v>0</v>
      </c>
      <c r="BD42" s="1023">
        <f>'Introducció dades'!L186</f>
        <v>0</v>
      </c>
      <c r="BE42" s="1024">
        <f t="shared" ref="BE42:BE53" si="31">BD42*$C$12</f>
        <v>0</v>
      </c>
      <c r="BF42" s="794">
        <f>IF(OR(Fiscalitat!$H$21="a",Fiscalitat!$H$21="B",Fiscalitat!$H$21="D"),((1+$F$12)*BE42*D$12),BE42*$D$12)</f>
        <v>0</v>
      </c>
      <c r="BG42" s="794">
        <f>IF(OR(Fiscalitat!$H$21="a",Fiscalitat!$H$21="B",Fiscalitat!$H$21="D"),0,BF42*$F$12)</f>
        <v>0</v>
      </c>
      <c r="BH42" s="794">
        <f>IF(OR(Fiscalitat!$H$21="B",Fiscalitat!$H$21="D"),BF42*(1-$E$12)+BE42*$D$12*$K$12*(1-$E$12),BF42*(1-$E$12))</f>
        <v>0</v>
      </c>
      <c r="BI42" s="794">
        <f>IF(OR(Fiscalitat!$H$21="a",Fiscalitat!$H$21="B",Fiscalitat!$H$21="D"),0,BH42*$I$12)</f>
        <v>0</v>
      </c>
      <c r="BJ42" s="1020">
        <f>'Introducció dades'!M186</f>
        <v>0</v>
      </c>
      <c r="BK42" s="1021">
        <f t="shared" ref="BK42:BK53" si="32">BJ42*$C$13</f>
        <v>0</v>
      </c>
      <c r="BL42" s="1022">
        <f>IF(OR(Fiscalitat!$H$21="a",Fiscalitat!$H$21="B",Fiscalitat!$H$21="D"),((1+$F$13)*BK42*D$13),BK42*$D$13)</f>
        <v>0</v>
      </c>
      <c r="BM42" s="1022">
        <f>IF(OR(Fiscalitat!$H$21="a",Fiscalitat!$H$21="B",Fiscalitat!$H$21="D"),0,BL42*$F$13)</f>
        <v>0</v>
      </c>
      <c r="BN42" s="1022">
        <f>IF(OR(Fiscalitat!$H$21="B",Fiscalitat!$H$21="D"),BL42*(1-$E$13)+BK42*$D$13*$K$13*(1-$E$13),BL42*(1-$E$13))</f>
        <v>0</v>
      </c>
      <c r="BO42" s="1022">
        <f>IF(OR(Fiscalitat!$H$21="a",Fiscalitat!$H$21="B",Fiscalitat!$H$21="D"),0,BN42*$I$13)</f>
        <v>0</v>
      </c>
      <c r="BP42" s="1023">
        <f>'Introducció dades'!N186</f>
        <v>0</v>
      </c>
      <c r="BQ42" s="1024">
        <f t="shared" ref="BQ42:BQ53" si="33">BP42*$C$14</f>
        <v>0</v>
      </c>
      <c r="BR42" s="794">
        <f>IF(OR(Fiscalitat!$H$21="a",Fiscalitat!$H$21="B",Fiscalitat!$H$21="D"),((1+$F$14)*BQ42*D$14),BQ42*$D$14)</f>
        <v>0</v>
      </c>
      <c r="BS42" s="794">
        <f>IF(OR(Fiscalitat!$H$21="a",Fiscalitat!$H$21="B",Fiscalitat!$H$21="D"),0,BR42*$F$14)</f>
        <v>0</v>
      </c>
      <c r="BT42" s="794">
        <f>IF(OR(Fiscalitat!$H$21="B",Fiscalitat!$H$21="D"),BR42*(1-$E$14)+BQ42*$D$14*$K$14*(1-$E$14),BR42*(1-$E$14))</f>
        <v>0</v>
      </c>
      <c r="BU42" s="794">
        <f>IF(OR(Fiscalitat!$H$21="a",Fiscalitat!$H$21="B",Fiscalitat!$H$21="D"),0,BT42*$I$14)</f>
        <v>0</v>
      </c>
      <c r="BV42" s="25">
        <f>C42+I42+O42+U42+AA42+AG42+AM42+AS42+AY42+BE42+BK42+BQ42</f>
        <v>0</v>
      </c>
      <c r="BW42" s="1026">
        <f>D42+J42+P42+V42+AB42+AH42+AN42+AT42+AZ42+BF42+BL42+BR42</f>
        <v>0</v>
      </c>
      <c r="BX42" s="1026">
        <f>E42+K42+Q42+W42+AC42+AI42+AO42+AU42+BA42+BG42+BM42+BS42</f>
        <v>0</v>
      </c>
      <c r="BY42" s="1026">
        <f>F42+L42+R42+X42+AD42+AJ42+AP42+AV42+BB42+BH42+BN42+BT42</f>
        <v>0</v>
      </c>
      <c r="BZ42" s="1026">
        <f t="shared" ref="BZ42:BZ53" si="34">G42+M42+S42+Y42+AE42+AK42+AQ42+AW42+BC42+BI42+BO42+BU42</f>
        <v>0</v>
      </c>
      <c r="CA42" s="903" t="s">
        <v>58</v>
      </c>
      <c r="CB42" s="1027">
        <f>$BW42</f>
        <v>0</v>
      </c>
      <c r="CC42" s="1027">
        <f>$BW43</f>
        <v>0</v>
      </c>
      <c r="CD42" s="1027">
        <f>$BW44</f>
        <v>0</v>
      </c>
      <c r="CE42" s="1027">
        <f>$BW45</f>
        <v>0</v>
      </c>
      <c r="CF42" s="1027">
        <f>$BW46</f>
        <v>0</v>
      </c>
      <c r="CG42" s="1027">
        <f>$BW47</f>
        <v>0</v>
      </c>
      <c r="CH42" s="1027">
        <f>$BW48</f>
        <v>0</v>
      </c>
      <c r="CI42" s="1027">
        <f>$BW49</f>
        <v>0</v>
      </c>
      <c r="CJ42" s="1027">
        <f>$BW50</f>
        <v>0</v>
      </c>
      <c r="CK42" s="1027">
        <f>$BW51</f>
        <v>0</v>
      </c>
      <c r="CL42" s="1027">
        <f>$BW52</f>
        <v>0</v>
      </c>
      <c r="CM42" s="1027">
        <f>$BW53</f>
        <v>0</v>
      </c>
      <c r="CN42" s="1028">
        <f>SUM(CB42:CM42)</f>
        <v>0</v>
      </c>
      <c r="CO42" s="1029">
        <f>IF(BW42=0,0,(BW42-BY42)/BW42)</f>
        <v>0</v>
      </c>
    </row>
    <row r="43" spans="1:93" ht="13" x14ac:dyDescent="0.3">
      <c r="A43" s="1019" t="str">
        <f t="shared" ref="A43:A53" si="35">A23</f>
        <v>FEBRER</v>
      </c>
      <c r="B43" s="1020">
        <f>'Introducció dades'!C187</f>
        <v>0</v>
      </c>
      <c r="C43" s="1021">
        <f t="shared" si="24"/>
        <v>0</v>
      </c>
      <c r="D43" s="1022">
        <f>IF(OR(Fiscalitat!$H$21="a",Fiscalitat!$H$21="B",Fiscalitat!$H$21="D"),((1+$F$3)*C43*D$3),C43*$D$3)</f>
        <v>0</v>
      </c>
      <c r="E43" s="1022">
        <f>IF(OR(Fiscalitat!$H$21="a",Fiscalitat!$H$21="B",Fiscalitat!$H$21="D"),0,D43*$F$3)</f>
        <v>0</v>
      </c>
      <c r="F43" s="1022">
        <f>IF(OR(Fiscalitat!$H$21="B",Fiscalitat!$H$21="D"),D43*(1-$E$3)+C43*$D$3*$K$3*(1-$E$3),D43*(1-$E$3))</f>
        <v>0</v>
      </c>
      <c r="G43" s="1022">
        <f>IF(OR(Fiscalitat!$H$21="a",Fiscalitat!$H$21="B",Fiscalitat!$H$21="D"),0,F43*$I$3)</f>
        <v>0</v>
      </c>
      <c r="H43" s="1023">
        <f>'Introducció dades'!D187</f>
        <v>0</v>
      </c>
      <c r="I43" s="1024">
        <f t="shared" si="25"/>
        <v>0</v>
      </c>
      <c r="J43" s="794">
        <f>IF(OR(Fiscalitat!$H$21="a",Fiscalitat!$H$21="B",Fiscalitat!$H$21="D"),((1+$F$4)*I43*D$4),I43*$D$4)</f>
        <v>0</v>
      </c>
      <c r="K43" s="794">
        <f>IF(OR(Fiscalitat!$H$21="a",Fiscalitat!$H$21="B",Fiscalitat!$H$21="D"),0,J43*$F$4)</f>
        <v>0</v>
      </c>
      <c r="L43" s="794">
        <f>IF(OR(Fiscalitat!$H$21="B",Fiscalitat!$H$21="D"),J43*(1-$E$4)+I43*$D$4*$K$4*(1-$E$4),J43*(1-$E$4))</f>
        <v>0</v>
      </c>
      <c r="M43" s="794">
        <f>IF(OR(Fiscalitat!$H$21="a",Fiscalitat!$H$21="B",Fiscalitat!$H$21="D"),0,L43*$I$4)</f>
        <v>0</v>
      </c>
      <c r="N43" s="1020">
        <f>'Introducció dades'!E187</f>
        <v>0</v>
      </c>
      <c r="O43" s="1021">
        <f t="shared" ref="O43:O53" si="36">N43*C$5</f>
        <v>0</v>
      </c>
      <c r="P43" s="1022">
        <f>IF(OR(Fiscalitat!$H$21="a",Fiscalitat!$H$21="B",Fiscalitat!$H$21="D"),((1+$F$5)*O43*D$5),O43*$D$5)</f>
        <v>0</v>
      </c>
      <c r="Q43" s="1022">
        <f>IF(OR(Fiscalitat!$H$21="a",Fiscalitat!$H$21="B",Fiscalitat!$H$21="D"),0,P43*$F$5)</f>
        <v>0</v>
      </c>
      <c r="R43" s="1022">
        <f>IF(OR(Fiscalitat!$H$21="B",Fiscalitat!$H$21="D"),P43*(1-$E$5)+O43*$D$5*$K$5*(1-$E$5),P43*(1-$E$5))</f>
        <v>0</v>
      </c>
      <c r="S43" s="1022">
        <f>IF(OR(Fiscalitat!$H$21="a",Fiscalitat!$H$21="B",Fiscalitat!$H$21="D"),0,R43*$I$5)</f>
        <v>0</v>
      </c>
      <c r="T43" s="1023">
        <f>'Introducció dades'!F187</f>
        <v>0</v>
      </c>
      <c r="U43" s="1024">
        <f t="shared" ref="U43:U53" si="37">T43*$C$6</f>
        <v>0</v>
      </c>
      <c r="V43" s="794">
        <f>IF(OR(Fiscalitat!$H$21="a",Fiscalitat!$H$21="B",Fiscalitat!$H$21="D"),((1+$F$6)*U43*D$6),U43*$D$6)</f>
        <v>0</v>
      </c>
      <c r="W43" s="794">
        <f>IF(OR(Fiscalitat!$H$21="a",Fiscalitat!$H$21="B",Fiscalitat!$H$21="D"),0,V43*$F$6)</f>
        <v>0</v>
      </c>
      <c r="X43" s="794">
        <f>IF(OR(Fiscalitat!$H$21="B",Fiscalitat!$H$21="D"),V43*(1-$E$6)+U43*$D$6*$K$6*(1-$E$6),V43*(1-$E$6))</f>
        <v>0</v>
      </c>
      <c r="Y43" s="794">
        <f>IF(OR(Fiscalitat!$H$21="a",Fiscalitat!$H$21="B",Fiscalitat!$H$21="D"),0,X43*$I$6)</f>
        <v>0</v>
      </c>
      <c r="Z43" s="1020">
        <f>'Introducció dades'!G187</f>
        <v>0</v>
      </c>
      <c r="AA43" s="1021">
        <f t="shared" si="26"/>
        <v>0</v>
      </c>
      <c r="AB43" s="1022">
        <f>IF(OR(Fiscalitat!$H$21="a",Fiscalitat!$H$21="B",Fiscalitat!$H$21="D"),((1+$F$7)*AA43*D$7),AA43*$D$7)</f>
        <v>0</v>
      </c>
      <c r="AC43" s="1022">
        <f>IF(OR(Fiscalitat!$H$21="a",Fiscalitat!$H$21="B",Fiscalitat!$H$21="D"),0,AB43*$F$7)</f>
        <v>0</v>
      </c>
      <c r="AD43" s="1022">
        <f>IF(OR(Fiscalitat!$H$21="B",Fiscalitat!$H$21="D"),AB43*(1-$E$7)+AA43*$D$7*$K$7*(1-$E$7),AB43*(1-$E$7))</f>
        <v>0</v>
      </c>
      <c r="AE43" s="1022">
        <f>IF(OR(Fiscalitat!$H$21="a",Fiscalitat!$H$21="B",Fiscalitat!$H$21="D"),0,AD43*$I$7)</f>
        <v>0</v>
      </c>
      <c r="AF43" s="1023">
        <f>'Introducció dades'!H187</f>
        <v>0</v>
      </c>
      <c r="AG43" s="1024">
        <f t="shared" si="27"/>
        <v>0</v>
      </c>
      <c r="AH43" s="794">
        <f>IF(OR(Fiscalitat!$H$21="a",Fiscalitat!$H$21="B",Fiscalitat!$H$21="D"),((1+$F$8)*AG43*D$8),AG43*$D$8)</f>
        <v>0</v>
      </c>
      <c r="AI43" s="794">
        <f>IF(OR(Fiscalitat!$H$21="a",Fiscalitat!$H$21="B",Fiscalitat!$H$21="D"),0,AH43*$F$8)</f>
        <v>0</v>
      </c>
      <c r="AJ43" s="794">
        <f>IF(OR(Fiscalitat!$H$21="B",Fiscalitat!$H$21="D"),AH43*(1-$E$8)+AG43*$D$8*$K$8*(1-$E$8),AH43*(1-$E$8))</f>
        <v>0</v>
      </c>
      <c r="AK43" s="794">
        <f>IF(OR(Fiscalitat!$H$21="a",Fiscalitat!$H$21="B",Fiscalitat!$H$21="D"),0,AJ43*$I$8)</f>
        <v>0</v>
      </c>
      <c r="AL43" s="1020">
        <f>'Introducció dades'!I187</f>
        <v>0</v>
      </c>
      <c r="AM43" s="1021">
        <f t="shared" si="28"/>
        <v>0</v>
      </c>
      <c r="AN43" s="1022">
        <f>IF(OR(Fiscalitat!$H$21="a",Fiscalitat!$H$21="B",Fiscalitat!$H$21="D"),((1+$F$9)*AM43*D$9),AM43*$D$9)</f>
        <v>0</v>
      </c>
      <c r="AO43" s="1022">
        <f>IF(OR(Fiscalitat!$H$21="a",Fiscalitat!$H$21="B",Fiscalitat!$H$21="D"),0,AN43*$F$9)</f>
        <v>0</v>
      </c>
      <c r="AP43" s="1022">
        <f>IF(OR(Fiscalitat!$H$21="B",Fiscalitat!$H$21="D"),AN43*(1-$E$9)+AM43*$D$9*$K$9*(1-$E$9),AN43*(1-$E$9))</f>
        <v>0</v>
      </c>
      <c r="AQ43" s="1022">
        <f>IF(OR(Fiscalitat!$H$21="a",Fiscalitat!$H$21="B",Fiscalitat!$H$21="D"),0,AP43*$I$9)</f>
        <v>0</v>
      </c>
      <c r="AR43" s="1023">
        <f>'Introducció dades'!J187</f>
        <v>0</v>
      </c>
      <c r="AS43" s="1024">
        <f t="shared" si="29"/>
        <v>0</v>
      </c>
      <c r="AT43" s="794">
        <f>IF(OR(Fiscalitat!$H$21="a",Fiscalitat!$H$21="B",Fiscalitat!$H$21="D"),((1+$F$10)*AS43*D$10),AS43*$D$10)</f>
        <v>0</v>
      </c>
      <c r="AU43" s="794">
        <f>IF(OR(Fiscalitat!$H$21="a",Fiscalitat!$H$21="B",Fiscalitat!$H$21="D"),0,AT43*$F$10)</f>
        <v>0</v>
      </c>
      <c r="AV43" s="794">
        <f>IF(OR(Fiscalitat!$H$21="B",Fiscalitat!$H$21="D"),AT43*(1-$E$10)+AS43*$D$10*$K$10*(1-$E$10),AT43*(1-$E$10))</f>
        <v>0</v>
      </c>
      <c r="AW43" s="794">
        <f>IF(OR(Fiscalitat!$H$21="a",Fiscalitat!$H$21="B",Fiscalitat!$H$21="D"),0,AV43*$I$10)</f>
        <v>0</v>
      </c>
      <c r="AX43" s="1020">
        <f>'Introducció dades'!K187</f>
        <v>0</v>
      </c>
      <c r="AY43" s="1021">
        <f t="shared" si="30"/>
        <v>0</v>
      </c>
      <c r="AZ43" s="1022">
        <f>IF(OR(Fiscalitat!$H$21="a",Fiscalitat!$H$21="B",Fiscalitat!$H$21="D"),((1+$F$11)*AY43*D$11),AY43*$D$11)</f>
        <v>0</v>
      </c>
      <c r="BA43" s="1022">
        <f>IF(OR(Fiscalitat!$H$21="a",Fiscalitat!$H$21="B",Fiscalitat!$H$21="D"),0,AZ43*$F$11)</f>
        <v>0</v>
      </c>
      <c r="BB43" s="1022">
        <f>IF(OR(Fiscalitat!$H$21="B",Fiscalitat!$H$21="D"),AZ43*(1-$E$11)+AY43*$D$11*$K$11*(1-$E$11),AZ43*(1-$E$11))</f>
        <v>0</v>
      </c>
      <c r="BC43" s="1022">
        <f>IF(OR(Fiscalitat!$H$21="a",Fiscalitat!$H$21="B",Fiscalitat!$H$21="D"),0,BB43*$I$11)</f>
        <v>0</v>
      </c>
      <c r="BD43" s="1023">
        <f>'Introducció dades'!L187</f>
        <v>0</v>
      </c>
      <c r="BE43" s="1024">
        <f t="shared" si="31"/>
        <v>0</v>
      </c>
      <c r="BF43" s="794">
        <f>IF(OR(Fiscalitat!$H$21="a",Fiscalitat!$H$21="B",Fiscalitat!$H$21="D"),((1+$F$12)*BE43*D$12),BE43*$D$12)</f>
        <v>0</v>
      </c>
      <c r="BG43" s="794">
        <f>IF(OR(Fiscalitat!$H$21="a",Fiscalitat!$H$21="B",Fiscalitat!$H$21="D"),0,BF43*$F$12)</f>
        <v>0</v>
      </c>
      <c r="BH43" s="794">
        <f>IF(OR(Fiscalitat!$H$21="B",Fiscalitat!$H$21="D"),BF43*(1-$E$12)+BE43*$D$12*$K$12*(1-$E$12),BF43*(1-$E$12))</f>
        <v>0</v>
      </c>
      <c r="BI43" s="794">
        <f>IF(OR(Fiscalitat!$H$21="a",Fiscalitat!$H$21="B",Fiscalitat!$H$21="D"),0,BH43*$I$12)</f>
        <v>0</v>
      </c>
      <c r="BJ43" s="1020">
        <f>'Introducció dades'!M187</f>
        <v>0</v>
      </c>
      <c r="BK43" s="1021">
        <f t="shared" si="32"/>
        <v>0</v>
      </c>
      <c r="BL43" s="1022">
        <f>IF(OR(Fiscalitat!$H$21="a",Fiscalitat!$H$21="B",Fiscalitat!$H$21="D"),((1+$F$13)*BK43*D$13),BK43*$D$13)</f>
        <v>0</v>
      </c>
      <c r="BM43" s="1022">
        <f>IF(OR(Fiscalitat!$H$21="a",Fiscalitat!$H$21="B",Fiscalitat!$H$21="D"),0,BL43*$F$13)</f>
        <v>0</v>
      </c>
      <c r="BN43" s="1022">
        <f>IF(OR(Fiscalitat!$H$21="B",Fiscalitat!$H$21="D"),BL43*(1-$E$13)+BK43*$D$13*$K$13*(1-$E$13),BL43*(1-$E$13))</f>
        <v>0</v>
      </c>
      <c r="BO43" s="1022">
        <f>IF(OR(Fiscalitat!$H$21="a",Fiscalitat!$H$21="B",Fiscalitat!$H$21="D"),0,BN43*$I$13)</f>
        <v>0</v>
      </c>
      <c r="BP43" s="1023">
        <f>'Introducció dades'!N187</f>
        <v>0</v>
      </c>
      <c r="BQ43" s="1024">
        <f t="shared" si="33"/>
        <v>0</v>
      </c>
      <c r="BR43" s="794">
        <f>IF(OR(Fiscalitat!$H$21="a",Fiscalitat!$H$21="B",Fiscalitat!$H$21="D"),((1+$F$14)*BQ43*D$14),BQ43*$D$14)</f>
        <v>0</v>
      </c>
      <c r="BS43" s="794">
        <f>IF(OR(Fiscalitat!$H$21="a",Fiscalitat!$H$21="B",Fiscalitat!$H$21="D"),0,BR43*$F$14)</f>
        <v>0</v>
      </c>
      <c r="BT43" s="794">
        <f>IF(OR(Fiscalitat!$H$21="B",Fiscalitat!$H$21="D"),BR43*(1-$E$14)+BQ43*$D$14*$K$14*(1-$E$14),BR43*(1-$E$14))</f>
        <v>0</v>
      </c>
      <c r="BU43" s="794">
        <f>IF(OR(Fiscalitat!$H$21="a",Fiscalitat!$H$21="B",Fiscalitat!$H$21="D"),0,BT43*$I$14)</f>
        <v>0</v>
      </c>
      <c r="BV43" s="25">
        <f t="shared" ref="BV43:BV53" si="38">C43+I43+O43+U43+AA43+AG43+AM43+AS43+AY43+BE43+BK43+BQ43</f>
        <v>0</v>
      </c>
      <c r="BW43" s="1026">
        <f t="shared" ref="BW43:BW53" si="39">D43+J43+P43+V43+AB43+AH43+AN43+AT43+AZ43+BF43+BL43+BR43</f>
        <v>0</v>
      </c>
      <c r="BX43" s="1026">
        <f t="shared" ref="BX43:BX53" si="40">E43+K43+Q43+W43+AC43+AI43+AO43+AU43+BA43+BG43+BM43+BS43</f>
        <v>0</v>
      </c>
      <c r="BY43" s="1026">
        <f t="shared" ref="BY43:BY53" si="41">F43+L43+R43+X43+AD43+AJ43+AP43+AV43+BB43+BH43+BN43+BT43</f>
        <v>0</v>
      </c>
      <c r="BZ43" s="1026">
        <f t="shared" si="34"/>
        <v>0</v>
      </c>
      <c r="CA43" s="908" t="s">
        <v>59</v>
      </c>
      <c r="CB43" s="1027">
        <f>$BY42</f>
        <v>0</v>
      </c>
      <c r="CC43" s="1027">
        <f>$BY43</f>
        <v>0</v>
      </c>
      <c r="CD43" s="1027">
        <f>$BY44</f>
        <v>0</v>
      </c>
      <c r="CE43" s="1027">
        <f>$BY45</f>
        <v>0</v>
      </c>
      <c r="CF43" s="1027">
        <f>$BY46</f>
        <v>0</v>
      </c>
      <c r="CG43" s="1027">
        <f>$BY47</f>
        <v>0</v>
      </c>
      <c r="CH43" s="1027">
        <f>$BY48</f>
        <v>0</v>
      </c>
      <c r="CI43" s="1027">
        <f>$BY49</f>
        <v>0</v>
      </c>
      <c r="CJ43" s="1027">
        <f>$BY50</f>
        <v>0</v>
      </c>
      <c r="CK43" s="1027">
        <f>$BY51</f>
        <v>0</v>
      </c>
      <c r="CL43" s="1027">
        <f>$BY52</f>
        <v>0</v>
      </c>
      <c r="CM43" s="1027">
        <f>$BY53</f>
        <v>0</v>
      </c>
      <c r="CN43" s="1028">
        <f>SUM(CB43:CM43)</f>
        <v>0</v>
      </c>
      <c r="CO43" s="1029">
        <f t="shared" ref="CO43:CO54" si="42">IF(BW43=0,0,(BW43-BY43)/BW43)</f>
        <v>0</v>
      </c>
    </row>
    <row r="44" spans="1:93" ht="13" x14ac:dyDescent="0.3">
      <c r="A44" s="1019" t="str">
        <f t="shared" si="35"/>
        <v>MARÇ</v>
      </c>
      <c r="B44" s="1020">
        <f>'Introducció dades'!C188</f>
        <v>0</v>
      </c>
      <c r="C44" s="1021">
        <f t="shared" si="24"/>
        <v>0</v>
      </c>
      <c r="D44" s="1022">
        <f>IF(OR(Fiscalitat!$H$21="a",Fiscalitat!$H$21="B",Fiscalitat!$H$21="D"),((1+$F$3)*C44*D$3),C44*$D$3)</f>
        <v>0</v>
      </c>
      <c r="E44" s="1022">
        <f>IF(OR(Fiscalitat!$H$21="a",Fiscalitat!$H$21="B",Fiscalitat!$H$21="D"),0,D44*$F$3)</f>
        <v>0</v>
      </c>
      <c r="F44" s="1022">
        <f>IF(OR(Fiscalitat!$H$21="B",Fiscalitat!$H$21="D"),D44*(1-$E$3)+C44*$D$3*$K$3*(1-$E$3),D44*(1-$E$3))</f>
        <v>0</v>
      </c>
      <c r="G44" s="1022">
        <f>IF(OR(Fiscalitat!$H$21="a",Fiscalitat!$H$21="B",Fiscalitat!$H$21="D"),0,F44*$I$3)</f>
        <v>0</v>
      </c>
      <c r="H44" s="1023">
        <f>'Introducció dades'!D188</f>
        <v>0</v>
      </c>
      <c r="I44" s="1024">
        <f t="shared" si="25"/>
        <v>0</v>
      </c>
      <c r="J44" s="794">
        <f>IF(OR(Fiscalitat!$H$21="a",Fiscalitat!$H$21="B",Fiscalitat!$H$21="D"),((1+$F$4)*I44*D$4),I44*$D$4)</f>
        <v>0</v>
      </c>
      <c r="K44" s="794">
        <f>IF(OR(Fiscalitat!$H$21="a",Fiscalitat!$H$21="B",Fiscalitat!$H$21="D"),0,J44*$F$4)</f>
        <v>0</v>
      </c>
      <c r="L44" s="794">
        <f>IF(OR(Fiscalitat!$H$21="B",Fiscalitat!$H$21="D"),J44*(1-$E$4)+I44*$D$4*$K$4*(1-$E$4),J44*(1-$E$4))</f>
        <v>0</v>
      </c>
      <c r="M44" s="794">
        <f>IF(OR(Fiscalitat!$H$21="a",Fiscalitat!$H$21="B",Fiscalitat!$H$21="D"),0,L44*$I$4)</f>
        <v>0</v>
      </c>
      <c r="N44" s="1020">
        <f>'Introducció dades'!E188</f>
        <v>0</v>
      </c>
      <c r="O44" s="1021">
        <f t="shared" si="36"/>
        <v>0</v>
      </c>
      <c r="P44" s="1022">
        <f>IF(OR(Fiscalitat!$H$21="a",Fiscalitat!$H$21="B",Fiscalitat!$H$21="D"),((1+$F$5)*O44*D$5),O44*$D$5)</f>
        <v>0</v>
      </c>
      <c r="Q44" s="1022">
        <f>IF(OR(Fiscalitat!$H$21="a",Fiscalitat!$H$21="B",Fiscalitat!$H$21="D"),0,P44*$F$5)</f>
        <v>0</v>
      </c>
      <c r="R44" s="1022">
        <f>IF(OR(Fiscalitat!$H$21="B",Fiscalitat!$H$21="D"),P44*(1-$E$5)+O44*$D$5*$K$5*(1-$E$5),P44*(1-$E$5))</f>
        <v>0</v>
      </c>
      <c r="S44" s="1022">
        <f>IF(OR(Fiscalitat!$H$21="a",Fiscalitat!$H$21="B",Fiscalitat!$H$21="D"),0,R44*$I$5)</f>
        <v>0</v>
      </c>
      <c r="T44" s="1023">
        <f>'Introducció dades'!F188</f>
        <v>0</v>
      </c>
      <c r="U44" s="1024">
        <f t="shared" si="37"/>
        <v>0</v>
      </c>
      <c r="V44" s="794">
        <f>IF(OR(Fiscalitat!$H$21="a",Fiscalitat!$H$21="B",Fiscalitat!$H$21="D"),((1+$F$6)*U44*D$6),U44*$D$6)</f>
        <v>0</v>
      </c>
      <c r="W44" s="794">
        <f>IF(OR(Fiscalitat!$H$21="a",Fiscalitat!$H$21="B",Fiscalitat!$H$21="D"),0,V44*$F$6)</f>
        <v>0</v>
      </c>
      <c r="X44" s="794">
        <f>IF(OR(Fiscalitat!$H$21="B",Fiscalitat!$H$21="D"),V44*(1-$E$6)+U44*$D$6*$K$6*(1-$E$6),V44*(1-$E$6))</f>
        <v>0</v>
      </c>
      <c r="Y44" s="794">
        <f>IF(OR(Fiscalitat!$H$21="a",Fiscalitat!$H$21="B",Fiscalitat!$H$21="D"),0,X44*$I$6)</f>
        <v>0</v>
      </c>
      <c r="Z44" s="1020">
        <f>'Introducció dades'!G188</f>
        <v>0</v>
      </c>
      <c r="AA44" s="1021">
        <f t="shared" si="26"/>
        <v>0</v>
      </c>
      <c r="AB44" s="1022">
        <f>IF(OR(Fiscalitat!$H$21="a",Fiscalitat!$H$21="B",Fiscalitat!$H$21="D"),((1+$F$7)*AA44*D$7),AA44*$D$7)</f>
        <v>0</v>
      </c>
      <c r="AC44" s="1022">
        <f>IF(OR(Fiscalitat!$H$21="a",Fiscalitat!$H$21="B",Fiscalitat!$H$21="D"),0,AB44*$F$7)</f>
        <v>0</v>
      </c>
      <c r="AD44" s="1022">
        <f>IF(OR(Fiscalitat!$H$21="B",Fiscalitat!$H$21="D"),AB44*(1-$E$7)+AA44*$D$7*$K$7*(1-$E$7),AB44*(1-$E$7))</f>
        <v>0</v>
      </c>
      <c r="AE44" s="1022">
        <f>IF(OR(Fiscalitat!$H$21="a",Fiscalitat!$H$21="B",Fiscalitat!$H$21="D"),0,AD44*$I$7)</f>
        <v>0</v>
      </c>
      <c r="AF44" s="1023">
        <f>'Introducció dades'!H188</f>
        <v>0</v>
      </c>
      <c r="AG44" s="1024">
        <f t="shared" si="27"/>
        <v>0</v>
      </c>
      <c r="AH44" s="794">
        <f>IF(OR(Fiscalitat!$H$21="a",Fiscalitat!$H$21="B",Fiscalitat!$H$21="D"),((1+$F$8)*AG44*D$8),AG44*$D$8)</f>
        <v>0</v>
      </c>
      <c r="AI44" s="794">
        <f>IF(OR(Fiscalitat!$H$21="a",Fiscalitat!$H$21="B",Fiscalitat!$H$21="D"),0,AH44*$F$8)</f>
        <v>0</v>
      </c>
      <c r="AJ44" s="794">
        <f>IF(OR(Fiscalitat!$H$21="B",Fiscalitat!$H$21="D"),AH44*(1-$E$8)+AG44*$D$8*$K$8*(1-$E$8),AH44*(1-$E$8))</f>
        <v>0</v>
      </c>
      <c r="AK44" s="794">
        <f>IF(OR(Fiscalitat!$H$21="a",Fiscalitat!$H$21="B",Fiscalitat!$H$21="D"),0,AJ44*$I$8)</f>
        <v>0</v>
      </c>
      <c r="AL44" s="1020">
        <f>'Introducció dades'!I188</f>
        <v>0</v>
      </c>
      <c r="AM44" s="1021">
        <f t="shared" si="28"/>
        <v>0</v>
      </c>
      <c r="AN44" s="1022">
        <f>IF(OR(Fiscalitat!$H$21="a",Fiscalitat!$H$21="B",Fiscalitat!$H$21="D"),((1+$F$9)*AM44*D$9),AM44*$D$9)</f>
        <v>0</v>
      </c>
      <c r="AO44" s="1022">
        <f>IF(OR(Fiscalitat!$H$21="a",Fiscalitat!$H$21="B",Fiscalitat!$H$21="D"),0,AN44*$F$9)</f>
        <v>0</v>
      </c>
      <c r="AP44" s="1022">
        <f>IF(OR(Fiscalitat!$H$21="B",Fiscalitat!$H$21="D"),AN44*(1-$E$9)+AM44*$D$9*$K$9*(1-$E$9),AN44*(1-$E$9))</f>
        <v>0</v>
      </c>
      <c r="AQ44" s="1022">
        <f>IF(OR(Fiscalitat!$H$21="a",Fiscalitat!$H$21="B",Fiscalitat!$H$21="D"),0,AP44*$I$9)</f>
        <v>0</v>
      </c>
      <c r="AR44" s="1023">
        <f>'Introducció dades'!J188</f>
        <v>0</v>
      </c>
      <c r="AS44" s="1024">
        <f t="shared" si="29"/>
        <v>0</v>
      </c>
      <c r="AT44" s="794">
        <f>IF(OR(Fiscalitat!$H$21="a",Fiscalitat!$H$21="B",Fiscalitat!$H$21="D"),((1+$F$10)*AS44*D$10),AS44*$D$10)</f>
        <v>0</v>
      </c>
      <c r="AU44" s="794">
        <f>IF(OR(Fiscalitat!$H$21="a",Fiscalitat!$H$21="B",Fiscalitat!$H$21="D"),0,AT44*$F$10)</f>
        <v>0</v>
      </c>
      <c r="AV44" s="794">
        <f>IF(OR(Fiscalitat!$H$21="B",Fiscalitat!$H$21="D"),AT44*(1-$E$10)+AS44*$D$10*$K$10*(1-$E$10),AT44*(1-$E$10))</f>
        <v>0</v>
      </c>
      <c r="AW44" s="794">
        <f>IF(OR(Fiscalitat!$H$21="a",Fiscalitat!$H$21="B",Fiscalitat!$H$21="D"),0,AV44*$I$10)</f>
        <v>0</v>
      </c>
      <c r="AX44" s="1020">
        <f>'Introducció dades'!K188</f>
        <v>0</v>
      </c>
      <c r="AY44" s="1021">
        <f t="shared" si="30"/>
        <v>0</v>
      </c>
      <c r="AZ44" s="1022">
        <f>IF(OR(Fiscalitat!$H$21="a",Fiscalitat!$H$21="B",Fiscalitat!$H$21="D"),((1+$F$11)*AY44*D$11),AY44*$D$11)</f>
        <v>0</v>
      </c>
      <c r="BA44" s="1022">
        <f>IF(OR(Fiscalitat!$H$21="a",Fiscalitat!$H$21="B",Fiscalitat!$H$21="D"),0,AZ44*$F$11)</f>
        <v>0</v>
      </c>
      <c r="BB44" s="1022">
        <f>IF(OR(Fiscalitat!$H$21="B",Fiscalitat!$H$21="D"),AZ44*(1-$E$11)+AY44*$D$11*$K$11*(1-$E$11),AZ44*(1-$E$11))</f>
        <v>0</v>
      </c>
      <c r="BC44" s="1022">
        <f>IF(OR(Fiscalitat!$H$21="a",Fiscalitat!$H$21="B",Fiscalitat!$H$21="D"),0,BB44*$I$11)</f>
        <v>0</v>
      </c>
      <c r="BD44" s="1023">
        <f>'Introducció dades'!L188</f>
        <v>0</v>
      </c>
      <c r="BE44" s="1024">
        <f t="shared" si="31"/>
        <v>0</v>
      </c>
      <c r="BF44" s="794">
        <f>IF(OR(Fiscalitat!$H$21="a",Fiscalitat!$H$21="B",Fiscalitat!$H$21="D"),((1+$F$12)*BE44*D$12),BE44*$D$12)</f>
        <v>0</v>
      </c>
      <c r="BG44" s="794">
        <f>IF(OR(Fiscalitat!$H$21="a",Fiscalitat!$H$21="B",Fiscalitat!$H$21="D"),0,BF44*$F$12)</f>
        <v>0</v>
      </c>
      <c r="BH44" s="794">
        <f>IF(OR(Fiscalitat!$H$21="B",Fiscalitat!$H$21="D"),BF44*(1-$E$12)+BE44*$D$12*$K$12*(1-$E$12),BF44*(1-$E$12))</f>
        <v>0</v>
      </c>
      <c r="BI44" s="794">
        <f>IF(OR(Fiscalitat!$H$21="a",Fiscalitat!$H$21="B",Fiscalitat!$H$21="D"),0,BH44*$I$12)</f>
        <v>0</v>
      </c>
      <c r="BJ44" s="1020">
        <f>'Introducció dades'!M188</f>
        <v>0</v>
      </c>
      <c r="BK44" s="1021">
        <f t="shared" si="32"/>
        <v>0</v>
      </c>
      <c r="BL44" s="1022">
        <f>IF(OR(Fiscalitat!$H$21="a",Fiscalitat!$H$21="B",Fiscalitat!$H$21="D"),((1+$F$13)*BK44*D$13),BK44*$D$13)</f>
        <v>0</v>
      </c>
      <c r="BM44" s="1022">
        <f>IF(OR(Fiscalitat!$H$21="a",Fiscalitat!$H$21="B",Fiscalitat!$H$21="D"),0,BL44*$F$13)</f>
        <v>0</v>
      </c>
      <c r="BN44" s="1022">
        <f>IF(OR(Fiscalitat!$H$21="B",Fiscalitat!$H$21="D"),BL44*(1-$E$13)+BK44*$D$13*$K$13*(1-$E$13),BL44*(1-$E$13))</f>
        <v>0</v>
      </c>
      <c r="BO44" s="1022">
        <f>IF(OR(Fiscalitat!$H$21="a",Fiscalitat!$H$21="B",Fiscalitat!$H$21="D"),0,BN44*$I$13)</f>
        <v>0</v>
      </c>
      <c r="BP44" s="1023">
        <f>'Introducció dades'!N188</f>
        <v>0</v>
      </c>
      <c r="BQ44" s="1024">
        <f t="shared" si="33"/>
        <v>0</v>
      </c>
      <c r="BR44" s="794">
        <f>IF(OR(Fiscalitat!$H$21="a",Fiscalitat!$H$21="B",Fiscalitat!$H$21="D"),((1+$F$14)*BQ44*D$14),BQ44*$D$14)</f>
        <v>0</v>
      </c>
      <c r="BS44" s="794">
        <f>IF(OR(Fiscalitat!$H$21="a",Fiscalitat!$H$21="B",Fiscalitat!$H$21="D"),0,BR44*$F$14)</f>
        <v>0</v>
      </c>
      <c r="BT44" s="794">
        <f>IF(OR(Fiscalitat!$H$21="B",Fiscalitat!$H$21="D"),BR44*(1-$E$14)+BQ44*$D$14*$K$14*(1-$E$14),BR44*(1-$E$14))</f>
        <v>0</v>
      </c>
      <c r="BU44" s="794">
        <f>IF(OR(Fiscalitat!$H$21="a",Fiscalitat!$H$21="B",Fiscalitat!$H$21="D"),0,BT44*$I$14)</f>
        <v>0</v>
      </c>
      <c r="BV44" s="25">
        <f t="shared" si="38"/>
        <v>0</v>
      </c>
      <c r="BW44" s="1026">
        <f t="shared" si="39"/>
        <v>0</v>
      </c>
      <c r="BX44" s="1026">
        <f t="shared" si="40"/>
        <v>0</v>
      </c>
      <c r="BY44" s="1026">
        <f t="shared" si="41"/>
        <v>0</v>
      </c>
      <c r="BZ44" s="1026">
        <f t="shared" si="34"/>
        <v>0</v>
      </c>
      <c r="CA44" s="108" t="s">
        <v>306</v>
      </c>
      <c r="CB44" s="1027">
        <f>$BX42</f>
        <v>0</v>
      </c>
      <c r="CC44" s="1027">
        <f>$BX43</f>
        <v>0</v>
      </c>
      <c r="CD44" s="1027">
        <f>$BX44</f>
        <v>0</v>
      </c>
      <c r="CE44" s="1027">
        <f>$BX45</f>
        <v>0</v>
      </c>
      <c r="CF44" s="1027">
        <f>$BX46</f>
        <v>0</v>
      </c>
      <c r="CG44" s="1027">
        <f>$BX47</f>
        <v>0</v>
      </c>
      <c r="CH44" s="1027">
        <f>$BX48</f>
        <v>0</v>
      </c>
      <c r="CI44" s="1027">
        <f>$BX49</f>
        <v>0</v>
      </c>
      <c r="CJ44" s="1027">
        <f>$BX50</f>
        <v>0</v>
      </c>
      <c r="CK44" s="1027">
        <f>$BX51</f>
        <v>0</v>
      </c>
      <c r="CL44" s="1027">
        <f>$BX52</f>
        <v>0</v>
      </c>
      <c r="CM44" s="1027">
        <f>$BX53</f>
        <v>0</v>
      </c>
      <c r="CN44" s="1028">
        <f>SUM(CB44:CM44)</f>
        <v>0</v>
      </c>
      <c r="CO44" s="1029">
        <f t="shared" si="42"/>
        <v>0</v>
      </c>
    </row>
    <row r="45" spans="1:93" ht="13" x14ac:dyDescent="0.3">
      <c r="A45" s="1019" t="str">
        <f t="shared" si="35"/>
        <v>ABRIL</v>
      </c>
      <c r="B45" s="1020">
        <f>'Introducció dades'!C189</f>
        <v>0</v>
      </c>
      <c r="C45" s="1021">
        <f t="shared" si="24"/>
        <v>0</v>
      </c>
      <c r="D45" s="1022">
        <f>IF(OR(Fiscalitat!$H$21="a",Fiscalitat!$H$21="B",Fiscalitat!$H$21="D"),((1+$F$3)*C45*D$3),C45*$D$3)</f>
        <v>0</v>
      </c>
      <c r="E45" s="1022">
        <f>IF(OR(Fiscalitat!$H$21="a",Fiscalitat!$H$21="B",Fiscalitat!$H$21="D"),0,D45*$F$3)</f>
        <v>0</v>
      </c>
      <c r="F45" s="1022">
        <f>IF(OR(Fiscalitat!$H$21="B",Fiscalitat!$H$21="D"),D45*(1-$E$3)+C45*$D$3*$K$3*(1-$E$3),D45*(1-$E$3))</f>
        <v>0</v>
      </c>
      <c r="G45" s="1022">
        <f>IF(OR(Fiscalitat!$H$21="a",Fiscalitat!$H$21="B",Fiscalitat!$H$21="D"),0,F45*$I$3)</f>
        <v>0</v>
      </c>
      <c r="H45" s="1023">
        <f>'Introducció dades'!D189</f>
        <v>0</v>
      </c>
      <c r="I45" s="1024">
        <f t="shared" si="25"/>
        <v>0</v>
      </c>
      <c r="J45" s="794">
        <f>IF(OR(Fiscalitat!$H$21="a",Fiscalitat!$H$21="B",Fiscalitat!$H$21="D"),((1+$F$4)*I45*D$4),I45*$D$4)</f>
        <v>0</v>
      </c>
      <c r="K45" s="794">
        <f>IF(OR(Fiscalitat!$H$21="a",Fiscalitat!$H$21="B",Fiscalitat!$H$21="D"),0,J45*$F$4)</f>
        <v>0</v>
      </c>
      <c r="L45" s="794">
        <f>IF(OR(Fiscalitat!$H$21="B",Fiscalitat!$H$21="D"),J45*(1-$E$4)+I45*$D$4*$K$4*(1-$E$4),J45*(1-$E$4))</f>
        <v>0</v>
      </c>
      <c r="M45" s="794">
        <f>IF(OR(Fiscalitat!$H$21="a",Fiscalitat!$H$21="B",Fiscalitat!$H$21="D"),0,L45*$I$4)</f>
        <v>0</v>
      </c>
      <c r="N45" s="1020">
        <f>'Introducció dades'!E189</f>
        <v>0</v>
      </c>
      <c r="O45" s="1021">
        <f t="shared" si="36"/>
        <v>0</v>
      </c>
      <c r="P45" s="1022">
        <f>IF(OR(Fiscalitat!$H$21="a",Fiscalitat!$H$21="B",Fiscalitat!$H$21="D"),((1+$F$5)*O45*D$5),O45*$D$5)</f>
        <v>0</v>
      </c>
      <c r="Q45" s="1022">
        <f>IF(OR(Fiscalitat!$H$21="a",Fiscalitat!$H$21="B",Fiscalitat!$H$21="D"),0,P45*$F$5)</f>
        <v>0</v>
      </c>
      <c r="R45" s="1022">
        <f>IF(OR(Fiscalitat!$H$21="B",Fiscalitat!$H$21="D"),P45*(1-$E$5)+O45*$D$5*$K$5*(1-$E$5),P45*(1-$E$5))</f>
        <v>0</v>
      </c>
      <c r="S45" s="1022">
        <f>IF(OR(Fiscalitat!$H$21="a",Fiscalitat!$H$21="B",Fiscalitat!$H$21="D"),0,R45*$I$5)</f>
        <v>0</v>
      </c>
      <c r="T45" s="1023">
        <f>'Introducció dades'!F189</f>
        <v>0</v>
      </c>
      <c r="U45" s="1024">
        <f t="shared" si="37"/>
        <v>0</v>
      </c>
      <c r="V45" s="794">
        <f>IF(OR(Fiscalitat!$H$21="a",Fiscalitat!$H$21="B",Fiscalitat!$H$21="D"),((1+$F$6)*U45*D$6),U45*$D$6)</f>
        <v>0</v>
      </c>
      <c r="W45" s="794">
        <f>IF(OR(Fiscalitat!$H$21="a",Fiscalitat!$H$21="B",Fiscalitat!$H$21="D"),0,V45*$F$6)</f>
        <v>0</v>
      </c>
      <c r="X45" s="794">
        <f>IF(OR(Fiscalitat!$H$21="B",Fiscalitat!$H$21="D"),V45*(1-$E$6)+U45*$D$6*$K$6*(1-$E$6),V45*(1-$E$6))</f>
        <v>0</v>
      </c>
      <c r="Y45" s="794">
        <f>IF(OR(Fiscalitat!$H$21="a",Fiscalitat!$H$21="B",Fiscalitat!$H$21="D"),0,X45*$I$6)</f>
        <v>0</v>
      </c>
      <c r="Z45" s="1020">
        <f>'Introducció dades'!G189</f>
        <v>0</v>
      </c>
      <c r="AA45" s="1021">
        <f t="shared" si="26"/>
        <v>0</v>
      </c>
      <c r="AB45" s="1022">
        <f>IF(OR(Fiscalitat!$H$21="a",Fiscalitat!$H$21="B",Fiscalitat!$H$21="D"),((1+$F$7)*AA45*D$7),AA45*$D$7)</f>
        <v>0</v>
      </c>
      <c r="AC45" s="1022">
        <f>IF(OR(Fiscalitat!$H$21="a",Fiscalitat!$H$21="B",Fiscalitat!$H$21="D"),0,AB45*$F$7)</f>
        <v>0</v>
      </c>
      <c r="AD45" s="1022">
        <f>IF(OR(Fiscalitat!$H$21="B",Fiscalitat!$H$21="D"),AB45*(1-$E$7)+AA45*$D$7*$K$7*(1-$E$7),AB45*(1-$E$7))</f>
        <v>0</v>
      </c>
      <c r="AE45" s="1022">
        <f>IF(OR(Fiscalitat!$H$21="a",Fiscalitat!$H$21="B",Fiscalitat!$H$21="D"),0,AD45*$I$7)</f>
        <v>0</v>
      </c>
      <c r="AF45" s="1023">
        <f>'Introducció dades'!H189</f>
        <v>0</v>
      </c>
      <c r="AG45" s="1024">
        <f t="shared" si="27"/>
        <v>0</v>
      </c>
      <c r="AH45" s="794">
        <f>IF(OR(Fiscalitat!$H$21="a",Fiscalitat!$H$21="B",Fiscalitat!$H$21="D"),((1+$F$8)*AG45*D$8),AG45*$D$8)</f>
        <v>0</v>
      </c>
      <c r="AI45" s="794">
        <f>IF(OR(Fiscalitat!$H$21="a",Fiscalitat!$H$21="B",Fiscalitat!$H$21="D"),0,AH45*$F$8)</f>
        <v>0</v>
      </c>
      <c r="AJ45" s="794">
        <f>IF(OR(Fiscalitat!$H$21="B",Fiscalitat!$H$21="D"),AH45*(1-$E$8)+AG45*$D$8*$K$8*(1-$E$8),AH45*(1-$E$8))</f>
        <v>0</v>
      </c>
      <c r="AK45" s="794">
        <f>IF(OR(Fiscalitat!$H$21="a",Fiscalitat!$H$21="B",Fiscalitat!$H$21="D"),0,AJ45*$I$8)</f>
        <v>0</v>
      </c>
      <c r="AL45" s="1020">
        <f>'Introducció dades'!I189</f>
        <v>0</v>
      </c>
      <c r="AM45" s="1021">
        <f t="shared" si="28"/>
        <v>0</v>
      </c>
      <c r="AN45" s="1022">
        <f>IF(OR(Fiscalitat!$H$21="a",Fiscalitat!$H$21="B",Fiscalitat!$H$21="D"),((1+$F$9)*AM45*D$9),AM45*$D$9)</f>
        <v>0</v>
      </c>
      <c r="AO45" s="1022">
        <f>IF(OR(Fiscalitat!$H$21="a",Fiscalitat!$H$21="B",Fiscalitat!$H$21="D"),0,AN45*$F$9)</f>
        <v>0</v>
      </c>
      <c r="AP45" s="1022">
        <f>IF(OR(Fiscalitat!$H$21="B",Fiscalitat!$H$21="D"),AN45*(1-$E$9)+AM45*$D$9*$K$9*(1-$E$9),AN45*(1-$E$9))</f>
        <v>0</v>
      </c>
      <c r="AQ45" s="1022">
        <f>IF(OR(Fiscalitat!$H$21="a",Fiscalitat!$H$21="B",Fiscalitat!$H$21="D"),0,AP45*$I$9)</f>
        <v>0</v>
      </c>
      <c r="AR45" s="1023">
        <f>'Introducció dades'!J189</f>
        <v>0</v>
      </c>
      <c r="AS45" s="1024">
        <f t="shared" si="29"/>
        <v>0</v>
      </c>
      <c r="AT45" s="794">
        <f>IF(OR(Fiscalitat!$H$21="a",Fiscalitat!$H$21="B",Fiscalitat!$H$21="D"),((1+$F$10)*AS45*D$10),AS45*$D$10)</f>
        <v>0</v>
      </c>
      <c r="AU45" s="794">
        <f>IF(OR(Fiscalitat!$H$21="a",Fiscalitat!$H$21="B",Fiscalitat!$H$21="D"),0,AT45*$F$10)</f>
        <v>0</v>
      </c>
      <c r="AV45" s="794">
        <f>IF(OR(Fiscalitat!$H$21="B",Fiscalitat!$H$21="D"),AT45*(1-$E$10)+AS45*$D$10*$K$10*(1-$E$10),AT45*(1-$E$10))</f>
        <v>0</v>
      </c>
      <c r="AW45" s="794">
        <f>IF(OR(Fiscalitat!$H$21="a",Fiscalitat!$H$21="B",Fiscalitat!$H$21="D"),0,AV45*$I$10)</f>
        <v>0</v>
      </c>
      <c r="AX45" s="1020">
        <f>'Introducció dades'!K189</f>
        <v>0</v>
      </c>
      <c r="AY45" s="1021">
        <f t="shared" si="30"/>
        <v>0</v>
      </c>
      <c r="AZ45" s="1022">
        <f>IF(OR(Fiscalitat!$H$21="a",Fiscalitat!$H$21="B",Fiscalitat!$H$21="D"),((1+$F$11)*AY45*D$11),AY45*$D$11)</f>
        <v>0</v>
      </c>
      <c r="BA45" s="1022">
        <f>IF(OR(Fiscalitat!$H$21="a",Fiscalitat!$H$21="B",Fiscalitat!$H$21="D"),0,AZ45*$F$11)</f>
        <v>0</v>
      </c>
      <c r="BB45" s="1022">
        <f>IF(OR(Fiscalitat!$H$21="B",Fiscalitat!$H$21="D"),AZ45*(1-$E$11)+AY45*$D$11*$K$11*(1-$E$11),AZ45*(1-$E$11))</f>
        <v>0</v>
      </c>
      <c r="BC45" s="1022">
        <f>IF(OR(Fiscalitat!$H$21="a",Fiscalitat!$H$21="B",Fiscalitat!$H$21="D"),0,BB45*$I$11)</f>
        <v>0</v>
      </c>
      <c r="BD45" s="1023">
        <f>'Introducció dades'!L189</f>
        <v>0</v>
      </c>
      <c r="BE45" s="1024">
        <f t="shared" si="31"/>
        <v>0</v>
      </c>
      <c r="BF45" s="794">
        <f>IF(OR(Fiscalitat!$H$21="a",Fiscalitat!$H$21="B",Fiscalitat!$H$21="D"),((1+$F$12)*BE45*D$12),BE45*$D$12)</f>
        <v>0</v>
      </c>
      <c r="BG45" s="794">
        <f>IF(OR(Fiscalitat!$H$21="a",Fiscalitat!$H$21="B",Fiscalitat!$H$21="D"),0,BF45*$F$12)</f>
        <v>0</v>
      </c>
      <c r="BH45" s="794">
        <f>IF(OR(Fiscalitat!$H$21="B",Fiscalitat!$H$21="D"),BF45*(1-$E$12)+BE45*$D$12*$K$12*(1-$E$12),BF45*(1-$E$12))</f>
        <v>0</v>
      </c>
      <c r="BI45" s="794">
        <f>IF(OR(Fiscalitat!$H$21="a",Fiscalitat!$H$21="B",Fiscalitat!$H$21="D"),0,BH45*$I$12)</f>
        <v>0</v>
      </c>
      <c r="BJ45" s="1020">
        <f>'Introducció dades'!M189</f>
        <v>0</v>
      </c>
      <c r="BK45" s="1021">
        <f t="shared" si="32"/>
        <v>0</v>
      </c>
      <c r="BL45" s="1022">
        <f>IF(OR(Fiscalitat!$H$21="a",Fiscalitat!$H$21="B",Fiscalitat!$H$21="D"),((1+$F$13)*BK45*D$13),BK45*$D$13)</f>
        <v>0</v>
      </c>
      <c r="BM45" s="1022">
        <f>IF(OR(Fiscalitat!$H$21="a",Fiscalitat!$H$21="B",Fiscalitat!$H$21="D"),0,BL45*$F$13)</f>
        <v>0</v>
      </c>
      <c r="BN45" s="1022">
        <f>IF(OR(Fiscalitat!$H$21="B",Fiscalitat!$H$21="D"),BL45*(1-$E$13)+BK45*$D$13*$K$13*(1-$E$13),BL45*(1-$E$13))</f>
        <v>0</v>
      </c>
      <c r="BO45" s="1022">
        <f>IF(OR(Fiscalitat!$H$21="a",Fiscalitat!$H$21="B",Fiscalitat!$H$21="D"),0,BN45*$I$13)</f>
        <v>0</v>
      </c>
      <c r="BP45" s="1023">
        <f>'Introducció dades'!N189</f>
        <v>0</v>
      </c>
      <c r="BQ45" s="1024">
        <f t="shared" si="33"/>
        <v>0</v>
      </c>
      <c r="BR45" s="794">
        <f>IF(OR(Fiscalitat!$H$21="a",Fiscalitat!$H$21="B",Fiscalitat!$H$21="D"),((1+$F$14)*BQ45*D$14),BQ45*$D$14)</f>
        <v>0</v>
      </c>
      <c r="BS45" s="794">
        <f>IF(OR(Fiscalitat!$H$21="a",Fiscalitat!$H$21="B",Fiscalitat!$H$21="D"),0,BR45*$F$14)</f>
        <v>0</v>
      </c>
      <c r="BT45" s="794">
        <f>IF(OR(Fiscalitat!$H$21="B",Fiscalitat!$H$21="D"),BR45*(1-$E$14)+BQ45*$D$14*$K$14*(1-$E$14),BR45*(1-$E$14))</f>
        <v>0</v>
      </c>
      <c r="BU45" s="794">
        <f>IF(OR(Fiscalitat!$H$21="a",Fiscalitat!$H$21="B",Fiscalitat!$H$21="D"),0,BT45*$I$14)</f>
        <v>0</v>
      </c>
      <c r="BV45" s="25">
        <f t="shared" si="38"/>
        <v>0</v>
      </c>
      <c r="BW45" s="1026">
        <f t="shared" si="39"/>
        <v>0</v>
      </c>
      <c r="BX45" s="1026">
        <f t="shared" si="40"/>
        <v>0</v>
      </c>
      <c r="BY45" s="1026">
        <f t="shared" si="41"/>
        <v>0</v>
      </c>
      <c r="BZ45" s="1026">
        <f t="shared" si="34"/>
        <v>0</v>
      </c>
      <c r="CA45" s="108" t="s">
        <v>314</v>
      </c>
      <c r="CB45" s="1030"/>
      <c r="CC45" s="1030"/>
      <c r="CD45" s="1030"/>
      <c r="CE45" s="1030"/>
      <c r="CF45" s="1030"/>
      <c r="CG45" s="1030"/>
      <c r="CH45" s="1030"/>
      <c r="CI45" s="1030"/>
      <c r="CJ45" s="1030"/>
      <c r="CK45" s="1030"/>
      <c r="CL45" s="1030"/>
      <c r="CM45" s="1030"/>
      <c r="CN45" s="1031">
        <f>IF(CN42=0,0,CN44/CN42)</f>
        <v>0</v>
      </c>
      <c r="CO45" s="1029">
        <f t="shared" si="42"/>
        <v>0</v>
      </c>
    </row>
    <row r="46" spans="1:93" ht="13" x14ac:dyDescent="0.3">
      <c r="A46" s="1019" t="str">
        <f t="shared" si="35"/>
        <v>MAIG</v>
      </c>
      <c r="B46" s="1020">
        <f>'Introducció dades'!C190</f>
        <v>0</v>
      </c>
      <c r="C46" s="1021">
        <f t="shared" si="24"/>
        <v>0</v>
      </c>
      <c r="D46" s="1022">
        <f>IF(OR(Fiscalitat!$H$21="a",Fiscalitat!$H$21="B",Fiscalitat!$H$21="D"),((1+$F$3)*C46*D$3),C46*$D$3)</f>
        <v>0</v>
      </c>
      <c r="E46" s="1022">
        <f>IF(OR(Fiscalitat!$H$21="a",Fiscalitat!$H$21="B",Fiscalitat!$H$21="D"),0,D46*$F$3)</f>
        <v>0</v>
      </c>
      <c r="F46" s="1022">
        <f>IF(OR(Fiscalitat!$H$21="B",Fiscalitat!$H$21="D"),D46*(1-$E$3)+C46*$D$3*$K$3*(1-$E$3),D46*(1-$E$3))</f>
        <v>0</v>
      </c>
      <c r="G46" s="1022">
        <f>IF(OR(Fiscalitat!$H$21="a",Fiscalitat!$H$21="B",Fiscalitat!$H$21="D"),0,F46*$I$3)</f>
        <v>0</v>
      </c>
      <c r="H46" s="1023">
        <f>'Introducció dades'!D190</f>
        <v>0</v>
      </c>
      <c r="I46" s="1024">
        <f t="shared" si="25"/>
        <v>0</v>
      </c>
      <c r="J46" s="794">
        <f>IF(OR(Fiscalitat!$H$21="a",Fiscalitat!$H$21="B",Fiscalitat!$H$21="D"),((1+$F$4)*I46*D$4),I46*$D$4)</f>
        <v>0</v>
      </c>
      <c r="K46" s="794">
        <f>IF(OR(Fiscalitat!$H$21="a",Fiscalitat!$H$21="B",Fiscalitat!$H$21="D"),0,J46*$F$4)</f>
        <v>0</v>
      </c>
      <c r="L46" s="794">
        <f>IF(OR(Fiscalitat!$H$21="B",Fiscalitat!$H$21="D"),J46*(1-$E$4)+I46*$D$4*$K$4*(1-$E$4),J46*(1-$E$4))</f>
        <v>0</v>
      </c>
      <c r="M46" s="794">
        <f>IF(OR(Fiscalitat!$H$21="a",Fiscalitat!$H$21="B",Fiscalitat!$H$21="D"),0,L46*$I$4)</f>
        <v>0</v>
      </c>
      <c r="N46" s="1020">
        <f>'Introducció dades'!E190</f>
        <v>0</v>
      </c>
      <c r="O46" s="1021">
        <f t="shared" si="36"/>
        <v>0</v>
      </c>
      <c r="P46" s="1022">
        <f>IF(OR(Fiscalitat!$H$21="a",Fiscalitat!$H$21="B",Fiscalitat!$H$21="D"),((1+$F$5)*O46*D$5),O46*$D$5)</f>
        <v>0</v>
      </c>
      <c r="Q46" s="1022">
        <f>IF(OR(Fiscalitat!$H$21="a",Fiscalitat!$H$21="B",Fiscalitat!$H$21="D"),0,P46*$F$5)</f>
        <v>0</v>
      </c>
      <c r="R46" s="1022">
        <f>IF(OR(Fiscalitat!$H$21="B",Fiscalitat!$H$21="D"),P46*(1-$E$5)+O46*$D$5*$K$5*(1-$E$5),P46*(1-$E$5))</f>
        <v>0</v>
      </c>
      <c r="S46" s="1022">
        <f>IF(OR(Fiscalitat!$H$21="a",Fiscalitat!$H$21="B",Fiscalitat!$H$21="D"),0,R46*$I$5)</f>
        <v>0</v>
      </c>
      <c r="T46" s="1023">
        <f>'Introducció dades'!F190</f>
        <v>0</v>
      </c>
      <c r="U46" s="1024">
        <f t="shared" si="37"/>
        <v>0</v>
      </c>
      <c r="V46" s="794">
        <f>IF(OR(Fiscalitat!$H$21="a",Fiscalitat!$H$21="B",Fiscalitat!$H$21="D"),((1+$F$6)*U46*D$6),U46*$D$6)</f>
        <v>0</v>
      </c>
      <c r="W46" s="794">
        <f>IF(OR(Fiscalitat!$H$21="a",Fiscalitat!$H$21="B",Fiscalitat!$H$21="D"),0,V46*$F$6)</f>
        <v>0</v>
      </c>
      <c r="X46" s="794">
        <f>IF(OR(Fiscalitat!$H$21="B",Fiscalitat!$H$21="D"),V46*(1-$E$6)+U46*$D$6*$K$6*(1-$E$6),V46*(1-$E$6))</f>
        <v>0</v>
      </c>
      <c r="Y46" s="794">
        <f>IF(OR(Fiscalitat!$H$21="a",Fiscalitat!$H$21="B",Fiscalitat!$H$21="D"),0,X46*$I$6)</f>
        <v>0</v>
      </c>
      <c r="Z46" s="1020">
        <f>'Introducció dades'!G190</f>
        <v>0</v>
      </c>
      <c r="AA46" s="1021">
        <f t="shared" si="26"/>
        <v>0</v>
      </c>
      <c r="AB46" s="1022">
        <f>IF(OR(Fiscalitat!$H$21="a",Fiscalitat!$H$21="B",Fiscalitat!$H$21="D"),((1+$F$7)*AA46*D$7),AA46*$D$7)</f>
        <v>0</v>
      </c>
      <c r="AC46" s="1022">
        <f>IF(OR(Fiscalitat!$H$21="a",Fiscalitat!$H$21="B",Fiscalitat!$H$21="D"),0,AB46*$F$7)</f>
        <v>0</v>
      </c>
      <c r="AD46" s="1022">
        <f>IF(OR(Fiscalitat!$H$21="B",Fiscalitat!$H$21="D"),AB46*(1-$E$7)+AA46*$D$7*$K$7*(1-$E$7),AB46*(1-$E$7))</f>
        <v>0</v>
      </c>
      <c r="AE46" s="1022">
        <f>IF(OR(Fiscalitat!$H$21="a",Fiscalitat!$H$21="B",Fiscalitat!$H$21="D"),0,AD46*$I$7)</f>
        <v>0</v>
      </c>
      <c r="AF46" s="1023">
        <f>'Introducció dades'!H190</f>
        <v>0</v>
      </c>
      <c r="AG46" s="1024">
        <f t="shared" si="27"/>
        <v>0</v>
      </c>
      <c r="AH46" s="794">
        <f>IF(OR(Fiscalitat!$H$21="a",Fiscalitat!$H$21="B",Fiscalitat!$H$21="D"),((1+$F$8)*AG46*D$8),AG46*$D$8)</f>
        <v>0</v>
      </c>
      <c r="AI46" s="794">
        <f>IF(OR(Fiscalitat!$H$21="a",Fiscalitat!$H$21="B",Fiscalitat!$H$21="D"),0,AH46*$F$8)</f>
        <v>0</v>
      </c>
      <c r="AJ46" s="794">
        <f>IF(OR(Fiscalitat!$H$21="B",Fiscalitat!$H$21="D"),AH46*(1-$E$8)+AG46*$D$8*$K$8*(1-$E$8),AH46*(1-$E$8))</f>
        <v>0</v>
      </c>
      <c r="AK46" s="794">
        <f>IF(OR(Fiscalitat!$H$21="a",Fiscalitat!$H$21="B",Fiscalitat!$H$21="D"),0,AJ46*$I$8)</f>
        <v>0</v>
      </c>
      <c r="AL46" s="1020">
        <f>'Introducció dades'!I190</f>
        <v>0</v>
      </c>
      <c r="AM46" s="1021">
        <f t="shared" si="28"/>
        <v>0</v>
      </c>
      <c r="AN46" s="1022">
        <f>IF(OR(Fiscalitat!$H$21="a",Fiscalitat!$H$21="B",Fiscalitat!$H$21="D"),((1+$F$9)*AM46*D$9),AM46*$D$9)</f>
        <v>0</v>
      </c>
      <c r="AO46" s="1022">
        <f>IF(OR(Fiscalitat!$H$21="a",Fiscalitat!$H$21="B",Fiscalitat!$H$21="D"),0,AN46*$F$9)</f>
        <v>0</v>
      </c>
      <c r="AP46" s="1022">
        <f>IF(OR(Fiscalitat!$H$21="B",Fiscalitat!$H$21="D"),AN46*(1-$E$9)+AM46*$D$9*$K$9*(1-$E$9),AN46*(1-$E$9))</f>
        <v>0</v>
      </c>
      <c r="AQ46" s="1022">
        <f>IF(OR(Fiscalitat!$H$21="a",Fiscalitat!$H$21="B",Fiscalitat!$H$21="D"),0,AP46*$I$9)</f>
        <v>0</v>
      </c>
      <c r="AR46" s="1023">
        <f>'Introducció dades'!J190</f>
        <v>0</v>
      </c>
      <c r="AS46" s="1024">
        <f t="shared" si="29"/>
        <v>0</v>
      </c>
      <c r="AT46" s="794">
        <f>IF(OR(Fiscalitat!$H$21="a",Fiscalitat!$H$21="B",Fiscalitat!$H$21="D"),((1+$F$10)*AS46*D$10),AS46*$D$10)</f>
        <v>0</v>
      </c>
      <c r="AU46" s="794">
        <f>IF(OR(Fiscalitat!$H$21="a",Fiscalitat!$H$21="B",Fiscalitat!$H$21="D"),0,AT46*$F$10)</f>
        <v>0</v>
      </c>
      <c r="AV46" s="794">
        <f>IF(OR(Fiscalitat!$H$21="B",Fiscalitat!$H$21="D"),AT46*(1-$E$10)+AS46*$D$10*$K$10*(1-$E$10),AT46*(1-$E$10))</f>
        <v>0</v>
      </c>
      <c r="AW46" s="794">
        <f>IF(OR(Fiscalitat!$H$21="a",Fiscalitat!$H$21="B",Fiscalitat!$H$21="D"),0,AV46*$I$10)</f>
        <v>0</v>
      </c>
      <c r="AX46" s="1020">
        <f>'Introducció dades'!K190</f>
        <v>0</v>
      </c>
      <c r="AY46" s="1021">
        <f t="shared" si="30"/>
        <v>0</v>
      </c>
      <c r="AZ46" s="1022">
        <f>IF(OR(Fiscalitat!$H$21="a",Fiscalitat!$H$21="B",Fiscalitat!$H$21="D"),((1+$F$11)*AY46*D$11),AY46*$D$11)</f>
        <v>0</v>
      </c>
      <c r="BA46" s="1022">
        <f>IF(OR(Fiscalitat!$H$21="a",Fiscalitat!$H$21="B",Fiscalitat!$H$21="D"),0,AZ46*$F$11)</f>
        <v>0</v>
      </c>
      <c r="BB46" s="1022">
        <f>IF(OR(Fiscalitat!$H$21="B",Fiscalitat!$H$21="D"),AZ46*(1-$E$11)+AY46*$D$11*$K$11*(1-$E$11),AZ46*(1-$E$11))</f>
        <v>0</v>
      </c>
      <c r="BC46" s="1022">
        <f>IF(OR(Fiscalitat!$H$21="a",Fiscalitat!$H$21="B",Fiscalitat!$H$21="D"),0,BB46*$I$11)</f>
        <v>0</v>
      </c>
      <c r="BD46" s="1023">
        <f>'Introducció dades'!L190</f>
        <v>0</v>
      </c>
      <c r="BE46" s="1024">
        <f t="shared" si="31"/>
        <v>0</v>
      </c>
      <c r="BF46" s="794">
        <f>IF(OR(Fiscalitat!$H$21="a",Fiscalitat!$H$21="B",Fiscalitat!$H$21="D"),((1+$F$12)*BE46*D$12),BE46*$D$12)</f>
        <v>0</v>
      </c>
      <c r="BG46" s="794">
        <f>IF(OR(Fiscalitat!$H$21="a",Fiscalitat!$H$21="B",Fiscalitat!$H$21="D"),0,BF46*$F$12)</f>
        <v>0</v>
      </c>
      <c r="BH46" s="794">
        <f>IF(OR(Fiscalitat!$H$21="B",Fiscalitat!$H$21="D"),BF46*(1-$E$12)+BE46*$D$12*$K$12*(1-$E$12),BF46*(1-$E$12))</f>
        <v>0</v>
      </c>
      <c r="BI46" s="794">
        <f>IF(OR(Fiscalitat!$H$21="a",Fiscalitat!$H$21="B",Fiscalitat!$H$21="D"),0,BH46*$I$12)</f>
        <v>0</v>
      </c>
      <c r="BJ46" s="1020">
        <f>'Introducció dades'!M190</f>
        <v>0</v>
      </c>
      <c r="BK46" s="1021">
        <f t="shared" si="32"/>
        <v>0</v>
      </c>
      <c r="BL46" s="1022">
        <f>IF(OR(Fiscalitat!$H$21="a",Fiscalitat!$H$21="B",Fiscalitat!$H$21="D"),((1+$F$13)*BK46*D$13),BK46*$D$13)</f>
        <v>0</v>
      </c>
      <c r="BM46" s="1022">
        <f>IF(OR(Fiscalitat!$H$21="a",Fiscalitat!$H$21="B",Fiscalitat!$H$21="D"),0,BL46*$F$13)</f>
        <v>0</v>
      </c>
      <c r="BN46" s="1022">
        <f>IF(OR(Fiscalitat!$H$21="B",Fiscalitat!$H$21="D"),BL46*(1-$E$13)+BK46*$D$13*$K$13*(1-$E$13),BL46*(1-$E$13))</f>
        <v>0</v>
      </c>
      <c r="BO46" s="1022">
        <f>IF(OR(Fiscalitat!$H$21="a",Fiscalitat!$H$21="B",Fiscalitat!$H$21="D"),0,BN46*$I$13)</f>
        <v>0</v>
      </c>
      <c r="BP46" s="1023">
        <f>'Introducció dades'!N190</f>
        <v>0</v>
      </c>
      <c r="BQ46" s="1024">
        <f t="shared" si="33"/>
        <v>0</v>
      </c>
      <c r="BR46" s="794">
        <f>IF(OR(Fiscalitat!$H$21="a",Fiscalitat!$H$21="B",Fiscalitat!$H$21="D"),((1+$F$14)*BQ46*D$14),BQ46*$D$14)</f>
        <v>0</v>
      </c>
      <c r="BS46" s="794">
        <f>IF(OR(Fiscalitat!$H$21="a",Fiscalitat!$H$21="B",Fiscalitat!$H$21="D"),0,BR46*$F$14)</f>
        <v>0</v>
      </c>
      <c r="BT46" s="794">
        <f>IF(OR(Fiscalitat!$H$21="B",Fiscalitat!$H$21="D"),BR46*(1-$E$14)+BQ46*$D$14*$K$14*(1-$E$14),BR46*(1-$E$14))</f>
        <v>0</v>
      </c>
      <c r="BU46" s="794">
        <f>IF(OR(Fiscalitat!$H$21="a",Fiscalitat!$H$21="B",Fiscalitat!$H$21="D"),0,BT46*$I$14)</f>
        <v>0</v>
      </c>
      <c r="BV46" s="25">
        <f t="shared" si="38"/>
        <v>0</v>
      </c>
      <c r="BW46" s="1026">
        <f t="shared" si="39"/>
        <v>0</v>
      </c>
      <c r="BX46" s="1026">
        <f t="shared" si="40"/>
        <v>0</v>
      </c>
      <c r="BY46" s="1026">
        <f t="shared" si="41"/>
        <v>0</v>
      </c>
      <c r="BZ46" s="1026">
        <f t="shared" si="34"/>
        <v>0</v>
      </c>
      <c r="CA46" s="108" t="s">
        <v>302</v>
      </c>
      <c r="CB46" s="1027">
        <f>$BZ42</f>
        <v>0</v>
      </c>
      <c r="CC46" s="1027">
        <f>$BZ43</f>
        <v>0</v>
      </c>
      <c r="CD46" s="1027">
        <f>$BZ44</f>
        <v>0</v>
      </c>
      <c r="CE46" s="1027">
        <f>$BZ45</f>
        <v>0</v>
      </c>
      <c r="CF46" s="1027">
        <f>$BZ46</f>
        <v>0</v>
      </c>
      <c r="CG46" s="1027">
        <f>$BZ47</f>
        <v>0</v>
      </c>
      <c r="CH46" s="1027">
        <f>$BZ48</f>
        <v>0</v>
      </c>
      <c r="CI46" s="1027">
        <f>$BZ49</f>
        <v>0</v>
      </c>
      <c r="CJ46" s="1027">
        <f>$BZ50</f>
        <v>0</v>
      </c>
      <c r="CK46" s="1027">
        <f>$BZ51</f>
        <v>0</v>
      </c>
      <c r="CL46" s="1027">
        <f>$BZ52</f>
        <v>0</v>
      </c>
      <c r="CM46" s="1027">
        <f>$BZ53</f>
        <v>0</v>
      </c>
      <c r="CN46" s="1028">
        <f>SUM(CB46:CM46)</f>
        <v>0</v>
      </c>
      <c r="CO46" s="1029">
        <f t="shared" si="42"/>
        <v>0</v>
      </c>
    </row>
    <row r="47" spans="1:93" ht="13" x14ac:dyDescent="0.3">
      <c r="A47" s="1019" t="str">
        <f t="shared" si="35"/>
        <v>JUNY</v>
      </c>
      <c r="B47" s="1020">
        <f>'Introducció dades'!C191</f>
        <v>0</v>
      </c>
      <c r="C47" s="1021">
        <f t="shared" si="24"/>
        <v>0</v>
      </c>
      <c r="D47" s="1022">
        <f>IF(OR(Fiscalitat!$H$21="a",Fiscalitat!$H$21="B",Fiscalitat!$H$21="D"),((1+$F$3)*C47*D$3),C47*$D$3)</f>
        <v>0</v>
      </c>
      <c r="E47" s="1022">
        <f>IF(OR(Fiscalitat!$H$21="a",Fiscalitat!$H$21="B",Fiscalitat!$H$21="D"),0,D47*$F$3)</f>
        <v>0</v>
      </c>
      <c r="F47" s="1022">
        <f>IF(OR(Fiscalitat!$H$21="B",Fiscalitat!$H$21="D"),D47*(1-$E$3)+C47*$D$3*$K$3*(1-$E$3),D47*(1-$E$3))</f>
        <v>0</v>
      </c>
      <c r="G47" s="1022">
        <f>IF(OR(Fiscalitat!$H$21="a",Fiscalitat!$H$21="B",Fiscalitat!$H$21="D"),0,F47*$I$3)</f>
        <v>0</v>
      </c>
      <c r="H47" s="1023">
        <f>'Introducció dades'!D191</f>
        <v>0</v>
      </c>
      <c r="I47" s="1024">
        <f t="shared" si="25"/>
        <v>0</v>
      </c>
      <c r="J47" s="794">
        <f>IF(OR(Fiscalitat!$H$21="a",Fiscalitat!$H$21="B",Fiscalitat!$H$21="D"),((1+$F$4)*I47*D$4),I47*$D$4)</f>
        <v>0</v>
      </c>
      <c r="K47" s="794">
        <f>IF(OR(Fiscalitat!$H$21="a",Fiscalitat!$H$21="B",Fiscalitat!$H$21="D"),0,J47*$F$4)</f>
        <v>0</v>
      </c>
      <c r="L47" s="794">
        <f>IF(OR(Fiscalitat!$H$21="B",Fiscalitat!$H$21="D"),J47*(1-$E$4)+I47*$D$4*$K$4*(1-$E$4),J47*(1-$E$4))</f>
        <v>0</v>
      </c>
      <c r="M47" s="794">
        <f>IF(OR(Fiscalitat!$H$21="a",Fiscalitat!$H$21="B",Fiscalitat!$H$21="D"),0,L47*$I$4)</f>
        <v>0</v>
      </c>
      <c r="N47" s="1020">
        <f>'Introducció dades'!E191</f>
        <v>0</v>
      </c>
      <c r="O47" s="1021">
        <f t="shared" si="36"/>
        <v>0</v>
      </c>
      <c r="P47" s="1022">
        <f>IF(OR(Fiscalitat!$H$21="a",Fiscalitat!$H$21="B",Fiscalitat!$H$21="D"),((1+$F$5)*O47*D$5),O47*$D$5)</f>
        <v>0</v>
      </c>
      <c r="Q47" s="1022">
        <f>IF(OR(Fiscalitat!$H$21="a",Fiscalitat!$H$21="B",Fiscalitat!$H$21="D"),0,P47*$F$5)</f>
        <v>0</v>
      </c>
      <c r="R47" s="1022">
        <f>IF(OR(Fiscalitat!$H$21="B",Fiscalitat!$H$21="D"),P47*(1-$E$5)+O47*$D$5*$K$5*(1-$E$5),P47*(1-$E$5))</f>
        <v>0</v>
      </c>
      <c r="S47" s="1022">
        <f>IF(OR(Fiscalitat!$H$21="a",Fiscalitat!$H$21="B",Fiscalitat!$H$21="D"),0,R47*$I$5)</f>
        <v>0</v>
      </c>
      <c r="T47" s="1023">
        <f>'Introducció dades'!F191</f>
        <v>0</v>
      </c>
      <c r="U47" s="1024">
        <f t="shared" si="37"/>
        <v>0</v>
      </c>
      <c r="V47" s="794">
        <f>IF(OR(Fiscalitat!$H$21="a",Fiscalitat!$H$21="B",Fiscalitat!$H$21="D"),((1+$F$6)*U47*D$6),U47*$D$6)</f>
        <v>0</v>
      </c>
      <c r="W47" s="794">
        <f>IF(OR(Fiscalitat!$H$21="a",Fiscalitat!$H$21="B",Fiscalitat!$H$21="D"),0,V47*$F$6)</f>
        <v>0</v>
      </c>
      <c r="X47" s="794">
        <f>IF(OR(Fiscalitat!$H$21="B",Fiscalitat!$H$21="D"),V47*(1-$E$6)+U47*$D$6*$K$6*(1-$E$6),V47*(1-$E$6))</f>
        <v>0</v>
      </c>
      <c r="Y47" s="794">
        <f>IF(OR(Fiscalitat!$H$21="a",Fiscalitat!$H$21="B",Fiscalitat!$H$21="D"),0,X47*$I$6)</f>
        <v>0</v>
      </c>
      <c r="Z47" s="1020">
        <f>'Introducció dades'!G191</f>
        <v>0</v>
      </c>
      <c r="AA47" s="1021">
        <f t="shared" si="26"/>
        <v>0</v>
      </c>
      <c r="AB47" s="1022">
        <f>IF(OR(Fiscalitat!$H$21="a",Fiscalitat!$H$21="B",Fiscalitat!$H$21="D"),((1+$F$7)*AA47*D$7),AA47*$D$7)</f>
        <v>0</v>
      </c>
      <c r="AC47" s="1022">
        <f>IF(OR(Fiscalitat!$H$21="a",Fiscalitat!$H$21="B",Fiscalitat!$H$21="D"),0,AB47*$F$7)</f>
        <v>0</v>
      </c>
      <c r="AD47" s="1022">
        <f>IF(OR(Fiscalitat!$H$21="B",Fiscalitat!$H$21="D"),AB47*(1-$E$7)+AA47*$D$7*$K$7*(1-$E$7),AB47*(1-$E$7))</f>
        <v>0</v>
      </c>
      <c r="AE47" s="1022">
        <f>IF(OR(Fiscalitat!$H$21="a",Fiscalitat!$H$21="B",Fiscalitat!$H$21="D"),0,AD47*$I$7)</f>
        <v>0</v>
      </c>
      <c r="AF47" s="1023">
        <f>'Introducció dades'!H191</f>
        <v>0</v>
      </c>
      <c r="AG47" s="1024">
        <f t="shared" si="27"/>
        <v>0</v>
      </c>
      <c r="AH47" s="794">
        <f>IF(OR(Fiscalitat!$H$21="a",Fiscalitat!$H$21="B",Fiscalitat!$H$21="D"),((1+$F$8)*AG47*D$8),AG47*$D$8)</f>
        <v>0</v>
      </c>
      <c r="AI47" s="794">
        <f>IF(OR(Fiscalitat!$H$21="a",Fiscalitat!$H$21="B",Fiscalitat!$H$21="D"),0,AH47*$F$8)</f>
        <v>0</v>
      </c>
      <c r="AJ47" s="794">
        <f>IF(OR(Fiscalitat!$H$21="B",Fiscalitat!$H$21="D"),AH47*(1-$E$8)+AG47*$D$8*$K$8*(1-$E$8),AH47*(1-$E$8))</f>
        <v>0</v>
      </c>
      <c r="AK47" s="794">
        <f>IF(OR(Fiscalitat!$H$21="a",Fiscalitat!$H$21="B",Fiscalitat!$H$21="D"),0,AJ47*$I$8)</f>
        <v>0</v>
      </c>
      <c r="AL47" s="1020">
        <f>'Introducció dades'!I191</f>
        <v>0</v>
      </c>
      <c r="AM47" s="1021">
        <f t="shared" si="28"/>
        <v>0</v>
      </c>
      <c r="AN47" s="1022">
        <f>IF(OR(Fiscalitat!$H$21="a",Fiscalitat!$H$21="B",Fiscalitat!$H$21="D"),((1+$F$9)*AM47*D$9),AM47*$D$9)</f>
        <v>0</v>
      </c>
      <c r="AO47" s="1022">
        <f>IF(OR(Fiscalitat!$H$21="a",Fiscalitat!$H$21="B",Fiscalitat!$H$21="D"),0,AN47*$F$9)</f>
        <v>0</v>
      </c>
      <c r="AP47" s="1022">
        <f>IF(OR(Fiscalitat!$H$21="B",Fiscalitat!$H$21="D"),AN47*(1-$E$9)+AM47*$D$9*$K$9*(1-$E$9),AN47*(1-$E$9))</f>
        <v>0</v>
      </c>
      <c r="AQ47" s="1022">
        <f>IF(OR(Fiscalitat!$H$21="a",Fiscalitat!$H$21="B",Fiscalitat!$H$21="D"),0,AP47*$I$9)</f>
        <v>0</v>
      </c>
      <c r="AR47" s="1023">
        <f>'Introducció dades'!J191</f>
        <v>0</v>
      </c>
      <c r="AS47" s="1024">
        <f t="shared" si="29"/>
        <v>0</v>
      </c>
      <c r="AT47" s="794">
        <f>IF(OR(Fiscalitat!$H$21="a",Fiscalitat!$H$21="B",Fiscalitat!$H$21="D"),((1+$F$10)*AS47*D$10),AS47*$D$10)</f>
        <v>0</v>
      </c>
      <c r="AU47" s="794">
        <f>IF(OR(Fiscalitat!$H$21="a",Fiscalitat!$H$21="B",Fiscalitat!$H$21="D"),0,AT47*$F$10)</f>
        <v>0</v>
      </c>
      <c r="AV47" s="794">
        <f>IF(OR(Fiscalitat!$H$21="B",Fiscalitat!$H$21="D"),AT47*(1-$E$10)+AS47*$D$10*$K$10*(1-$E$10),AT47*(1-$E$10))</f>
        <v>0</v>
      </c>
      <c r="AW47" s="794">
        <f>IF(OR(Fiscalitat!$H$21="a",Fiscalitat!$H$21="B",Fiscalitat!$H$21="D"),0,AV47*$I$10)</f>
        <v>0</v>
      </c>
      <c r="AX47" s="1020">
        <f>'Introducció dades'!K191</f>
        <v>0</v>
      </c>
      <c r="AY47" s="1021">
        <f t="shared" si="30"/>
        <v>0</v>
      </c>
      <c r="AZ47" s="1022">
        <f>IF(OR(Fiscalitat!$H$21="a",Fiscalitat!$H$21="B",Fiscalitat!$H$21="D"),((1+$F$11)*AY47*D$11),AY47*$D$11)</f>
        <v>0</v>
      </c>
      <c r="BA47" s="1022">
        <f>IF(OR(Fiscalitat!$H$21="a",Fiscalitat!$H$21="B",Fiscalitat!$H$21="D"),0,AZ47*$F$11)</f>
        <v>0</v>
      </c>
      <c r="BB47" s="1022">
        <f>IF(OR(Fiscalitat!$H$21="B",Fiscalitat!$H$21="D"),AZ47*(1-$E$11)+AY47*$D$11*$K$11*(1-$E$11),AZ47*(1-$E$11))</f>
        <v>0</v>
      </c>
      <c r="BC47" s="1022">
        <f>IF(OR(Fiscalitat!$H$21="a",Fiscalitat!$H$21="B",Fiscalitat!$H$21="D"),0,BB47*$I$11)</f>
        <v>0</v>
      </c>
      <c r="BD47" s="1023">
        <f>'Introducció dades'!L191</f>
        <v>0</v>
      </c>
      <c r="BE47" s="1024">
        <f t="shared" si="31"/>
        <v>0</v>
      </c>
      <c r="BF47" s="794">
        <f>IF(OR(Fiscalitat!$H$21="a",Fiscalitat!$H$21="B",Fiscalitat!$H$21="D"),((1+$F$12)*BE47*D$12),BE47*$D$12)</f>
        <v>0</v>
      </c>
      <c r="BG47" s="794">
        <f>IF(OR(Fiscalitat!$H$21="a",Fiscalitat!$H$21="B",Fiscalitat!$H$21="D"),0,BF47*$F$12)</f>
        <v>0</v>
      </c>
      <c r="BH47" s="794">
        <f>IF(OR(Fiscalitat!$H$21="B",Fiscalitat!$H$21="D"),BF47*(1-$E$12)+BE47*$D$12*$K$12*(1-$E$12),BF47*(1-$E$12))</f>
        <v>0</v>
      </c>
      <c r="BI47" s="794">
        <f>IF(OR(Fiscalitat!$H$21="a",Fiscalitat!$H$21="B",Fiscalitat!$H$21="D"),0,BH47*$I$12)</f>
        <v>0</v>
      </c>
      <c r="BJ47" s="1020">
        <f>'Introducció dades'!M191</f>
        <v>0</v>
      </c>
      <c r="BK47" s="1021">
        <f t="shared" si="32"/>
        <v>0</v>
      </c>
      <c r="BL47" s="1022">
        <f>IF(OR(Fiscalitat!$H$21="a",Fiscalitat!$H$21="B",Fiscalitat!$H$21="D"),((1+$F$13)*BK47*D$13),BK47*$D$13)</f>
        <v>0</v>
      </c>
      <c r="BM47" s="1022">
        <f>IF(OR(Fiscalitat!$H$21="a",Fiscalitat!$H$21="B",Fiscalitat!$H$21="D"),0,BL47*$F$13)</f>
        <v>0</v>
      </c>
      <c r="BN47" s="1022">
        <f>IF(OR(Fiscalitat!$H$21="B",Fiscalitat!$H$21="D"),BL47*(1-$E$13)+BK47*$D$13*$K$13*(1-$E$13),BL47*(1-$E$13))</f>
        <v>0</v>
      </c>
      <c r="BO47" s="1022">
        <f>IF(OR(Fiscalitat!$H$21="a",Fiscalitat!$H$21="B",Fiscalitat!$H$21="D"),0,BN47*$I$13)</f>
        <v>0</v>
      </c>
      <c r="BP47" s="1023">
        <f>'Introducció dades'!N191</f>
        <v>0</v>
      </c>
      <c r="BQ47" s="1024">
        <f t="shared" si="33"/>
        <v>0</v>
      </c>
      <c r="BR47" s="794">
        <f>IF(OR(Fiscalitat!$H$21="a",Fiscalitat!$H$21="B",Fiscalitat!$H$21="D"),((1+$F$14)*BQ47*D$14),BQ47*$D$14)</f>
        <v>0</v>
      </c>
      <c r="BS47" s="794">
        <f>IF(OR(Fiscalitat!$H$21="a",Fiscalitat!$H$21="B",Fiscalitat!$H$21="D"),0,BR47*$F$14)</f>
        <v>0</v>
      </c>
      <c r="BT47" s="794">
        <f>IF(OR(Fiscalitat!$H$21="B",Fiscalitat!$H$21="D"),BR47*(1-$E$14)+BQ47*$D$14*$K$14*(1-$E$14),BR47*(1-$E$14))</f>
        <v>0</v>
      </c>
      <c r="BU47" s="794">
        <f>IF(OR(Fiscalitat!$H$21="a",Fiscalitat!$H$21="B",Fiscalitat!$H$21="D"),0,BT47*$I$14)</f>
        <v>0</v>
      </c>
      <c r="BV47" s="25">
        <f t="shared" si="38"/>
        <v>0</v>
      </c>
      <c r="BW47" s="1026">
        <f t="shared" si="39"/>
        <v>0</v>
      </c>
      <c r="BX47" s="1026">
        <f t="shared" si="40"/>
        <v>0</v>
      </c>
      <c r="BY47" s="1026">
        <f t="shared" si="41"/>
        <v>0</v>
      </c>
      <c r="BZ47" s="1026">
        <f t="shared" si="34"/>
        <v>0</v>
      </c>
      <c r="CA47" s="108" t="s">
        <v>316</v>
      </c>
      <c r="CB47" s="1030"/>
      <c r="CC47" s="1030"/>
      <c r="CD47" s="1030"/>
      <c r="CE47" s="1030"/>
      <c r="CF47" s="1030"/>
      <c r="CG47" s="1030"/>
      <c r="CH47" s="1030"/>
      <c r="CI47" s="1030"/>
      <c r="CJ47" s="1030"/>
      <c r="CK47" s="1030"/>
      <c r="CL47" s="1030"/>
      <c r="CM47" s="1030"/>
      <c r="CN47" s="1031">
        <f>IF(CN43=0,0,CN46/CN43)</f>
        <v>0</v>
      </c>
      <c r="CO47" s="1029">
        <f t="shared" si="42"/>
        <v>0</v>
      </c>
    </row>
    <row r="48" spans="1:93" ht="13" x14ac:dyDescent="0.3">
      <c r="A48" s="1019" t="str">
        <f t="shared" si="35"/>
        <v>JULIOL</v>
      </c>
      <c r="B48" s="1020">
        <f>'Introducció dades'!C192</f>
        <v>0</v>
      </c>
      <c r="C48" s="1021">
        <f t="shared" si="24"/>
        <v>0</v>
      </c>
      <c r="D48" s="1022">
        <f>IF(OR(Fiscalitat!$H$21="a",Fiscalitat!$H$21="B",Fiscalitat!$H$21="D"),((1+$F$3)*C48*D$3),C48*$D$3)</f>
        <v>0</v>
      </c>
      <c r="E48" s="1022">
        <f>IF(OR(Fiscalitat!$H$21="a",Fiscalitat!$H$21="B",Fiscalitat!$H$21="D"),0,D48*$F$3)</f>
        <v>0</v>
      </c>
      <c r="F48" s="1022">
        <f>IF(OR(Fiscalitat!$H$21="B",Fiscalitat!$H$21="D"),D48*(1-$E$3)+C48*$D$3*$K$3*(1-$E$3),D48*(1-$E$3))</f>
        <v>0</v>
      </c>
      <c r="G48" s="1022">
        <f>IF(OR(Fiscalitat!$H$21="a",Fiscalitat!$H$21="B",Fiscalitat!$H$21="D"),0,F48*$I$3)</f>
        <v>0</v>
      </c>
      <c r="H48" s="1023">
        <f>'Introducció dades'!D192</f>
        <v>0</v>
      </c>
      <c r="I48" s="1024">
        <f t="shared" si="25"/>
        <v>0</v>
      </c>
      <c r="J48" s="794">
        <f>IF(OR(Fiscalitat!$H$21="a",Fiscalitat!$H$21="B",Fiscalitat!$H$21="D"),((1+$F$4)*I48*D$4),I48*$D$4)</f>
        <v>0</v>
      </c>
      <c r="K48" s="794">
        <f>IF(OR(Fiscalitat!$H$21="a",Fiscalitat!$H$21="B",Fiscalitat!$H$21="D"),0,J48*$F$4)</f>
        <v>0</v>
      </c>
      <c r="L48" s="794">
        <f>IF(OR(Fiscalitat!$H$21="B",Fiscalitat!$H$21="D"),J48*(1-$E$4)+I48*$D$4*$K$4*(1-$E$4),J48*(1-$E$4))</f>
        <v>0</v>
      </c>
      <c r="M48" s="794">
        <f>IF(OR(Fiscalitat!$H$21="a",Fiscalitat!$H$21="B",Fiscalitat!$H$21="D"),0,L48*$I$4)</f>
        <v>0</v>
      </c>
      <c r="N48" s="1020">
        <f>'Introducció dades'!E192</f>
        <v>0</v>
      </c>
      <c r="O48" s="1021">
        <f t="shared" si="36"/>
        <v>0</v>
      </c>
      <c r="P48" s="1022">
        <f>IF(OR(Fiscalitat!$H$21="a",Fiscalitat!$H$21="B",Fiscalitat!$H$21="D"),((1+$F$5)*O48*D$5),O48*$D$5)</f>
        <v>0</v>
      </c>
      <c r="Q48" s="1022">
        <f>IF(OR(Fiscalitat!$H$21="a",Fiscalitat!$H$21="B",Fiscalitat!$H$21="D"),0,P48*$F$5)</f>
        <v>0</v>
      </c>
      <c r="R48" s="1022">
        <f>IF(OR(Fiscalitat!$H$21="B",Fiscalitat!$H$21="D"),P48*(1-$E$5)+O48*$D$5*$K$5*(1-$E$5),P48*(1-$E$5))</f>
        <v>0</v>
      </c>
      <c r="S48" s="1022">
        <f>IF(OR(Fiscalitat!$H$21="a",Fiscalitat!$H$21="B",Fiscalitat!$H$21="D"),0,R48*$I$5)</f>
        <v>0</v>
      </c>
      <c r="T48" s="1023">
        <f>'Introducció dades'!F192</f>
        <v>0</v>
      </c>
      <c r="U48" s="1024">
        <f t="shared" si="37"/>
        <v>0</v>
      </c>
      <c r="V48" s="794">
        <f>IF(OR(Fiscalitat!$H$21="a",Fiscalitat!$H$21="B",Fiscalitat!$H$21="D"),((1+$F$6)*U48*D$6),U48*$D$6)</f>
        <v>0</v>
      </c>
      <c r="W48" s="794">
        <f>IF(OR(Fiscalitat!$H$21="a",Fiscalitat!$H$21="B",Fiscalitat!$H$21="D"),0,V48*$F$6)</f>
        <v>0</v>
      </c>
      <c r="X48" s="794">
        <f>IF(OR(Fiscalitat!$H$21="B",Fiscalitat!$H$21="D"),V48*(1-$E$6)+U48*$D$6*$K$6*(1-$E$6),V48*(1-$E$6))</f>
        <v>0</v>
      </c>
      <c r="Y48" s="794">
        <f>IF(OR(Fiscalitat!$H$21="a",Fiscalitat!$H$21="B",Fiscalitat!$H$21="D"),0,X48*$I$6)</f>
        <v>0</v>
      </c>
      <c r="Z48" s="1020">
        <f>'Introducció dades'!G192</f>
        <v>0</v>
      </c>
      <c r="AA48" s="1021">
        <f t="shared" si="26"/>
        <v>0</v>
      </c>
      <c r="AB48" s="1022">
        <f>IF(OR(Fiscalitat!$H$21="a",Fiscalitat!$H$21="B",Fiscalitat!$H$21="D"),((1+$F$7)*AA48*D$7),AA48*$D$7)</f>
        <v>0</v>
      </c>
      <c r="AC48" s="1022">
        <f>IF(OR(Fiscalitat!$H$21="a",Fiscalitat!$H$21="B",Fiscalitat!$H$21="D"),0,AB48*$F$7)</f>
        <v>0</v>
      </c>
      <c r="AD48" s="1022">
        <f>IF(OR(Fiscalitat!$H$21="B",Fiscalitat!$H$21="D"),AB48*(1-$E$7)+AA48*$D$7*$K$7*(1-$E$7),AB48*(1-$E$7))</f>
        <v>0</v>
      </c>
      <c r="AE48" s="1022">
        <f>IF(OR(Fiscalitat!$H$21="a",Fiscalitat!$H$21="B",Fiscalitat!$H$21="D"),0,AD48*$I$7)</f>
        <v>0</v>
      </c>
      <c r="AF48" s="1023">
        <f>'Introducció dades'!H192</f>
        <v>0</v>
      </c>
      <c r="AG48" s="1024">
        <f t="shared" si="27"/>
        <v>0</v>
      </c>
      <c r="AH48" s="794">
        <f>IF(OR(Fiscalitat!$H$21="a",Fiscalitat!$H$21="B",Fiscalitat!$H$21="D"),((1+$F$8)*AG48*D$8),AG48*$D$8)</f>
        <v>0</v>
      </c>
      <c r="AI48" s="794">
        <f>IF(OR(Fiscalitat!$H$21="a",Fiscalitat!$H$21="B",Fiscalitat!$H$21="D"),0,AH48*$F$8)</f>
        <v>0</v>
      </c>
      <c r="AJ48" s="794">
        <f>IF(OR(Fiscalitat!$H$21="B",Fiscalitat!$H$21="D"),AH48*(1-$E$8)+AG48*$D$8*$K$8*(1-$E$8),AH48*(1-$E$8))</f>
        <v>0</v>
      </c>
      <c r="AK48" s="794">
        <f>IF(OR(Fiscalitat!$H$21="a",Fiscalitat!$H$21="B",Fiscalitat!$H$21="D"),0,AJ48*$I$8)</f>
        <v>0</v>
      </c>
      <c r="AL48" s="1020">
        <f>'Introducció dades'!I192</f>
        <v>0</v>
      </c>
      <c r="AM48" s="1021">
        <f t="shared" si="28"/>
        <v>0</v>
      </c>
      <c r="AN48" s="1022">
        <f>IF(OR(Fiscalitat!$H$21="a",Fiscalitat!$H$21="B",Fiscalitat!$H$21="D"),((1+$F$9)*AM48*D$9),AM48*$D$9)</f>
        <v>0</v>
      </c>
      <c r="AO48" s="1022">
        <f>IF(OR(Fiscalitat!$H$21="a",Fiscalitat!$H$21="B",Fiscalitat!$H$21="D"),0,AN48*$F$9)</f>
        <v>0</v>
      </c>
      <c r="AP48" s="1022">
        <f>IF(OR(Fiscalitat!$H$21="B",Fiscalitat!$H$21="D"),AN48*(1-$E$9)+AM48*$D$9*$K$9*(1-$E$9),AN48*(1-$E$9))</f>
        <v>0</v>
      </c>
      <c r="AQ48" s="1022">
        <f>IF(OR(Fiscalitat!$H$21="a",Fiscalitat!$H$21="B",Fiscalitat!$H$21="D"),0,AP48*$I$9)</f>
        <v>0</v>
      </c>
      <c r="AR48" s="1023">
        <f>'Introducció dades'!J192</f>
        <v>0</v>
      </c>
      <c r="AS48" s="1024">
        <f t="shared" si="29"/>
        <v>0</v>
      </c>
      <c r="AT48" s="794">
        <f>IF(OR(Fiscalitat!$H$21="a",Fiscalitat!$H$21="B",Fiscalitat!$H$21="D"),((1+$F$10)*AS48*D$10),AS48*$D$10)</f>
        <v>0</v>
      </c>
      <c r="AU48" s="794">
        <f>IF(OR(Fiscalitat!$H$21="a",Fiscalitat!$H$21="B",Fiscalitat!$H$21="D"),0,AT48*$F$10)</f>
        <v>0</v>
      </c>
      <c r="AV48" s="794">
        <f>IF(OR(Fiscalitat!$H$21="B",Fiscalitat!$H$21="D"),AT48*(1-$E$10)+AS48*$D$10*$K$10*(1-$E$10),AT48*(1-$E$10))</f>
        <v>0</v>
      </c>
      <c r="AW48" s="794">
        <f>IF(OR(Fiscalitat!$H$21="a",Fiscalitat!$H$21="B",Fiscalitat!$H$21="D"),0,AV48*$I$10)</f>
        <v>0</v>
      </c>
      <c r="AX48" s="1020">
        <f>'Introducció dades'!K192</f>
        <v>0</v>
      </c>
      <c r="AY48" s="1021">
        <f t="shared" si="30"/>
        <v>0</v>
      </c>
      <c r="AZ48" s="1022">
        <f>IF(OR(Fiscalitat!$H$21="a",Fiscalitat!$H$21="B",Fiscalitat!$H$21="D"),((1+$F$11)*AY48*D$11),AY48*$D$11)</f>
        <v>0</v>
      </c>
      <c r="BA48" s="1022">
        <f>IF(OR(Fiscalitat!$H$21="a",Fiscalitat!$H$21="B",Fiscalitat!$H$21="D"),0,AZ48*$F$11)</f>
        <v>0</v>
      </c>
      <c r="BB48" s="1022">
        <f>IF(OR(Fiscalitat!$H$21="B",Fiscalitat!$H$21="D"),AZ48*(1-$E$11)+AY48*$D$11*$K$11*(1-$E$11),AZ48*(1-$E$11))</f>
        <v>0</v>
      </c>
      <c r="BC48" s="1022">
        <f>IF(OR(Fiscalitat!$H$21="a",Fiscalitat!$H$21="B",Fiscalitat!$H$21="D"),0,BB48*$I$11)</f>
        <v>0</v>
      </c>
      <c r="BD48" s="1023">
        <f>'Introducció dades'!L192</f>
        <v>0</v>
      </c>
      <c r="BE48" s="1024">
        <f t="shared" si="31"/>
        <v>0</v>
      </c>
      <c r="BF48" s="794">
        <f>IF(OR(Fiscalitat!$H$21="a",Fiscalitat!$H$21="B",Fiscalitat!$H$21="D"),((1+$F$12)*BE48*D$12),BE48*$D$12)</f>
        <v>0</v>
      </c>
      <c r="BG48" s="794">
        <f>IF(OR(Fiscalitat!$H$21="a",Fiscalitat!$H$21="B",Fiscalitat!$H$21="D"),0,BF48*$F$12)</f>
        <v>0</v>
      </c>
      <c r="BH48" s="794">
        <f>IF(OR(Fiscalitat!$H$21="B",Fiscalitat!$H$21="D"),BF48*(1-$E$12)+BE48*$D$12*$K$12*(1-$E$12),BF48*(1-$E$12))</f>
        <v>0</v>
      </c>
      <c r="BI48" s="794">
        <f>IF(OR(Fiscalitat!$H$21="a",Fiscalitat!$H$21="B",Fiscalitat!$H$21="D"),0,BH48*$I$12)</f>
        <v>0</v>
      </c>
      <c r="BJ48" s="1020">
        <f>'Introducció dades'!M192</f>
        <v>0</v>
      </c>
      <c r="BK48" s="1021">
        <f t="shared" si="32"/>
        <v>0</v>
      </c>
      <c r="BL48" s="1022">
        <f>IF(OR(Fiscalitat!$H$21="a",Fiscalitat!$H$21="B",Fiscalitat!$H$21="D"),((1+$F$13)*BK48*D$13),BK48*$D$13)</f>
        <v>0</v>
      </c>
      <c r="BM48" s="1022">
        <f>IF(OR(Fiscalitat!$H$21="a",Fiscalitat!$H$21="B",Fiscalitat!$H$21="D"),0,BL48*$F$13)</f>
        <v>0</v>
      </c>
      <c r="BN48" s="1022">
        <f>IF(OR(Fiscalitat!$H$21="B",Fiscalitat!$H$21="D"),BL48*(1-$E$13)+BK48*$D$13*$K$13*(1-$E$13),BL48*(1-$E$13))</f>
        <v>0</v>
      </c>
      <c r="BO48" s="1022">
        <f>IF(OR(Fiscalitat!$H$21="a",Fiscalitat!$H$21="B",Fiscalitat!$H$21="D"),0,BN48*$I$13)</f>
        <v>0</v>
      </c>
      <c r="BP48" s="1023">
        <f>'Introducció dades'!N192</f>
        <v>0</v>
      </c>
      <c r="BQ48" s="1024">
        <f t="shared" si="33"/>
        <v>0</v>
      </c>
      <c r="BR48" s="794">
        <f>IF(OR(Fiscalitat!$H$21="a",Fiscalitat!$H$21="B",Fiscalitat!$H$21="D"),((1+$F$14)*BQ48*D$14),BQ48*$D$14)</f>
        <v>0</v>
      </c>
      <c r="BS48" s="794">
        <f>IF(OR(Fiscalitat!$H$21="a",Fiscalitat!$H$21="B",Fiscalitat!$H$21="D"),0,BR48*$F$14)</f>
        <v>0</v>
      </c>
      <c r="BT48" s="794">
        <f>IF(OR(Fiscalitat!$H$21="B",Fiscalitat!$H$21="D"),BR48*(1-$E$14)+BQ48*$D$14*$K$14*(1-$E$14),BR48*(1-$E$14))</f>
        <v>0</v>
      </c>
      <c r="BU48" s="794">
        <f>IF(OR(Fiscalitat!$H$21="a",Fiscalitat!$H$21="B",Fiscalitat!$H$21="D"),0,BT48*$I$14)</f>
        <v>0</v>
      </c>
      <c r="BV48" s="25">
        <f t="shared" si="38"/>
        <v>0</v>
      </c>
      <c r="BW48" s="1026">
        <f t="shared" si="39"/>
        <v>0</v>
      </c>
      <c r="BX48" s="1026">
        <f t="shared" si="40"/>
        <v>0</v>
      </c>
      <c r="BY48" s="1026">
        <f t="shared" si="41"/>
        <v>0</v>
      </c>
      <c r="BZ48" s="1026">
        <f t="shared" si="34"/>
        <v>0</v>
      </c>
      <c r="CO48" s="1029">
        <f t="shared" si="42"/>
        <v>0</v>
      </c>
    </row>
    <row r="49" spans="1:93" ht="13" x14ac:dyDescent="0.3">
      <c r="A49" s="1019" t="str">
        <f t="shared" si="35"/>
        <v>AGOST</v>
      </c>
      <c r="B49" s="1020">
        <f>'Introducció dades'!C193</f>
        <v>0</v>
      </c>
      <c r="C49" s="1021">
        <f t="shared" si="24"/>
        <v>0</v>
      </c>
      <c r="D49" s="1022">
        <f>IF(OR(Fiscalitat!$H$21="a",Fiscalitat!$H$21="B",Fiscalitat!$H$21="D"),((1+$F$3)*C49*D$3),C49*$D$3)</f>
        <v>0</v>
      </c>
      <c r="E49" s="1022">
        <f>IF(OR(Fiscalitat!$H$21="a",Fiscalitat!$H$21="B",Fiscalitat!$H$21="D"),0,D49*$F$3)</f>
        <v>0</v>
      </c>
      <c r="F49" s="1022">
        <f>IF(OR(Fiscalitat!$H$21="B",Fiscalitat!$H$21="D"),D49*(1-$E$3)+C49*$D$3*$K$3*(1-$E$3),D49*(1-$E$3))</f>
        <v>0</v>
      </c>
      <c r="G49" s="1022">
        <f>IF(OR(Fiscalitat!$H$21="a",Fiscalitat!$H$21="B",Fiscalitat!$H$21="D"),0,F49*$I$3)</f>
        <v>0</v>
      </c>
      <c r="H49" s="1023">
        <f>'Introducció dades'!D193</f>
        <v>0</v>
      </c>
      <c r="I49" s="1024">
        <f t="shared" si="25"/>
        <v>0</v>
      </c>
      <c r="J49" s="794">
        <f>IF(OR(Fiscalitat!$H$21="a",Fiscalitat!$H$21="B",Fiscalitat!$H$21="D"),((1+$F$4)*I49*D$4),I49*$D$4)</f>
        <v>0</v>
      </c>
      <c r="K49" s="794">
        <f>IF(OR(Fiscalitat!$H$21="a",Fiscalitat!$H$21="B",Fiscalitat!$H$21="D"),0,J49*$F$4)</f>
        <v>0</v>
      </c>
      <c r="L49" s="794">
        <f>IF(OR(Fiscalitat!$H$21="B",Fiscalitat!$H$21="D"),J49*(1-$E$4)+I49*$D$4*$K$4*(1-$E$4),J49*(1-$E$4))</f>
        <v>0</v>
      </c>
      <c r="M49" s="794">
        <f>IF(OR(Fiscalitat!$H$21="a",Fiscalitat!$H$21="B",Fiscalitat!$H$21="D"),0,L49*$I$4)</f>
        <v>0</v>
      </c>
      <c r="N49" s="1020">
        <f>'Introducció dades'!E193</f>
        <v>0</v>
      </c>
      <c r="O49" s="1021">
        <f t="shared" si="36"/>
        <v>0</v>
      </c>
      <c r="P49" s="1022">
        <f>IF(OR(Fiscalitat!$H$21="a",Fiscalitat!$H$21="B",Fiscalitat!$H$21="D"),((1+$F$5)*O49*D$5),O49*$D$5)</f>
        <v>0</v>
      </c>
      <c r="Q49" s="1022">
        <f>IF(OR(Fiscalitat!$H$21="a",Fiscalitat!$H$21="B",Fiscalitat!$H$21="D"),0,P49*$F$5)</f>
        <v>0</v>
      </c>
      <c r="R49" s="1022">
        <f>IF(OR(Fiscalitat!$H$21="B",Fiscalitat!$H$21="D"),P49*(1-$E$5)+O49*$D$5*$K$5*(1-$E$5),P49*(1-$E$5))</f>
        <v>0</v>
      </c>
      <c r="S49" s="1022">
        <f>IF(OR(Fiscalitat!$H$21="a",Fiscalitat!$H$21="B",Fiscalitat!$H$21="D"),0,R49*$I$5)</f>
        <v>0</v>
      </c>
      <c r="T49" s="1023">
        <f>'Introducció dades'!F193</f>
        <v>0</v>
      </c>
      <c r="U49" s="1024">
        <f t="shared" si="37"/>
        <v>0</v>
      </c>
      <c r="V49" s="794">
        <f>IF(OR(Fiscalitat!$H$21="a",Fiscalitat!$H$21="B",Fiscalitat!$H$21="D"),((1+$F$6)*U49*D$6),U49*$D$6)</f>
        <v>0</v>
      </c>
      <c r="W49" s="794">
        <f>IF(OR(Fiscalitat!$H$21="a",Fiscalitat!$H$21="B",Fiscalitat!$H$21="D"),0,V49*$F$6)</f>
        <v>0</v>
      </c>
      <c r="X49" s="794">
        <f>IF(OR(Fiscalitat!$H$21="B",Fiscalitat!$H$21="D"),V49*(1-$E$6)+U49*$D$6*$K$6*(1-$E$6),V49*(1-$E$6))</f>
        <v>0</v>
      </c>
      <c r="Y49" s="794">
        <f>IF(OR(Fiscalitat!$H$21="a",Fiscalitat!$H$21="B",Fiscalitat!$H$21="D"),0,X49*$I$6)</f>
        <v>0</v>
      </c>
      <c r="Z49" s="1020">
        <f>'Introducció dades'!G193</f>
        <v>0</v>
      </c>
      <c r="AA49" s="1021">
        <f t="shared" si="26"/>
        <v>0</v>
      </c>
      <c r="AB49" s="1022">
        <f>IF(OR(Fiscalitat!$H$21="a",Fiscalitat!$H$21="B",Fiscalitat!$H$21="D"),((1+$F$7)*AA49*D$7),AA49*$D$7)</f>
        <v>0</v>
      </c>
      <c r="AC49" s="1022">
        <f>IF(OR(Fiscalitat!$H$21="a",Fiscalitat!$H$21="B",Fiscalitat!$H$21="D"),0,AB49*$F$7)</f>
        <v>0</v>
      </c>
      <c r="AD49" s="1022">
        <f>IF(OR(Fiscalitat!$H$21="B",Fiscalitat!$H$21="D"),AB49*(1-$E$7)+AA49*$D$7*$K$7*(1-$E$7),AB49*(1-$E$7))</f>
        <v>0</v>
      </c>
      <c r="AE49" s="1022">
        <f>IF(OR(Fiscalitat!$H$21="a",Fiscalitat!$H$21="B",Fiscalitat!$H$21="D"),0,AD49*$I$7)</f>
        <v>0</v>
      </c>
      <c r="AF49" s="1023">
        <f>'Introducció dades'!H193</f>
        <v>0</v>
      </c>
      <c r="AG49" s="1024">
        <f t="shared" si="27"/>
        <v>0</v>
      </c>
      <c r="AH49" s="794">
        <f>IF(OR(Fiscalitat!$H$21="a",Fiscalitat!$H$21="B",Fiscalitat!$H$21="D"),((1+$F$8)*AG49*D$8),AG49*$D$8)</f>
        <v>0</v>
      </c>
      <c r="AI49" s="794">
        <f>IF(OR(Fiscalitat!$H$21="a",Fiscalitat!$H$21="B",Fiscalitat!$H$21="D"),0,AH49*$F$8)</f>
        <v>0</v>
      </c>
      <c r="AJ49" s="794">
        <f>IF(OR(Fiscalitat!$H$21="B",Fiscalitat!$H$21="D"),AH49*(1-$E$8)+AG49*$D$8*$K$8*(1-$E$8),AH49*(1-$E$8))</f>
        <v>0</v>
      </c>
      <c r="AK49" s="794">
        <f>IF(OR(Fiscalitat!$H$21="a",Fiscalitat!$H$21="B",Fiscalitat!$H$21="D"),0,AJ49*$I$8)</f>
        <v>0</v>
      </c>
      <c r="AL49" s="1020">
        <f>'Introducció dades'!I193</f>
        <v>0</v>
      </c>
      <c r="AM49" s="1021">
        <f t="shared" si="28"/>
        <v>0</v>
      </c>
      <c r="AN49" s="1022">
        <f>IF(OR(Fiscalitat!$H$21="a",Fiscalitat!$H$21="B",Fiscalitat!$H$21="D"),((1+$F$9)*AM49*D$9),AM49*$D$9)</f>
        <v>0</v>
      </c>
      <c r="AO49" s="1022">
        <f>IF(OR(Fiscalitat!$H$21="a",Fiscalitat!$H$21="B",Fiscalitat!$H$21="D"),0,AN49*$F$9)</f>
        <v>0</v>
      </c>
      <c r="AP49" s="1022">
        <f>IF(OR(Fiscalitat!$H$21="B",Fiscalitat!$H$21="D"),AN49*(1-$E$9)+AM49*$D$9*$K$9*(1-$E$9),AN49*(1-$E$9))</f>
        <v>0</v>
      </c>
      <c r="AQ49" s="1022">
        <f>IF(OR(Fiscalitat!$H$21="a",Fiscalitat!$H$21="B",Fiscalitat!$H$21="D"),0,AP49*$I$9)</f>
        <v>0</v>
      </c>
      <c r="AR49" s="1023">
        <f>'Introducció dades'!J193</f>
        <v>0</v>
      </c>
      <c r="AS49" s="1024">
        <f t="shared" si="29"/>
        <v>0</v>
      </c>
      <c r="AT49" s="794">
        <f>IF(OR(Fiscalitat!$H$21="a",Fiscalitat!$H$21="B",Fiscalitat!$H$21="D"),((1+$F$10)*AS49*D$10),AS49*$D$10)</f>
        <v>0</v>
      </c>
      <c r="AU49" s="794">
        <f>IF(OR(Fiscalitat!$H$21="a",Fiscalitat!$H$21="B",Fiscalitat!$H$21="D"),0,AT49*$F$10)</f>
        <v>0</v>
      </c>
      <c r="AV49" s="794">
        <f>IF(OR(Fiscalitat!$H$21="B",Fiscalitat!$H$21="D"),AT49*(1-$E$10)+AS49*$D$10*$K$10*(1-$E$10),AT49*(1-$E$10))</f>
        <v>0</v>
      </c>
      <c r="AW49" s="794">
        <f>IF(OR(Fiscalitat!$H$21="a",Fiscalitat!$H$21="B",Fiscalitat!$H$21="D"),0,AV49*$I$10)</f>
        <v>0</v>
      </c>
      <c r="AX49" s="1020">
        <f>'Introducció dades'!K193</f>
        <v>0</v>
      </c>
      <c r="AY49" s="1021">
        <f t="shared" si="30"/>
        <v>0</v>
      </c>
      <c r="AZ49" s="1022">
        <f>IF(OR(Fiscalitat!$H$21="a",Fiscalitat!$H$21="B",Fiscalitat!$H$21="D"),((1+$F$11)*AY49*D$11),AY49*$D$11)</f>
        <v>0</v>
      </c>
      <c r="BA49" s="1022">
        <f>IF(OR(Fiscalitat!$H$21="a",Fiscalitat!$H$21="B",Fiscalitat!$H$21="D"),0,AZ49*$F$11)</f>
        <v>0</v>
      </c>
      <c r="BB49" s="1022">
        <f>IF(OR(Fiscalitat!$H$21="B",Fiscalitat!$H$21="D"),AZ49*(1-$E$11)+AY49*$D$11*$K$11*(1-$E$11),AZ49*(1-$E$11))</f>
        <v>0</v>
      </c>
      <c r="BC49" s="1022">
        <f>IF(OR(Fiscalitat!$H$21="a",Fiscalitat!$H$21="B",Fiscalitat!$H$21="D"),0,BB49*$I$11)</f>
        <v>0</v>
      </c>
      <c r="BD49" s="1023">
        <f>'Introducció dades'!L193</f>
        <v>0</v>
      </c>
      <c r="BE49" s="1024">
        <f t="shared" si="31"/>
        <v>0</v>
      </c>
      <c r="BF49" s="794">
        <f>IF(OR(Fiscalitat!$H$21="a",Fiscalitat!$H$21="B",Fiscalitat!$H$21="D"),((1+$F$12)*BE49*D$12),BE49*$D$12)</f>
        <v>0</v>
      </c>
      <c r="BG49" s="794">
        <f>IF(OR(Fiscalitat!$H$21="a",Fiscalitat!$H$21="B",Fiscalitat!$H$21="D"),0,BF49*$F$12)</f>
        <v>0</v>
      </c>
      <c r="BH49" s="794">
        <f>IF(OR(Fiscalitat!$H$21="B",Fiscalitat!$H$21="D"),BF49*(1-$E$12)+BE49*$D$12*$K$12*(1-$E$12),BF49*(1-$E$12))</f>
        <v>0</v>
      </c>
      <c r="BI49" s="794">
        <f>IF(OR(Fiscalitat!$H$21="a",Fiscalitat!$H$21="B",Fiscalitat!$H$21="D"),0,BH49*$I$12)</f>
        <v>0</v>
      </c>
      <c r="BJ49" s="1020">
        <f>'Introducció dades'!M193</f>
        <v>0</v>
      </c>
      <c r="BK49" s="1021">
        <f t="shared" si="32"/>
        <v>0</v>
      </c>
      <c r="BL49" s="1022">
        <f>IF(OR(Fiscalitat!$H$21="a",Fiscalitat!$H$21="B",Fiscalitat!$H$21="D"),((1+$F$13)*BK49*D$13),BK49*$D$13)</f>
        <v>0</v>
      </c>
      <c r="BM49" s="1022">
        <f>IF(OR(Fiscalitat!$H$21="a",Fiscalitat!$H$21="B",Fiscalitat!$H$21="D"),0,BL49*$F$13)</f>
        <v>0</v>
      </c>
      <c r="BN49" s="1022">
        <f>IF(OR(Fiscalitat!$H$21="B",Fiscalitat!$H$21="D"),BL49*(1-$E$13)+BK49*$D$13*$K$13*(1-$E$13),BL49*(1-$E$13))</f>
        <v>0</v>
      </c>
      <c r="BO49" s="1022">
        <f>IF(OR(Fiscalitat!$H$21="a",Fiscalitat!$H$21="B",Fiscalitat!$H$21="D"),0,BN49*$I$13)</f>
        <v>0</v>
      </c>
      <c r="BP49" s="1023">
        <f>'Introducció dades'!N193</f>
        <v>0</v>
      </c>
      <c r="BQ49" s="1024">
        <f t="shared" si="33"/>
        <v>0</v>
      </c>
      <c r="BR49" s="794">
        <f>IF(OR(Fiscalitat!$H$21="a",Fiscalitat!$H$21="B",Fiscalitat!$H$21="D"),((1+$F$14)*BQ49*D$14),BQ49*$D$14)</f>
        <v>0</v>
      </c>
      <c r="BS49" s="794">
        <f>IF(OR(Fiscalitat!$H$21="a",Fiscalitat!$H$21="B",Fiscalitat!$H$21="D"),0,BR49*$F$14)</f>
        <v>0</v>
      </c>
      <c r="BT49" s="794">
        <f>IF(OR(Fiscalitat!$H$21="B",Fiscalitat!$H$21="D"),BR49*(1-$E$14)+BQ49*$D$14*$K$14*(1-$E$14),BR49*(1-$E$14))</f>
        <v>0</v>
      </c>
      <c r="BU49" s="794">
        <f>IF(OR(Fiscalitat!$H$21="a",Fiscalitat!$H$21="B",Fiscalitat!$H$21="D"),0,BT49*$I$14)</f>
        <v>0</v>
      </c>
      <c r="BV49" s="25">
        <f t="shared" si="38"/>
        <v>0</v>
      </c>
      <c r="BW49" s="1026">
        <f t="shared" si="39"/>
        <v>0</v>
      </c>
      <c r="BX49" s="1026">
        <f t="shared" si="40"/>
        <v>0</v>
      </c>
      <c r="BY49" s="1026">
        <f t="shared" si="41"/>
        <v>0</v>
      </c>
      <c r="BZ49" s="1026">
        <f t="shared" si="34"/>
        <v>0</v>
      </c>
      <c r="CO49" s="1029">
        <f t="shared" si="42"/>
        <v>0</v>
      </c>
    </row>
    <row r="50" spans="1:93" ht="13" x14ac:dyDescent="0.3">
      <c r="A50" s="1019" t="str">
        <f t="shared" si="35"/>
        <v>SETEMBRE</v>
      </c>
      <c r="B50" s="1020">
        <f>'Introducció dades'!C194</f>
        <v>0</v>
      </c>
      <c r="C50" s="1021">
        <f t="shared" si="24"/>
        <v>0</v>
      </c>
      <c r="D50" s="1022">
        <f>IF(OR(Fiscalitat!$H$21="a",Fiscalitat!$H$21="B",Fiscalitat!$H$21="D"),((1+$F$3)*C50*D$3),C50*$D$3)</f>
        <v>0</v>
      </c>
      <c r="E50" s="1022">
        <f>IF(OR(Fiscalitat!$H$21="a",Fiscalitat!$H$21="B",Fiscalitat!$H$21="D"),0,D50*$F$3)</f>
        <v>0</v>
      </c>
      <c r="F50" s="1022">
        <f>IF(OR(Fiscalitat!$H$21="B",Fiscalitat!$H$21="D"),D50*(1-$E$3)+C50*$D$3*$K$3*(1-$E$3),D50*(1-$E$3))</f>
        <v>0</v>
      </c>
      <c r="G50" s="1022">
        <f>IF(OR(Fiscalitat!$H$21="a",Fiscalitat!$H$21="B",Fiscalitat!$H$21="D"),0,F50*$I$3)</f>
        <v>0</v>
      </c>
      <c r="H50" s="1023">
        <f>'Introducció dades'!D194</f>
        <v>0</v>
      </c>
      <c r="I50" s="1024">
        <f t="shared" si="25"/>
        <v>0</v>
      </c>
      <c r="J50" s="794">
        <f>IF(OR(Fiscalitat!$H$21="a",Fiscalitat!$H$21="B",Fiscalitat!$H$21="D"),((1+$F$4)*I50*D$4),I50*$D$4)</f>
        <v>0</v>
      </c>
      <c r="K50" s="794">
        <f>IF(OR(Fiscalitat!$H$21="a",Fiscalitat!$H$21="B",Fiscalitat!$H$21="D"),0,J50*$F$4)</f>
        <v>0</v>
      </c>
      <c r="L50" s="794">
        <f>IF(OR(Fiscalitat!$H$21="B",Fiscalitat!$H$21="D"),J50*(1-$E$4)+I50*$D$4*$K$4*(1-$E$4),J50*(1-$E$4))</f>
        <v>0</v>
      </c>
      <c r="M50" s="794">
        <f>IF(OR(Fiscalitat!$H$21="a",Fiscalitat!$H$21="B",Fiscalitat!$H$21="D"),0,L50*$I$4)</f>
        <v>0</v>
      </c>
      <c r="N50" s="1020">
        <f>'Introducció dades'!E194</f>
        <v>0</v>
      </c>
      <c r="O50" s="1021">
        <f t="shared" si="36"/>
        <v>0</v>
      </c>
      <c r="P50" s="1022">
        <f>IF(OR(Fiscalitat!$H$21="a",Fiscalitat!$H$21="B",Fiscalitat!$H$21="D"),((1+$F$5)*O50*D$5),O50*$D$5)</f>
        <v>0</v>
      </c>
      <c r="Q50" s="1022">
        <f>IF(OR(Fiscalitat!$H$21="a",Fiscalitat!$H$21="B",Fiscalitat!$H$21="D"),0,P50*$F$5)</f>
        <v>0</v>
      </c>
      <c r="R50" s="1022">
        <f>IF(OR(Fiscalitat!$H$21="B",Fiscalitat!$H$21="D"),P50*(1-$E$5)+O50*$D$5*$K$5*(1-$E$5),P50*(1-$E$5))</f>
        <v>0</v>
      </c>
      <c r="S50" s="1022">
        <f>IF(OR(Fiscalitat!$H$21="a",Fiscalitat!$H$21="B",Fiscalitat!$H$21="D"),0,R50*$I$5)</f>
        <v>0</v>
      </c>
      <c r="T50" s="1023">
        <f>'Introducció dades'!F194</f>
        <v>0</v>
      </c>
      <c r="U50" s="1024">
        <f t="shared" si="37"/>
        <v>0</v>
      </c>
      <c r="V50" s="794">
        <f>IF(OR(Fiscalitat!$H$21="a",Fiscalitat!$H$21="B",Fiscalitat!$H$21="D"),((1+$F$6)*U50*D$6),U50*$D$6)</f>
        <v>0</v>
      </c>
      <c r="W50" s="794">
        <f>IF(OR(Fiscalitat!$H$21="a",Fiscalitat!$H$21="B",Fiscalitat!$H$21="D"),0,V50*$F$6)</f>
        <v>0</v>
      </c>
      <c r="X50" s="794">
        <f>IF(OR(Fiscalitat!$H$21="B",Fiscalitat!$H$21="D"),V50*(1-$E$6)+U50*$D$6*$K$6*(1-$E$6),V50*(1-$E$6))</f>
        <v>0</v>
      </c>
      <c r="Y50" s="794">
        <f>IF(OR(Fiscalitat!$H$21="a",Fiscalitat!$H$21="B",Fiscalitat!$H$21="D"),0,X50*$I$6)</f>
        <v>0</v>
      </c>
      <c r="Z50" s="1020">
        <f>'Introducció dades'!G194</f>
        <v>0</v>
      </c>
      <c r="AA50" s="1021">
        <f t="shared" si="26"/>
        <v>0</v>
      </c>
      <c r="AB50" s="1022">
        <f>IF(OR(Fiscalitat!$H$21="a",Fiscalitat!$H$21="B",Fiscalitat!$H$21="D"),((1+$F$7)*AA50*D$7),AA50*$D$7)</f>
        <v>0</v>
      </c>
      <c r="AC50" s="1022">
        <f>IF(OR(Fiscalitat!$H$21="a",Fiscalitat!$H$21="B",Fiscalitat!$H$21="D"),0,AB50*$F$7)</f>
        <v>0</v>
      </c>
      <c r="AD50" s="1022">
        <f>IF(OR(Fiscalitat!$H$21="B",Fiscalitat!$H$21="D"),AB50*(1-$E$7)+AA50*$D$7*$K$7*(1-$E$7),AB50*(1-$E$7))</f>
        <v>0</v>
      </c>
      <c r="AE50" s="1022">
        <f>IF(OR(Fiscalitat!$H$21="a",Fiscalitat!$H$21="B",Fiscalitat!$H$21="D"),0,AD50*$I$7)</f>
        <v>0</v>
      </c>
      <c r="AF50" s="1023">
        <f>'Introducció dades'!H194</f>
        <v>0</v>
      </c>
      <c r="AG50" s="1024">
        <f t="shared" si="27"/>
        <v>0</v>
      </c>
      <c r="AH50" s="794">
        <f>IF(OR(Fiscalitat!$H$21="a",Fiscalitat!$H$21="B",Fiscalitat!$H$21="D"),((1+$F$8)*AG50*D$8),AG50*$D$8)</f>
        <v>0</v>
      </c>
      <c r="AI50" s="794">
        <f>IF(OR(Fiscalitat!$H$21="a",Fiscalitat!$H$21="B",Fiscalitat!$H$21="D"),0,AH50*$F$8)</f>
        <v>0</v>
      </c>
      <c r="AJ50" s="794">
        <f>IF(OR(Fiscalitat!$H$21="B",Fiscalitat!$H$21="D"),AH50*(1-$E$8)+AG50*$D$8*$K$8*(1-$E$8),AH50*(1-$E$8))</f>
        <v>0</v>
      </c>
      <c r="AK50" s="794">
        <f>IF(OR(Fiscalitat!$H$21="a",Fiscalitat!$H$21="B",Fiscalitat!$H$21="D"),0,AJ50*$I$8)</f>
        <v>0</v>
      </c>
      <c r="AL50" s="1020">
        <f>'Introducció dades'!I194</f>
        <v>0</v>
      </c>
      <c r="AM50" s="1021">
        <f t="shared" si="28"/>
        <v>0</v>
      </c>
      <c r="AN50" s="1022">
        <f>IF(OR(Fiscalitat!$H$21="a",Fiscalitat!$H$21="B",Fiscalitat!$H$21="D"),((1+$F$9)*AM50*D$9),AM50*$D$9)</f>
        <v>0</v>
      </c>
      <c r="AO50" s="1022">
        <f>IF(OR(Fiscalitat!$H$21="a",Fiscalitat!$H$21="B",Fiscalitat!$H$21="D"),0,AN50*$F$9)</f>
        <v>0</v>
      </c>
      <c r="AP50" s="1022">
        <f>IF(OR(Fiscalitat!$H$21="B",Fiscalitat!$H$21="D"),AN50*(1-$E$9)+AM50*$D$9*$K$9*(1-$E$9),AN50*(1-$E$9))</f>
        <v>0</v>
      </c>
      <c r="AQ50" s="1022">
        <f>IF(OR(Fiscalitat!$H$21="a",Fiscalitat!$H$21="B",Fiscalitat!$H$21="D"),0,AP50*$I$9)</f>
        <v>0</v>
      </c>
      <c r="AR50" s="1023">
        <f>'Introducció dades'!J194</f>
        <v>0</v>
      </c>
      <c r="AS50" s="1024">
        <f t="shared" si="29"/>
        <v>0</v>
      </c>
      <c r="AT50" s="794">
        <f>IF(OR(Fiscalitat!$H$21="a",Fiscalitat!$H$21="B",Fiscalitat!$H$21="D"),((1+$F$10)*AS50*D$10),AS50*$D$10)</f>
        <v>0</v>
      </c>
      <c r="AU50" s="794">
        <f>IF(OR(Fiscalitat!$H$21="a",Fiscalitat!$H$21="B",Fiscalitat!$H$21="D"),0,AT50*$F$10)</f>
        <v>0</v>
      </c>
      <c r="AV50" s="794">
        <f>IF(OR(Fiscalitat!$H$21="B",Fiscalitat!$H$21="D"),AT50*(1-$E$10)+AS50*$D$10*$K$10*(1-$E$10),AT50*(1-$E$10))</f>
        <v>0</v>
      </c>
      <c r="AW50" s="794">
        <f>IF(OR(Fiscalitat!$H$21="a",Fiscalitat!$H$21="B",Fiscalitat!$H$21="D"),0,AV50*$I$10)</f>
        <v>0</v>
      </c>
      <c r="AX50" s="1020">
        <f>'Introducció dades'!K194</f>
        <v>0</v>
      </c>
      <c r="AY50" s="1021">
        <f t="shared" si="30"/>
        <v>0</v>
      </c>
      <c r="AZ50" s="1022">
        <f>IF(OR(Fiscalitat!$H$21="a",Fiscalitat!$H$21="B",Fiscalitat!$H$21="D"),((1+$F$11)*AY50*D$11),AY50*$D$11)</f>
        <v>0</v>
      </c>
      <c r="BA50" s="1022">
        <f>IF(OR(Fiscalitat!$H$21="a",Fiscalitat!$H$21="B",Fiscalitat!$H$21="D"),0,AZ50*$F$11)</f>
        <v>0</v>
      </c>
      <c r="BB50" s="1022">
        <f>IF(OR(Fiscalitat!$H$21="B",Fiscalitat!$H$21="D"),AZ50*(1-$E$11)+AY50*$D$11*$K$11*(1-$E$11),AZ50*(1-$E$11))</f>
        <v>0</v>
      </c>
      <c r="BC50" s="1022">
        <f>IF(OR(Fiscalitat!$H$21="a",Fiscalitat!$H$21="B",Fiscalitat!$H$21="D"),0,BB50*$I$11)</f>
        <v>0</v>
      </c>
      <c r="BD50" s="1023">
        <f>'Introducció dades'!L194</f>
        <v>0</v>
      </c>
      <c r="BE50" s="1024">
        <f t="shared" si="31"/>
        <v>0</v>
      </c>
      <c r="BF50" s="794">
        <f>IF(OR(Fiscalitat!$H$21="a",Fiscalitat!$H$21="B",Fiscalitat!$H$21="D"),((1+$F$12)*BE50*D$12),BE50*$D$12)</f>
        <v>0</v>
      </c>
      <c r="BG50" s="794">
        <f>IF(OR(Fiscalitat!$H$21="a",Fiscalitat!$H$21="B",Fiscalitat!$H$21="D"),0,BF50*$F$12)</f>
        <v>0</v>
      </c>
      <c r="BH50" s="794">
        <f>IF(OR(Fiscalitat!$H$21="B",Fiscalitat!$H$21="D"),BF50*(1-$E$12)+BE50*$D$12*$K$12*(1-$E$12),BF50*(1-$E$12))</f>
        <v>0</v>
      </c>
      <c r="BI50" s="794">
        <f>IF(OR(Fiscalitat!$H$21="a",Fiscalitat!$H$21="B",Fiscalitat!$H$21="D"),0,BH50*$I$12)</f>
        <v>0</v>
      </c>
      <c r="BJ50" s="1020">
        <f>'Introducció dades'!M194</f>
        <v>0</v>
      </c>
      <c r="BK50" s="1021">
        <f t="shared" si="32"/>
        <v>0</v>
      </c>
      <c r="BL50" s="1022">
        <f>IF(OR(Fiscalitat!$H$21="a",Fiscalitat!$H$21="B",Fiscalitat!$H$21="D"),((1+$F$13)*BK50*D$13),BK50*$D$13)</f>
        <v>0</v>
      </c>
      <c r="BM50" s="1022">
        <f>IF(OR(Fiscalitat!$H$21="a",Fiscalitat!$H$21="B",Fiscalitat!$H$21="D"),0,BL50*$F$13)</f>
        <v>0</v>
      </c>
      <c r="BN50" s="1022">
        <f>IF(OR(Fiscalitat!$H$21="B",Fiscalitat!$H$21="D"),BL50*(1-$E$13)+BK50*$D$13*$K$13*(1-$E$13),BL50*(1-$E$13))</f>
        <v>0</v>
      </c>
      <c r="BO50" s="1022">
        <f>IF(OR(Fiscalitat!$H$21="a",Fiscalitat!$H$21="B",Fiscalitat!$H$21="D"),0,BN50*$I$13)</f>
        <v>0</v>
      </c>
      <c r="BP50" s="1023">
        <f>'Introducció dades'!N194</f>
        <v>0</v>
      </c>
      <c r="BQ50" s="1024">
        <f t="shared" si="33"/>
        <v>0</v>
      </c>
      <c r="BR50" s="794">
        <f>IF(OR(Fiscalitat!$H$21="a",Fiscalitat!$H$21="B",Fiscalitat!$H$21="D"),((1+$F$14)*BQ50*D$14),BQ50*$D$14)</f>
        <v>0</v>
      </c>
      <c r="BS50" s="794">
        <f>IF(OR(Fiscalitat!$H$21="a",Fiscalitat!$H$21="B",Fiscalitat!$H$21="D"),0,BR50*$F$14)</f>
        <v>0</v>
      </c>
      <c r="BT50" s="794">
        <f>IF(OR(Fiscalitat!$H$21="B",Fiscalitat!$H$21="D"),BR50*(1-$E$14)+BQ50*$D$14*$K$14*(1-$E$14),BR50*(1-$E$14))</f>
        <v>0</v>
      </c>
      <c r="BU50" s="794">
        <f>IF(OR(Fiscalitat!$H$21="a",Fiscalitat!$H$21="B",Fiscalitat!$H$21="D"),0,BT50*$I$14)</f>
        <v>0</v>
      </c>
      <c r="BV50" s="25">
        <f t="shared" si="38"/>
        <v>0</v>
      </c>
      <c r="BW50" s="1026">
        <f t="shared" si="39"/>
        <v>0</v>
      </c>
      <c r="BX50" s="1026">
        <f t="shared" si="40"/>
        <v>0</v>
      </c>
      <c r="BY50" s="1026">
        <f t="shared" si="41"/>
        <v>0</v>
      </c>
      <c r="BZ50" s="1026">
        <f t="shared" si="34"/>
        <v>0</v>
      </c>
      <c r="CO50" s="1029">
        <f t="shared" si="42"/>
        <v>0</v>
      </c>
    </row>
    <row r="51" spans="1:93" ht="13" x14ac:dyDescent="0.3">
      <c r="A51" s="1019" t="str">
        <f t="shared" si="35"/>
        <v>OCTUBRE</v>
      </c>
      <c r="B51" s="1020">
        <f>'Introducció dades'!C195</f>
        <v>0</v>
      </c>
      <c r="C51" s="1021">
        <f t="shared" si="24"/>
        <v>0</v>
      </c>
      <c r="D51" s="1022">
        <f>IF(OR(Fiscalitat!$H$21="a",Fiscalitat!$H$21="B",Fiscalitat!$H$21="D"),((1+$F$3)*C51*D$3),C51*$D$3)</f>
        <v>0</v>
      </c>
      <c r="E51" s="1022">
        <f>IF(OR(Fiscalitat!$H$21="a",Fiscalitat!$H$21="B",Fiscalitat!$H$21="D"),0,D51*$F$3)</f>
        <v>0</v>
      </c>
      <c r="F51" s="1022">
        <f>IF(OR(Fiscalitat!$H$21="B",Fiscalitat!$H$21="D"),D51*(1-$E$3)+C51*$D$3*$K$3*(1-$E$3),D51*(1-$E$3))</f>
        <v>0</v>
      </c>
      <c r="G51" s="1022">
        <f>IF(OR(Fiscalitat!$H$21="a",Fiscalitat!$H$21="B",Fiscalitat!$H$21="D"),0,F51*$I$3)</f>
        <v>0</v>
      </c>
      <c r="H51" s="1023">
        <f>'Introducció dades'!D195</f>
        <v>0</v>
      </c>
      <c r="I51" s="1024">
        <f t="shared" si="25"/>
        <v>0</v>
      </c>
      <c r="J51" s="794">
        <f>IF(OR(Fiscalitat!$H$21="a",Fiscalitat!$H$21="B",Fiscalitat!$H$21="D"),((1+$F$4)*I51*D$4),I51*$D$4)</f>
        <v>0</v>
      </c>
      <c r="K51" s="794">
        <f>IF(OR(Fiscalitat!$H$21="a",Fiscalitat!$H$21="B",Fiscalitat!$H$21="D"),0,J51*$F$4)</f>
        <v>0</v>
      </c>
      <c r="L51" s="794">
        <f>IF(OR(Fiscalitat!$H$21="B",Fiscalitat!$H$21="D"),J51*(1-$E$4)+I51*$D$4*$K$4*(1-$E$4),J51*(1-$E$4))</f>
        <v>0</v>
      </c>
      <c r="M51" s="794">
        <f>IF(OR(Fiscalitat!$H$21="a",Fiscalitat!$H$21="B",Fiscalitat!$H$21="D"),0,L51*$I$4)</f>
        <v>0</v>
      </c>
      <c r="N51" s="1020">
        <f>'Introducció dades'!E195</f>
        <v>0</v>
      </c>
      <c r="O51" s="1021">
        <f t="shared" si="36"/>
        <v>0</v>
      </c>
      <c r="P51" s="1022">
        <f>IF(OR(Fiscalitat!$H$21="a",Fiscalitat!$H$21="B",Fiscalitat!$H$21="D"),((1+$F$5)*O51*D$5),O51*$D$5)</f>
        <v>0</v>
      </c>
      <c r="Q51" s="1022">
        <f>IF(OR(Fiscalitat!$H$21="a",Fiscalitat!$H$21="B",Fiscalitat!$H$21="D"),0,P51*$F$5)</f>
        <v>0</v>
      </c>
      <c r="R51" s="1022">
        <f>IF(OR(Fiscalitat!$H$21="B",Fiscalitat!$H$21="D"),P51*(1-$E$5)+O51*$D$5*$K$5*(1-$E$5),P51*(1-$E$5))</f>
        <v>0</v>
      </c>
      <c r="S51" s="1022">
        <f>IF(OR(Fiscalitat!$H$21="a",Fiscalitat!$H$21="B",Fiscalitat!$H$21="D"),0,R51*$I$5)</f>
        <v>0</v>
      </c>
      <c r="T51" s="1023">
        <f>'Introducció dades'!F195</f>
        <v>0</v>
      </c>
      <c r="U51" s="1024">
        <f t="shared" si="37"/>
        <v>0</v>
      </c>
      <c r="V51" s="794">
        <f>IF(OR(Fiscalitat!$H$21="a",Fiscalitat!$H$21="B",Fiscalitat!$H$21="D"),((1+$F$6)*U51*D$6),U51*$D$6)</f>
        <v>0</v>
      </c>
      <c r="W51" s="794">
        <f>IF(OR(Fiscalitat!$H$21="a",Fiscalitat!$H$21="B",Fiscalitat!$H$21="D"),0,V51*$F$6)</f>
        <v>0</v>
      </c>
      <c r="X51" s="794">
        <f>IF(OR(Fiscalitat!$H$21="B",Fiscalitat!$H$21="D"),V51*(1-$E$6)+U51*$D$6*$K$6*(1-$E$6),V51*(1-$E$6))</f>
        <v>0</v>
      </c>
      <c r="Y51" s="794">
        <f>IF(OR(Fiscalitat!$H$21="a",Fiscalitat!$H$21="B",Fiscalitat!$H$21="D"),0,X51*$I$6)</f>
        <v>0</v>
      </c>
      <c r="Z51" s="1020">
        <f>'Introducció dades'!G195</f>
        <v>0</v>
      </c>
      <c r="AA51" s="1021">
        <f t="shared" si="26"/>
        <v>0</v>
      </c>
      <c r="AB51" s="1022">
        <f>IF(OR(Fiscalitat!$H$21="a",Fiscalitat!$H$21="B",Fiscalitat!$H$21="D"),((1+$F$7)*AA51*D$7),AA51*$D$7)</f>
        <v>0</v>
      </c>
      <c r="AC51" s="1022">
        <f>IF(OR(Fiscalitat!$H$21="a",Fiscalitat!$H$21="B",Fiscalitat!$H$21="D"),0,AB51*$F$7)</f>
        <v>0</v>
      </c>
      <c r="AD51" s="1022">
        <f>IF(OR(Fiscalitat!$H$21="B",Fiscalitat!$H$21="D"),AB51*(1-$E$7)+AA51*$D$7*$K$7*(1-$E$7),AB51*(1-$E$7))</f>
        <v>0</v>
      </c>
      <c r="AE51" s="1022">
        <f>IF(OR(Fiscalitat!$H$21="a",Fiscalitat!$H$21="B",Fiscalitat!$H$21="D"),0,AD51*$I$7)</f>
        <v>0</v>
      </c>
      <c r="AF51" s="1023">
        <f>'Introducció dades'!H195</f>
        <v>0</v>
      </c>
      <c r="AG51" s="1024">
        <f t="shared" si="27"/>
        <v>0</v>
      </c>
      <c r="AH51" s="794">
        <f>IF(OR(Fiscalitat!$H$21="a",Fiscalitat!$H$21="B",Fiscalitat!$H$21="D"),((1+$F$8)*AG51*D$8),AG51*$D$8)</f>
        <v>0</v>
      </c>
      <c r="AI51" s="794">
        <f>IF(OR(Fiscalitat!$H$21="a",Fiscalitat!$H$21="B",Fiscalitat!$H$21="D"),0,AH51*$F$8)</f>
        <v>0</v>
      </c>
      <c r="AJ51" s="794">
        <f>IF(OR(Fiscalitat!$H$21="B",Fiscalitat!$H$21="D"),AH51*(1-$E$8)+AG51*$D$8*$K$8*(1-$E$8),AH51*(1-$E$8))</f>
        <v>0</v>
      </c>
      <c r="AK51" s="794">
        <f>IF(OR(Fiscalitat!$H$21="a",Fiscalitat!$H$21="B",Fiscalitat!$H$21="D"),0,AJ51*$I$8)</f>
        <v>0</v>
      </c>
      <c r="AL51" s="1020">
        <f>'Introducció dades'!I195</f>
        <v>0</v>
      </c>
      <c r="AM51" s="1021">
        <f t="shared" si="28"/>
        <v>0</v>
      </c>
      <c r="AN51" s="1022">
        <f>IF(OR(Fiscalitat!$H$21="a",Fiscalitat!$H$21="B",Fiscalitat!$H$21="D"),((1+$F$9)*AM51*D$9),AM51*$D$9)</f>
        <v>0</v>
      </c>
      <c r="AO51" s="1022">
        <f>IF(OR(Fiscalitat!$H$21="a",Fiscalitat!$H$21="B",Fiscalitat!$H$21="D"),0,AN51*$F$9)</f>
        <v>0</v>
      </c>
      <c r="AP51" s="1022">
        <f>IF(OR(Fiscalitat!$H$21="B",Fiscalitat!$H$21="D"),AN51*(1-$E$9)+AM51*$D$9*$K$9*(1-$E$9),AN51*(1-$E$9))</f>
        <v>0</v>
      </c>
      <c r="AQ51" s="1022">
        <f>IF(OR(Fiscalitat!$H$21="a",Fiscalitat!$H$21="B",Fiscalitat!$H$21="D"),0,AP51*$I$9)</f>
        <v>0</v>
      </c>
      <c r="AR51" s="1023">
        <f>'Introducció dades'!J195</f>
        <v>0</v>
      </c>
      <c r="AS51" s="1024">
        <f t="shared" si="29"/>
        <v>0</v>
      </c>
      <c r="AT51" s="794">
        <f>IF(OR(Fiscalitat!$H$21="a",Fiscalitat!$H$21="B",Fiscalitat!$H$21="D"),((1+$F$10)*AS51*D$10),AS51*$D$10)</f>
        <v>0</v>
      </c>
      <c r="AU51" s="794">
        <f>IF(OR(Fiscalitat!$H$21="a",Fiscalitat!$H$21="B",Fiscalitat!$H$21="D"),0,AT51*$F$10)</f>
        <v>0</v>
      </c>
      <c r="AV51" s="794">
        <f>IF(OR(Fiscalitat!$H$21="B",Fiscalitat!$H$21="D"),AT51*(1-$E$10)+AS51*$D$10*$K$10*(1-$E$10),AT51*(1-$E$10))</f>
        <v>0</v>
      </c>
      <c r="AW51" s="794">
        <f>IF(OR(Fiscalitat!$H$21="a",Fiscalitat!$H$21="B",Fiscalitat!$H$21="D"),0,AV51*$I$10)</f>
        <v>0</v>
      </c>
      <c r="AX51" s="1020">
        <f>'Introducció dades'!K195</f>
        <v>0</v>
      </c>
      <c r="AY51" s="1021">
        <f t="shared" si="30"/>
        <v>0</v>
      </c>
      <c r="AZ51" s="1022">
        <f>IF(OR(Fiscalitat!$H$21="a",Fiscalitat!$H$21="B",Fiscalitat!$H$21="D"),((1+$F$11)*AY51*D$11),AY51*$D$11)</f>
        <v>0</v>
      </c>
      <c r="BA51" s="1022">
        <f>IF(OR(Fiscalitat!$H$21="a",Fiscalitat!$H$21="B",Fiscalitat!$H$21="D"),0,AZ51*$F$11)</f>
        <v>0</v>
      </c>
      <c r="BB51" s="1022">
        <f>IF(OR(Fiscalitat!$H$21="B",Fiscalitat!$H$21="D"),AZ51*(1-$E$11)+AY51*$D$11*$K$11*(1-$E$11),AZ51*(1-$E$11))</f>
        <v>0</v>
      </c>
      <c r="BC51" s="1022">
        <f>IF(OR(Fiscalitat!$H$21="a",Fiscalitat!$H$21="B",Fiscalitat!$H$21="D"),0,BB51*$I$11)</f>
        <v>0</v>
      </c>
      <c r="BD51" s="1023">
        <f>'Introducció dades'!L195</f>
        <v>0</v>
      </c>
      <c r="BE51" s="1024">
        <f t="shared" si="31"/>
        <v>0</v>
      </c>
      <c r="BF51" s="794">
        <f>IF(OR(Fiscalitat!$H$21="a",Fiscalitat!$H$21="B",Fiscalitat!$H$21="D"),((1+$F$12)*BE51*D$12),BE51*$D$12)</f>
        <v>0</v>
      </c>
      <c r="BG51" s="794">
        <f>IF(OR(Fiscalitat!$H$21="a",Fiscalitat!$H$21="B",Fiscalitat!$H$21="D"),0,BF51*$F$12)</f>
        <v>0</v>
      </c>
      <c r="BH51" s="794">
        <f>IF(OR(Fiscalitat!$H$21="B",Fiscalitat!$H$21="D"),BF51*(1-$E$12)+BE51*$D$12*$K$12*(1-$E$12),BF51*(1-$E$12))</f>
        <v>0</v>
      </c>
      <c r="BI51" s="794">
        <f>IF(OR(Fiscalitat!$H$21="a",Fiscalitat!$H$21="B",Fiscalitat!$H$21="D"),0,BH51*$I$12)</f>
        <v>0</v>
      </c>
      <c r="BJ51" s="1020">
        <f>'Introducció dades'!M195</f>
        <v>0</v>
      </c>
      <c r="BK51" s="1021">
        <f t="shared" si="32"/>
        <v>0</v>
      </c>
      <c r="BL51" s="1022">
        <f>IF(OR(Fiscalitat!$H$21="a",Fiscalitat!$H$21="B",Fiscalitat!$H$21="D"),((1+$F$13)*BK51*D$13),BK51*$D$13)</f>
        <v>0</v>
      </c>
      <c r="BM51" s="1022">
        <f>IF(OR(Fiscalitat!$H$21="a",Fiscalitat!$H$21="B",Fiscalitat!$H$21="D"),0,BL51*$F$13)</f>
        <v>0</v>
      </c>
      <c r="BN51" s="1022">
        <f>IF(OR(Fiscalitat!$H$21="B",Fiscalitat!$H$21="D"),BL51*(1-$E$13)+BK51*$D$13*$K$13*(1-$E$13),BL51*(1-$E$13))</f>
        <v>0</v>
      </c>
      <c r="BO51" s="1022">
        <f>IF(OR(Fiscalitat!$H$21="a",Fiscalitat!$H$21="B",Fiscalitat!$H$21="D"),0,BN51*$I$13)</f>
        <v>0</v>
      </c>
      <c r="BP51" s="1023">
        <f>'Introducció dades'!N195</f>
        <v>0</v>
      </c>
      <c r="BQ51" s="1024">
        <f t="shared" si="33"/>
        <v>0</v>
      </c>
      <c r="BR51" s="794">
        <f>IF(OR(Fiscalitat!$H$21="a",Fiscalitat!$H$21="B",Fiscalitat!$H$21="D"),((1+$F$14)*BQ51*D$14),BQ51*$D$14)</f>
        <v>0</v>
      </c>
      <c r="BS51" s="794">
        <f>IF(OR(Fiscalitat!$H$21="a",Fiscalitat!$H$21="B",Fiscalitat!$H$21="D"),0,BR51*$F$14)</f>
        <v>0</v>
      </c>
      <c r="BT51" s="794">
        <f>IF(OR(Fiscalitat!$H$21="B",Fiscalitat!$H$21="D"),BR51*(1-$E$14)+BQ51*$D$14*$K$14*(1-$E$14),BR51*(1-$E$14))</f>
        <v>0</v>
      </c>
      <c r="BU51" s="794">
        <f>IF(OR(Fiscalitat!$H$21="a",Fiscalitat!$H$21="B",Fiscalitat!$H$21="D"),0,BT51*$I$14)</f>
        <v>0</v>
      </c>
      <c r="BV51" s="25">
        <f t="shared" si="38"/>
        <v>0</v>
      </c>
      <c r="BW51" s="1026">
        <f t="shared" si="39"/>
        <v>0</v>
      </c>
      <c r="BX51" s="1026">
        <f t="shared" si="40"/>
        <v>0</v>
      </c>
      <c r="BY51" s="1026">
        <f t="shared" si="41"/>
        <v>0</v>
      </c>
      <c r="BZ51" s="1026">
        <f t="shared" si="34"/>
        <v>0</v>
      </c>
      <c r="CO51" s="1029">
        <f t="shared" si="42"/>
        <v>0</v>
      </c>
    </row>
    <row r="52" spans="1:93" ht="13" x14ac:dyDescent="0.3">
      <c r="A52" s="1019" t="str">
        <f t="shared" si="35"/>
        <v>NOVEMBRE</v>
      </c>
      <c r="B52" s="1020">
        <f>'Introducció dades'!C196</f>
        <v>0</v>
      </c>
      <c r="C52" s="1021">
        <f t="shared" si="24"/>
        <v>0</v>
      </c>
      <c r="D52" s="1022">
        <f>IF(OR(Fiscalitat!$H$21="a",Fiscalitat!$H$21="B",Fiscalitat!$H$21="D"),((1+$F$3)*C52*D$3),C52*$D$3)</f>
        <v>0</v>
      </c>
      <c r="E52" s="1022">
        <f>IF(OR(Fiscalitat!$H$21="a",Fiscalitat!$H$21="B",Fiscalitat!$H$21="D"),0,D52*$F$3)</f>
        <v>0</v>
      </c>
      <c r="F52" s="1022">
        <f>IF(OR(Fiscalitat!$H$21="B",Fiscalitat!$H$21="D"),D52*(1-$E$3)+C52*$D$3*$K$3*(1-$E$3),D52*(1-$E$3))</f>
        <v>0</v>
      </c>
      <c r="G52" s="1022">
        <f>IF(OR(Fiscalitat!$H$21="a",Fiscalitat!$H$21="B",Fiscalitat!$H$21="D"),0,F52*$I$3)</f>
        <v>0</v>
      </c>
      <c r="H52" s="1023">
        <f>'Introducció dades'!D196</f>
        <v>0</v>
      </c>
      <c r="I52" s="1024">
        <f t="shared" si="25"/>
        <v>0</v>
      </c>
      <c r="J52" s="794">
        <f>IF(OR(Fiscalitat!$H$21="a",Fiscalitat!$H$21="B",Fiscalitat!$H$21="D"),((1+$F$4)*I52*D$4),I52*$D$4)</f>
        <v>0</v>
      </c>
      <c r="K52" s="794">
        <f>IF(OR(Fiscalitat!$H$21="a",Fiscalitat!$H$21="B",Fiscalitat!$H$21="D"),0,J52*$F$4)</f>
        <v>0</v>
      </c>
      <c r="L52" s="794">
        <f>IF(OR(Fiscalitat!$H$21="B",Fiscalitat!$H$21="D"),J52*(1-$E$4)+I52*$D$4*$K$4*(1-$E$4),J52*(1-$E$4))</f>
        <v>0</v>
      </c>
      <c r="M52" s="794">
        <f>IF(OR(Fiscalitat!$H$21="a",Fiscalitat!$H$21="B",Fiscalitat!$H$21="D"),0,L52*$I$4)</f>
        <v>0</v>
      </c>
      <c r="N52" s="1020">
        <f>'Introducció dades'!E196</f>
        <v>0</v>
      </c>
      <c r="O52" s="1021">
        <f t="shared" si="36"/>
        <v>0</v>
      </c>
      <c r="P52" s="1022">
        <f>IF(OR(Fiscalitat!$H$21="a",Fiscalitat!$H$21="B",Fiscalitat!$H$21="D"),((1+$F$5)*O52*D$5),O52*$D$5)</f>
        <v>0</v>
      </c>
      <c r="Q52" s="1022">
        <f>IF(OR(Fiscalitat!$H$21="a",Fiscalitat!$H$21="B",Fiscalitat!$H$21="D"),0,P52*$F$5)</f>
        <v>0</v>
      </c>
      <c r="R52" s="1022">
        <f>IF(OR(Fiscalitat!$H$21="B",Fiscalitat!$H$21="D"),P52*(1-$E$5)+O52*$D$5*$K$5*(1-$E$5),P52*(1-$E$5))</f>
        <v>0</v>
      </c>
      <c r="S52" s="1022">
        <f>IF(OR(Fiscalitat!$H$21="a",Fiscalitat!$H$21="B",Fiscalitat!$H$21="D"),0,R52*$I$5)</f>
        <v>0</v>
      </c>
      <c r="T52" s="1023">
        <f>'Introducció dades'!F196</f>
        <v>0</v>
      </c>
      <c r="U52" s="1024">
        <f t="shared" si="37"/>
        <v>0</v>
      </c>
      <c r="V52" s="794">
        <f>IF(OR(Fiscalitat!$H$21="a",Fiscalitat!$H$21="B",Fiscalitat!$H$21="D"),((1+$F$6)*U52*D$6),U52*$D$6)</f>
        <v>0</v>
      </c>
      <c r="W52" s="794">
        <f>IF(OR(Fiscalitat!$H$21="a",Fiscalitat!$H$21="B",Fiscalitat!$H$21="D"),0,V52*$F$6)</f>
        <v>0</v>
      </c>
      <c r="X52" s="794">
        <f>IF(OR(Fiscalitat!$H$21="B",Fiscalitat!$H$21="D"),V52*(1-$E$6)+U52*$D$6*$K$6*(1-$E$6),V52*(1-$E$6))</f>
        <v>0</v>
      </c>
      <c r="Y52" s="794">
        <f>IF(OR(Fiscalitat!$H$21="a",Fiscalitat!$H$21="B",Fiscalitat!$H$21="D"),0,X52*$I$6)</f>
        <v>0</v>
      </c>
      <c r="Z52" s="1020">
        <f>'Introducció dades'!G196</f>
        <v>0</v>
      </c>
      <c r="AA52" s="1021">
        <f t="shared" si="26"/>
        <v>0</v>
      </c>
      <c r="AB52" s="1022">
        <f>IF(OR(Fiscalitat!$H$21="a",Fiscalitat!$H$21="B",Fiscalitat!$H$21="D"),((1+$F$7)*AA52*D$7),AA52*$D$7)</f>
        <v>0</v>
      </c>
      <c r="AC52" s="1022">
        <f>IF(OR(Fiscalitat!$H$21="a",Fiscalitat!$H$21="B",Fiscalitat!$H$21="D"),0,AB52*$F$7)</f>
        <v>0</v>
      </c>
      <c r="AD52" s="1022">
        <f>IF(OR(Fiscalitat!$H$21="B",Fiscalitat!$H$21="D"),AB52*(1-$E$7)+AA52*$D$7*$K$7*(1-$E$7),AB52*(1-$E$7))</f>
        <v>0</v>
      </c>
      <c r="AE52" s="1022">
        <f>IF(OR(Fiscalitat!$H$21="a",Fiscalitat!$H$21="B",Fiscalitat!$H$21="D"),0,AD52*$I$7)</f>
        <v>0</v>
      </c>
      <c r="AF52" s="1023">
        <f>'Introducció dades'!H196</f>
        <v>0</v>
      </c>
      <c r="AG52" s="1024">
        <f t="shared" si="27"/>
        <v>0</v>
      </c>
      <c r="AH52" s="794">
        <f>IF(OR(Fiscalitat!$H$21="a",Fiscalitat!$H$21="B",Fiscalitat!$H$21="D"),((1+$F$8)*AG52*D$8),AG52*$D$8)</f>
        <v>0</v>
      </c>
      <c r="AI52" s="794">
        <f>IF(OR(Fiscalitat!$H$21="a",Fiscalitat!$H$21="B",Fiscalitat!$H$21="D"),0,AH52*$F$8)</f>
        <v>0</v>
      </c>
      <c r="AJ52" s="794">
        <f>IF(OR(Fiscalitat!$H$21="B",Fiscalitat!$H$21="D"),AH52*(1-$E$8)+AG52*$D$8*$K$8*(1-$E$8),AH52*(1-$E$8))</f>
        <v>0</v>
      </c>
      <c r="AK52" s="794">
        <f>IF(OR(Fiscalitat!$H$21="a",Fiscalitat!$H$21="B",Fiscalitat!$H$21="D"),0,AJ52*$I$8)</f>
        <v>0</v>
      </c>
      <c r="AL52" s="1020">
        <f>'Introducció dades'!I196</f>
        <v>0</v>
      </c>
      <c r="AM52" s="1021">
        <f t="shared" si="28"/>
        <v>0</v>
      </c>
      <c r="AN52" s="1022">
        <f>IF(OR(Fiscalitat!$H$21="a",Fiscalitat!$H$21="B",Fiscalitat!$H$21="D"),((1+$F$9)*AM52*D$9),AM52*$D$9)</f>
        <v>0</v>
      </c>
      <c r="AO52" s="1022">
        <f>IF(OR(Fiscalitat!$H$21="a",Fiscalitat!$H$21="B",Fiscalitat!$H$21="D"),0,AN52*$F$9)</f>
        <v>0</v>
      </c>
      <c r="AP52" s="1022">
        <f>IF(OR(Fiscalitat!$H$21="B",Fiscalitat!$H$21="D"),AN52*(1-$E$9)+AM52*$D$9*$K$9*(1-$E$9),AN52*(1-$E$9))</f>
        <v>0</v>
      </c>
      <c r="AQ52" s="1022">
        <f>IF(OR(Fiscalitat!$H$21="a",Fiscalitat!$H$21="B",Fiscalitat!$H$21="D"),0,AP52*$I$9)</f>
        <v>0</v>
      </c>
      <c r="AR52" s="1023">
        <f>'Introducció dades'!J196</f>
        <v>0</v>
      </c>
      <c r="AS52" s="1024">
        <f t="shared" si="29"/>
        <v>0</v>
      </c>
      <c r="AT52" s="794">
        <f>IF(OR(Fiscalitat!$H$21="a",Fiscalitat!$H$21="B",Fiscalitat!$H$21="D"),((1+$F$10)*AS52*D$10),AS52*$D$10)</f>
        <v>0</v>
      </c>
      <c r="AU52" s="794">
        <f>IF(OR(Fiscalitat!$H$21="a",Fiscalitat!$H$21="B",Fiscalitat!$H$21="D"),0,AT52*$F$10)</f>
        <v>0</v>
      </c>
      <c r="AV52" s="794">
        <f>IF(OR(Fiscalitat!$H$21="B",Fiscalitat!$H$21="D"),AT52*(1-$E$10)+AS52*$D$10*$K$10*(1-$E$10),AT52*(1-$E$10))</f>
        <v>0</v>
      </c>
      <c r="AW52" s="794">
        <f>IF(OR(Fiscalitat!$H$21="a",Fiscalitat!$H$21="B",Fiscalitat!$H$21="D"),0,AV52*$I$10)</f>
        <v>0</v>
      </c>
      <c r="AX52" s="1020">
        <f>'Introducció dades'!K196</f>
        <v>0</v>
      </c>
      <c r="AY52" s="1021">
        <f t="shared" si="30"/>
        <v>0</v>
      </c>
      <c r="AZ52" s="1022">
        <f>IF(OR(Fiscalitat!$H$21="a",Fiscalitat!$H$21="B",Fiscalitat!$H$21="D"),((1+$F$11)*AY52*D$11),AY52*$D$11)</f>
        <v>0</v>
      </c>
      <c r="BA52" s="1022">
        <f>IF(OR(Fiscalitat!$H$21="a",Fiscalitat!$H$21="B",Fiscalitat!$H$21="D"),0,AZ52*$F$11)</f>
        <v>0</v>
      </c>
      <c r="BB52" s="1022">
        <f>IF(OR(Fiscalitat!$H$21="B",Fiscalitat!$H$21="D"),AZ52*(1-$E$11)+AY52*$D$11*$K$11*(1-$E$11),AZ52*(1-$E$11))</f>
        <v>0</v>
      </c>
      <c r="BC52" s="1022">
        <f>IF(OR(Fiscalitat!$H$21="a",Fiscalitat!$H$21="B",Fiscalitat!$H$21="D"),0,BB52*$I$11)</f>
        <v>0</v>
      </c>
      <c r="BD52" s="1023">
        <f>'Introducció dades'!L196</f>
        <v>0</v>
      </c>
      <c r="BE52" s="1024">
        <f t="shared" si="31"/>
        <v>0</v>
      </c>
      <c r="BF52" s="794">
        <f>IF(OR(Fiscalitat!$H$21="a",Fiscalitat!$H$21="B",Fiscalitat!$H$21="D"),((1+$F$12)*BE52*D$12),BE52*$D$12)</f>
        <v>0</v>
      </c>
      <c r="BG52" s="794">
        <f>IF(OR(Fiscalitat!$H$21="a",Fiscalitat!$H$21="B",Fiscalitat!$H$21="D"),0,BF52*$F$12)</f>
        <v>0</v>
      </c>
      <c r="BH52" s="794">
        <f>IF(OR(Fiscalitat!$H$21="B",Fiscalitat!$H$21="D"),BF52*(1-$E$12)+BE52*$D$12*$K$12*(1-$E$12),BF52*(1-$E$12))</f>
        <v>0</v>
      </c>
      <c r="BI52" s="794">
        <f>IF(OR(Fiscalitat!$H$21="a",Fiscalitat!$H$21="B",Fiscalitat!$H$21="D"),0,BH52*$I$12)</f>
        <v>0</v>
      </c>
      <c r="BJ52" s="1020">
        <f>'Introducció dades'!M196</f>
        <v>0</v>
      </c>
      <c r="BK52" s="1021">
        <f t="shared" si="32"/>
        <v>0</v>
      </c>
      <c r="BL52" s="1022">
        <f>IF(OR(Fiscalitat!$H$21="a",Fiscalitat!$H$21="B",Fiscalitat!$H$21="D"),((1+$F$13)*BK52*D$13),BK52*$D$13)</f>
        <v>0</v>
      </c>
      <c r="BM52" s="1022">
        <f>IF(OR(Fiscalitat!$H$21="a",Fiscalitat!$H$21="B",Fiscalitat!$H$21="D"),0,BL52*$F$13)</f>
        <v>0</v>
      </c>
      <c r="BN52" s="1022">
        <f>IF(OR(Fiscalitat!$H$21="B",Fiscalitat!$H$21="D"),BL52*(1-$E$13)+BK52*$D$13*$K$13*(1-$E$13),BL52*(1-$E$13))</f>
        <v>0</v>
      </c>
      <c r="BO52" s="1022">
        <f>IF(OR(Fiscalitat!$H$21="a",Fiscalitat!$H$21="B",Fiscalitat!$H$21="D"),0,BN52*$I$13)</f>
        <v>0</v>
      </c>
      <c r="BP52" s="1023">
        <f>'Introducció dades'!N196</f>
        <v>0</v>
      </c>
      <c r="BQ52" s="1024">
        <f t="shared" si="33"/>
        <v>0</v>
      </c>
      <c r="BR52" s="794">
        <f>IF(OR(Fiscalitat!$H$21="a",Fiscalitat!$H$21="B",Fiscalitat!$H$21="D"),((1+$F$14)*BQ52*D$14),BQ52*$D$14)</f>
        <v>0</v>
      </c>
      <c r="BS52" s="794">
        <f>IF(OR(Fiscalitat!$H$21="a",Fiscalitat!$H$21="B",Fiscalitat!$H$21="D"),0,BR52*$F$14)</f>
        <v>0</v>
      </c>
      <c r="BT52" s="794">
        <f>IF(OR(Fiscalitat!$H$21="B",Fiscalitat!$H$21="D"),BR52*(1-$E$14)+BQ52*$D$14*$K$14*(1-$E$14),BR52*(1-$E$14))</f>
        <v>0</v>
      </c>
      <c r="BU52" s="794">
        <f>IF(OR(Fiscalitat!$H$21="a",Fiscalitat!$H$21="B",Fiscalitat!$H$21="D"),0,BT52*$I$14)</f>
        <v>0</v>
      </c>
      <c r="BV52" s="25">
        <f t="shared" si="38"/>
        <v>0</v>
      </c>
      <c r="BW52" s="1026">
        <f t="shared" si="39"/>
        <v>0</v>
      </c>
      <c r="BX52" s="1026">
        <f t="shared" si="40"/>
        <v>0</v>
      </c>
      <c r="BY52" s="1026">
        <f t="shared" si="41"/>
        <v>0</v>
      </c>
      <c r="BZ52" s="1026">
        <f t="shared" si="34"/>
        <v>0</v>
      </c>
      <c r="CO52" s="1029">
        <f t="shared" si="42"/>
        <v>0</v>
      </c>
    </row>
    <row r="53" spans="1:93" ht="13" x14ac:dyDescent="0.3">
      <c r="A53" s="1019" t="str">
        <f t="shared" si="35"/>
        <v>DESEMBRE</v>
      </c>
      <c r="B53" s="1020">
        <f>'Introducció dades'!C197</f>
        <v>0</v>
      </c>
      <c r="C53" s="1021">
        <f t="shared" si="24"/>
        <v>0</v>
      </c>
      <c r="D53" s="1022">
        <f>IF(OR(Fiscalitat!$H$21="a",Fiscalitat!$H$21="B",Fiscalitat!$H$21="D"),((1+$F$3)*C53*D$3),C53*$D$3)</f>
        <v>0</v>
      </c>
      <c r="E53" s="1022">
        <f>IF(OR(Fiscalitat!$H$21="a",Fiscalitat!$H$21="B",Fiscalitat!$H$21="D"),0,D53*$F$3)</f>
        <v>0</v>
      </c>
      <c r="F53" s="1022">
        <f>IF(OR(Fiscalitat!$H$21="B",Fiscalitat!$H$21="D"),D53*(1-$E$3)+C53*$D$3*$K$3*(1-$E$3),D53*(1-$E$3))</f>
        <v>0</v>
      </c>
      <c r="G53" s="1022">
        <f>IF(OR(Fiscalitat!$H$21="a",Fiscalitat!$H$21="B",Fiscalitat!$H$21="D"),0,F53*$I$3)</f>
        <v>0</v>
      </c>
      <c r="H53" s="1023">
        <f>'Introducció dades'!D197</f>
        <v>0</v>
      </c>
      <c r="I53" s="1024">
        <f t="shared" si="25"/>
        <v>0</v>
      </c>
      <c r="J53" s="794">
        <f>IF(OR(Fiscalitat!$H$21="a",Fiscalitat!$H$21="B",Fiscalitat!$H$21="D"),((1+$F$4)*I53*D$4),I53*$D$4)</f>
        <v>0</v>
      </c>
      <c r="K53" s="794">
        <f>IF(OR(Fiscalitat!$H$21="a",Fiscalitat!$H$21="B",Fiscalitat!$H$21="D"),0,J53*$F$4)</f>
        <v>0</v>
      </c>
      <c r="L53" s="794">
        <f>IF(OR(Fiscalitat!$H$21="B",Fiscalitat!$H$21="D"),J53*(1-$E$4)+I53*$D$4*$K$4*(1-$E$4),J53*(1-$E$4))</f>
        <v>0</v>
      </c>
      <c r="M53" s="794">
        <f>IF(OR(Fiscalitat!$H$21="a",Fiscalitat!$H$21="B",Fiscalitat!$H$21="D"),0,L53*$I$4)</f>
        <v>0</v>
      </c>
      <c r="N53" s="1020">
        <f>'Introducció dades'!E197</f>
        <v>0</v>
      </c>
      <c r="O53" s="1021">
        <f t="shared" si="36"/>
        <v>0</v>
      </c>
      <c r="P53" s="1022">
        <f>IF(OR(Fiscalitat!$H$21="a",Fiscalitat!$H$21="B",Fiscalitat!$H$21="D"),((1+$F$5)*O53*D$5),O53*$D$5)</f>
        <v>0</v>
      </c>
      <c r="Q53" s="1022">
        <f>IF(OR(Fiscalitat!$H$21="a",Fiscalitat!$H$21="B",Fiscalitat!$H$21="D"),0,P53*$F$5)</f>
        <v>0</v>
      </c>
      <c r="R53" s="1022">
        <f>IF(OR(Fiscalitat!$H$21="B",Fiscalitat!$H$21="D"),P53*(1-$E$5)+O53*$D$5*$K$5*(1-$E$5),P53*(1-$E$5))</f>
        <v>0</v>
      </c>
      <c r="S53" s="1022">
        <f>IF(OR(Fiscalitat!$H$21="a",Fiscalitat!$H$21="B",Fiscalitat!$H$21="D"),0,R53*$I$5)</f>
        <v>0</v>
      </c>
      <c r="T53" s="1023">
        <f>'Introducció dades'!F197</f>
        <v>0</v>
      </c>
      <c r="U53" s="1024">
        <f t="shared" si="37"/>
        <v>0</v>
      </c>
      <c r="V53" s="794">
        <f>IF(OR(Fiscalitat!$H$21="a",Fiscalitat!$H$21="B",Fiscalitat!$H$21="D"),((1+$F$6)*U53*D$6),U53*$D$6)</f>
        <v>0</v>
      </c>
      <c r="W53" s="794">
        <f>IF(OR(Fiscalitat!$H$21="a",Fiscalitat!$H$21="B",Fiscalitat!$H$21="D"),0,V53*$F$6)</f>
        <v>0</v>
      </c>
      <c r="X53" s="794">
        <f>IF(OR(Fiscalitat!$H$21="B",Fiscalitat!$H$21="D"),V53*(1-$E$6)+U53*$D$6*$K$6*(1-$E$6),V53*(1-$E$6))</f>
        <v>0</v>
      </c>
      <c r="Y53" s="794">
        <f>IF(OR(Fiscalitat!$H$21="a",Fiscalitat!$H$21="B",Fiscalitat!$H$21="D"),0,X53*$I$6)</f>
        <v>0</v>
      </c>
      <c r="Z53" s="1020">
        <f>'Introducció dades'!G197</f>
        <v>0</v>
      </c>
      <c r="AA53" s="1021">
        <f t="shared" si="26"/>
        <v>0</v>
      </c>
      <c r="AB53" s="1022">
        <f>IF(OR(Fiscalitat!$H$21="a",Fiscalitat!$H$21="B",Fiscalitat!$H$21="D"),((1+$F$7)*AA53*D$7),AA53*$D$7)</f>
        <v>0</v>
      </c>
      <c r="AC53" s="1022">
        <f>IF(OR(Fiscalitat!$H$21="a",Fiscalitat!$H$21="B",Fiscalitat!$H$21="D"),0,AB53*$F$7)</f>
        <v>0</v>
      </c>
      <c r="AD53" s="1022">
        <f>IF(OR(Fiscalitat!$H$21="B",Fiscalitat!$H$21="D"),AB53*(1-$E$7)+AA53*$D$7*$K$7*(1-$E$7),AB53*(1-$E$7))</f>
        <v>0</v>
      </c>
      <c r="AE53" s="1022">
        <f>IF(OR(Fiscalitat!$H$21="a",Fiscalitat!$H$21="B",Fiscalitat!$H$21="D"),0,AD53*$I$7)</f>
        <v>0</v>
      </c>
      <c r="AF53" s="1023">
        <f>'Introducció dades'!H197</f>
        <v>0</v>
      </c>
      <c r="AG53" s="1024">
        <f t="shared" si="27"/>
        <v>0</v>
      </c>
      <c r="AH53" s="794">
        <f>IF(OR(Fiscalitat!$H$21="a",Fiscalitat!$H$21="B",Fiscalitat!$H$21="D"),((1+$F$8)*AG53*D$8),AG53*$D$8)</f>
        <v>0</v>
      </c>
      <c r="AI53" s="794">
        <f>IF(OR(Fiscalitat!$H$21="a",Fiscalitat!$H$21="B",Fiscalitat!$H$21="D"),0,AH53*$F$8)</f>
        <v>0</v>
      </c>
      <c r="AJ53" s="794">
        <f>IF(OR(Fiscalitat!$H$21="B",Fiscalitat!$H$21="D"),AH53*(1-$E$8)+AG53*$D$8*$K$8*(1-$E$8),AH53*(1-$E$8))</f>
        <v>0</v>
      </c>
      <c r="AK53" s="794">
        <f>IF(OR(Fiscalitat!$H$21="a",Fiscalitat!$H$21="B",Fiscalitat!$H$21="D"),0,AJ53*$I$8)</f>
        <v>0</v>
      </c>
      <c r="AL53" s="1020">
        <f>'Introducció dades'!I197</f>
        <v>0</v>
      </c>
      <c r="AM53" s="1021">
        <f t="shared" si="28"/>
        <v>0</v>
      </c>
      <c r="AN53" s="1022">
        <f>IF(OR(Fiscalitat!$H$21="a",Fiscalitat!$H$21="B",Fiscalitat!$H$21="D"),((1+$F$9)*AM53*D$9),AM53*$D$9)</f>
        <v>0</v>
      </c>
      <c r="AO53" s="1022">
        <f>IF(OR(Fiscalitat!$H$21="a",Fiscalitat!$H$21="B",Fiscalitat!$H$21="D"),0,AN53*$F$9)</f>
        <v>0</v>
      </c>
      <c r="AP53" s="1022">
        <f>IF(OR(Fiscalitat!$H$21="B",Fiscalitat!$H$21="D"),AN53*(1-$E$9)+AM53*$D$9*$K$9*(1-$E$9),AN53*(1-$E$9))</f>
        <v>0</v>
      </c>
      <c r="AQ53" s="1022">
        <f>IF(OR(Fiscalitat!$H$21="a",Fiscalitat!$H$21="B",Fiscalitat!$H$21="D"),0,AP53*$I$9)</f>
        <v>0</v>
      </c>
      <c r="AR53" s="1023">
        <f>'Introducció dades'!J197</f>
        <v>0</v>
      </c>
      <c r="AS53" s="1024">
        <f t="shared" si="29"/>
        <v>0</v>
      </c>
      <c r="AT53" s="794">
        <f>IF(OR(Fiscalitat!$H$21="a",Fiscalitat!$H$21="B",Fiscalitat!$H$21="D"),((1+$F$10)*AS53*D$10),AS53*$D$10)</f>
        <v>0</v>
      </c>
      <c r="AU53" s="794">
        <f>IF(OR(Fiscalitat!$H$21="a",Fiscalitat!$H$21="B",Fiscalitat!$H$21="D"),0,AT53*$F$10)</f>
        <v>0</v>
      </c>
      <c r="AV53" s="794">
        <f>IF(OR(Fiscalitat!$H$21="B",Fiscalitat!$H$21="D"),AT53*(1-$E$10)+AS53*$D$10*$K$10*(1-$E$10),AT53*(1-$E$10))</f>
        <v>0</v>
      </c>
      <c r="AW53" s="794">
        <f>IF(OR(Fiscalitat!$H$21="a",Fiscalitat!$H$21="B",Fiscalitat!$H$21="D"),0,AV53*$I$10)</f>
        <v>0</v>
      </c>
      <c r="AX53" s="1020">
        <f>'Introducció dades'!K197</f>
        <v>0</v>
      </c>
      <c r="AY53" s="1021">
        <f t="shared" si="30"/>
        <v>0</v>
      </c>
      <c r="AZ53" s="1022">
        <f>IF(OR(Fiscalitat!$H$21="a",Fiscalitat!$H$21="B",Fiscalitat!$H$21="D"),((1+$F$11)*AY53*D$11),AY53*$D$11)</f>
        <v>0</v>
      </c>
      <c r="BA53" s="1022">
        <f>IF(OR(Fiscalitat!$H$21="a",Fiscalitat!$H$21="B",Fiscalitat!$H$21="D"),0,AZ53*$F$11)</f>
        <v>0</v>
      </c>
      <c r="BB53" s="1022">
        <f>IF(OR(Fiscalitat!$H$21="B",Fiscalitat!$H$21="D"),AZ53*(1-$E$11)+AY53*$D$11*$K$11*(1-$E$11),AZ53*(1-$E$11))</f>
        <v>0</v>
      </c>
      <c r="BC53" s="1022">
        <f>IF(OR(Fiscalitat!$H$21="a",Fiscalitat!$H$21="B",Fiscalitat!$H$21="D"),0,BB53*$I$11)</f>
        <v>0</v>
      </c>
      <c r="BD53" s="1023">
        <f>'Introducció dades'!L197</f>
        <v>0</v>
      </c>
      <c r="BE53" s="1024">
        <f t="shared" si="31"/>
        <v>0</v>
      </c>
      <c r="BF53" s="794">
        <f>IF(OR(Fiscalitat!$H$21="a",Fiscalitat!$H$21="B",Fiscalitat!$H$21="D"),((1+$F$12)*BE53*D$12),BE53*$D$12)</f>
        <v>0</v>
      </c>
      <c r="BG53" s="794">
        <f>IF(OR(Fiscalitat!$H$21="a",Fiscalitat!$H$21="B",Fiscalitat!$H$21="D"),0,BF53*$F$12)</f>
        <v>0</v>
      </c>
      <c r="BH53" s="794">
        <f>IF(OR(Fiscalitat!$H$21="B",Fiscalitat!$H$21="D"),BF53*(1-$E$12)+BE53*$D$12*$K$12*(1-$E$12),BF53*(1-$E$12))</f>
        <v>0</v>
      </c>
      <c r="BI53" s="794">
        <f>IF(OR(Fiscalitat!$H$21="a",Fiscalitat!$H$21="B",Fiscalitat!$H$21="D"),0,BH53*$I$12)</f>
        <v>0</v>
      </c>
      <c r="BJ53" s="1020">
        <f>'Introducció dades'!M197</f>
        <v>0</v>
      </c>
      <c r="BK53" s="1021">
        <f t="shared" si="32"/>
        <v>0</v>
      </c>
      <c r="BL53" s="1022">
        <f>IF(OR(Fiscalitat!$H$21="a",Fiscalitat!$H$21="B",Fiscalitat!$H$21="D"),((1+$F$13)*BK53*D$13),BK53*$D$13)</f>
        <v>0</v>
      </c>
      <c r="BM53" s="1022">
        <f>IF(OR(Fiscalitat!$H$21="a",Fiscalitat!$H$21="B",Fiscalitat!$H$21="D"),0,BL53*$F$13)</f>
        <v>0</v>
      </c>
      <c r="BN53" s="1022">
        <f>IF(OR(Fiscalitat!$H$21="B",Fiscalitat!$H$21="D"),BL53*(1-$E$13)+BK53*$D$13*$K$13*(1-$E$13),BL53*(1-$E$13))</f>
        <v>0</v>
      </c>
      <c r="BO53" s="1022">
        <f>IF(OR(Fiscalitat!$H$21="a",Fiscalitat!$H$21="B",Fiscalitat!$H$21="D"),0,BN53*$I$13)</f>
        <v>0</v>
      </c>
      <c r="BP53" s="1023">
        <f>'Introducció dades'!N197</f>
        <v>0</v>
      </c>
      <c r="BQ53" s="1024">
        <f t="shared" si="33"/>
        <v>0</v>
      </c>
      <c r="BR53" s="794">
        <f>IF(OR(Fiscalitat!$H$21="a",Fiscalitat!$H$21="B",Fiscalitat!$H$21="D"),((1+$F$14)*BQ53*D$14),BQ53*$D$14)</f>
        <v>0</v>
      </c>
      <c r="BS53" s="794">
        <f>IF(OR(Fiscalitat!$H$21="a",Fiscalitat!$H$21="B",Fiscalitat!$H$21="D"),0,BR53*$F$14)</f>
        <v>0</v>
      </c>
      <c r="BT53" s="794">
        <f>IF(OR(Fiscalitat!$H$21="B",Fiscalitat!$H$21="D"),BR53*(1-$E$14)+BQ53*$D$14*$K$14*(1-$E$14),BR53*(1-$E$14))</f>
        <v>0</v>
      </c>
      <c r="BU53" s="794">
        <f>IF(OR(Fiscalitat!$H$21="a",Fiscalitat!$H$21="B",Fiscalitat!$H$21="D"),0,BT53*$I$14)</f>
        <v>0</v>
      </c>
      <c r="BV53" s="25">
        <f t="shared" si="38"/>
        <v>0</v>
      </c>
      <c r="BW53" s="1026">
        <f t="shared" si="39"/>
        <v>0</v>
      </c>
      <c r="BX53" s="1026">
        <f t="shared" si="40"/>
        <v>0</v>
      </c>
      <c r="BY53" s="1026">
        <f t="shared" si="41"/>
        <v>0</v>
      </c>
      <c r="BZ53" s="1026">
        <f t="shared" si="34"/>
        <v>0</v>
      </c>
      <c r="CO53" s="1029">
        <f t="shared" si="42"/>
        <v>0</v>
      </c>
    </row>
    <row r="54" spans="1:93" ht="13" x14ac:dyDescent="0.3">
      <c r="A54" s="71" t="s">
        <v>245</v>
      </c>
      <c r="B54" s="72"/>
      <c r="C54" s="1033">
        <f>SUM(C42:C53)</f>
        <v>0</v>
      </c>
      <c r="D54" s="799">
        <f>SUM(D42:D53)</f>
        <v>0</v>
      </c>
      <c r="E54" s="799">
        <f>SUM(E42:E53)</f>
        <v>0</v>
      </c>
      <c r="F54" s="799">
        <f>SUM(F42:F53)</f>
        <v>0</v>
      </c>
      <c r="G54" s="799">
        <f>SUM(G42:G53)</f>
        <v>0</v>
      </c>
      <c r="H54" s="72"/>
      <c r="I54" s="1033">
        <f>SUM(I42:I53)</f>
        <v>0</v>
      </c>
      <c r="J54" s="799">
        <f>SUM(J42:J53)</f>
        <v>0</v>
      </c>
      <c r="K54" s="799">
        <f>SUM(K42:K53)</f>
        <v>0</v>
      </c>
      <c r="L54" s="799">
        <f>SUM(L42:L53)</f>
        <v>0</v>
      </c>
      <c r="M54" s="799">
        <f>SUM(M42:M53)</f>
        <v>0</v>
      </c>
      <c r="N54" s="72"/>
      <c r="O54" s="1033">
        <f>SUM(O42:O53)</f>
        <v>0</v>
      </c>
      <c r="P54" s="799">
        <f>SUM(P42:P53)</f>
        <v>0</v>
      </c>
      <c r="Q54" s="799">
        <f>SUM(Q42:Q53)</f>
        <v>0</v>
      </c>
      <c r="R54" s="799">
        <f>SUM(R42:R53)</f>
        <v>0</v>
      </c>
      <c r="S54" s="799">
        <f>SUM(S42:S53)</f>
        <v>0</v>
      </c>
      <c r="T54" s="72"/>
      <c r="U54" s="1033">
        <f>SUM(U42:U53)</f>
        <v>0</v>
      </c>
      <c r="V54" s="799">
        <f>SUM(V42:V53)</f>
        <v>0</v>
      </c>
      <c r="W54" s="799">
        <f>SUM(W42:W53)</f>
        <v>0</v>
      </c>
      <c r="X54" s="799">
        <f>SUM(X42:X53)</f>
        <v>0</v>
      </c>
      <c r="Y54" s="799">
        <f>SUM(Y42:Y53)</f>
        <v>0</v>
      </c>
      <c r="Z54" s="72"/>
      <c r="AA54" s="1033">
        <f>SUM(AA42:AA53)</f>
        <v>0</v>
      </c>
      <c r="AB54" s="799">
        <f>SUM(AB42:AB53)</f>
        <v>0</v>
      </c>
      <c r="AC54" s="799">
        <f>SUM(AC42:AC53)</f>
        <v>0</v>
      </c>
      <c r="AD54" s="799">
        <f>SUM(AD42:AD53)</f>
        <v>0</v>
      </c>
      <c r="AE54" s="799">
        <f>SUM(AE42:AE53)</f>
        <v>0</v>
      </c>
      <c r="AF54" s="72"/>
      <c r="AG54" s="1033">
        <f>SUM(AG42:AG53)</f>
        <v>0</v>
      </c>
      <c r="AH54" s="799">
        <f>SUM(AH42:AH53)</f>
        <v>0</v>
      </c>
      <c r="AI54" s="799">
        <f>SUM(AI42:AI53)</f>
        <v>0</v>
      </c>
      <c r="AJ54" s="799">
        <f>SUM(AJ42:AJ53)</f>
        <v>0</v>
      </c>
      <c r="AK54" s="799">
        <f>SUM(AK42:AK53)</f>
        <v>0</v>
      </c>
      <c r="AL54" s="72"/>
      <c r="AM54" s="1033">
        <f>SUM(AM42:AM53)</f>
        <v>0</v>
      </c>
      <c r="AN54" s="799">
        <f>SUM(AN42:AN53)</f>
        <v>0</v>
      </c>
      <c r="AO54" s="799">
        <f>SUM(AO42:AO53)</f>
        <v>0</v>
      </c>
      <c r="AP54" s="799">
        <f>SUM(AP42:AP53)</f>
        <v>0</v>
      </c>
      <c r="AQ54" s="799">
        <f>SUM(AQ42:AQ53)</f>
        <v>0</v>
      </c>
      <c r="AR54" s="72"/>
      <c r="AS54" s="1033">
        <f>SUM(AS42:AS53)</f>
        <v>0</v>
      </c>
      <c r="AT54" s="799">
        <f>SUM(AT42:AT53)</f>
        <v>0</v>
      </c>
      <c r="AU54" s="799">
        <f>SUM(AU42:AU53)</f>
        <v>0</v>
      </c>
      <c r="AV54" s="799">
        <f>SUM(AV42:AV53)</f>
        <v>0</v>
      </c>
      <c r="AW54" s="799">
        <f>SUM(AW42:AW53)</f>
        <v>0</v>
      </c>
      <c r="AX54" s="72"/>
      <c r="AY54" s="1033">
        <f>SUM(AY42:AY53)</f>
        <v>0</v>
      </c>
      <c r="AZ54" s="799">
        <f>SUM(AZ42:AZ53)</f>
        <v>0</v>
      </c>
      <c r="BA54" s="799">
        <f>SUM(BA42:BA53)</f>
        <v>0</v>
      </c>
      <c r="BB54" s="799">
        <f>SUM(BB42:BB53)</f>
        <v>0</v>
      </c>
      <c r="BC54" s="799">
        <f>SUM(BC42:BC53)</f>
        <v>0</v>
      </c>
      <c r="BD54" s="72"/>
      <c r="BE54" s="1033">
        <f>SUM(BE42:BE53)</f>
        <v>0</v>
      </c>
      <c r="BF54" s="799">
        <f>SUM(BF42:BF53)</f>
        <v>0</v>
      </c>
      <c r="BG54" s="799">
        <f>SUM(BG42:BG53)</f>
        <v>0</v>
      </c>
      <c r="BH54" s="799">
        <f>SUM(BH42:BH53)</f>
        <v>0</v>
      </c>
      <c r="BI54" s="799">
        <f>SUM(BI42:BI53)</f>
        <v>0</v>
      </c>
      <c r="BJ54" s="1034"/>
      <c r="BK54" s="1033">
        <f>SUM(BK42:BK53)</f>
        <v>0</v>
      </c>
      <c r="BL54" s="799">
        <f>SUM(BL42:BL53)</f>
        <v>0</v>
      </c>
      <c r="BM54" s="799">
        <f>SUM(BM42:BM53)</f>
        <v>0</v>
      </c>
      <c r="BN54" s="799">
        <f>SUM(BN42:BN53)</f>
        <v>0</v>
      </c>
      <c r="BO54" s="799">
        <f>SUM(BO42:BO53)</f>
        <v>0</v>
      </c>
      <c r="BP54" s="1034"/>
      <c r="BQ54" s="1033">
        <f t="shared" ref="BQ54:BZ54" si="43">SUM(BQ42:BQ53)</f>
        <v>0</v>
      </c>
      <c r="BR54" s="799">
        <f t="shared" si="43"/>
        <v>0</v>
      </c>
      <c r="BS54" s="799">
        <f t="shared" si="43"/>
        <v>0</v>
      </c>
      <c r="BT54" s="799">
        <f t="shared" si="43"/>
        <v>0</v>
      </c>
      <c r="BU54" s="799">
        <f t="shared" si="43"/>
        <v>0</v>
      </c>
      <c r="BV54" s="1033">
        <f t="shared" si="43"/>
        <v>0</v>
      </c>
      <c r="BW54" s="799">
        <f t="shared" si="43"/>
        <v>0</v>
      </c>
      <c r="BX54" s="799">
        <f t="shared" si="43"/>
        <v>0</v>
      </c>
      <c r="BY54" s="799">
        <f t="shared" si="43"/>
        <v>0</v>
      </c>
      <c r="BZ54" s="799">
        <f t="shared" si="43"/>
        <v>0</v>
      </c>
      <c r="CA54" s="7"/>
      <c r="CB54" s="7"/>
      <c r="CC54" s="7"/>
      <c r="CD54" s="7"/>
      <c r="CE54" s="7"/>
      <c r="CF54" s="7"/>
      <c r="CG54" s="7"/>
      <c r="CH54" s="7"/>
      <c r="CI54" s="7"/>
      <c r="CJ54" s="7"/>
      <c r="CK54" s="7"/>
      <c r="CL54" s="7"/>
      <c r="CM54" s="7"/>
      <c r="CN54" s="7"/>
      <c r="CO54" s="72">
        <f t="shared" si="42"/>
        <v>0</v>
      </c>
    </row>
    <row r="57" spans="1:93" ht="13" x14ac:dyDescent="0.3">
      <c r="A57" s="1834" t="s">
        <v>57</v>
      </c>
      <c r="B57" s="1834"/>
    </row>
    <row r="59" spans="1:93" ht="13" x14ac:dyDescent="0.3">
      <c r="B59" s="1861" t="s">
        <v>336</v>
      </c>
      <c r="C59" s="1861"/>
      <c r="D59" s="1861"/>
      <c r="E59" s="1861"/>
      <c r="F59" s="1861"/>
      <c r="G59" s="1861"/>
      <c r="H59" s="1861"/>
      <c r="I59" s="1861"/>
      <c r="J59" s="1861"/>
      <c r="K59" s="1861"/>
      <c r="L59" s="1861"/>
      <c r="M59" s="1861"/>
      <c r="N59" s="1861"/>
      <c r="O59" s="1861"/>
      <c r="P59" s="1861"/>
      <c r="Q59" s="1861"/>
      <c r="R59" s="1861"/>
      <c r="S59" s="1861"/>
      <c r="T59" s="1861"/>
      <c r="U59" s="1861"/>
      <c r="V59" s="1861"/>
      <c r="W59" s="1861"/>
      <c r="X59" s="1861"/>
      <c r="Y59" s="1861"/>
      <c r="Z59" s="1861"/>
      <c r="AA59" s="1861"/>
      <c r="AB59" s="1861"/>
      <c r="AC59" s="1861"/>
      <c r="AD59" s="1861"/>
      <c r="AE59" s="1861"/>
      <c r="AF59" s="1861"/>
      <c r="AG59" s="1861"/>
      <c r="AH59" s="1861"/>
      <c r="AI59" s="1861"/>
      <c r="AJ59" s="1861"/>
      <c r="AK59" s="1861"/>
      <c r="AL59" s="1861"/>
      <c r="AM59" s="1861"/>
      <c r="AN59" s="1861"/>
      <c r="AO59" s="1861"/>
      <c r="AP59" s="1861"/>
      <c r="AQ59" s="1861"/>
      <c r="AR59" s="1861"/>
      <c r="AS59" s="1861"/>
      <c r="AT59" s="1861"/>
      <c r="AU59" s="1861"/>
      <c r="AV59" s="1861"/>
      <c r="AW59" s="1861"/>
      <c r="AX59" s="1861"/>
      <c r="AY59" s="1861"/>
      <c r="AZ59" s="1861"/>
      <c r="BA59" s="1861"/>
      <c r="BB59" s="1861"/>
      <c r="BC59" s="1861"/>
      <c r="BD59" s="1861"/>
      <c r="BE59" s="1861"/>
      <c r="BF59" s="1861"/>
      <c r="BG59" s="1861"/>
      <c r="BH59" s="1861"/>
      <c r="BI59" s="1861"/>
      <c r="BJ59" s="1861"/>
      <c r="BK59" s="1861"/>
      <c r="BL59" s="1861"/>
      <c r="BM59" s="1861"/>
      <c r="BN59" s="1861"/>
      <c r="BO59" s="1861"/>
      <c r="BP59" s="1861"/>
      <c r="BQ59" s="1861"/>
      <c r="BR59" s="1861"/>
      <c r="BS59" s="1861"/>
      <c r="BT59" s="1861"/>
      <c r="BU59" s="1861"/>
      <c r="BV59" s="1861"/>
      <c r="BW59" s="1861"/>
      <c r="BX59" s="1861"/>
      <c r="BY59" s="1861"/>
      <c r="BZ59" s="1861"/>
      <c r="CA59" s="1861"/>
      <c r="CB59" s="1861"/>
      <c r="CC59" s="1861"/>
      <c r="CD59" s="1861"/>
      <c r="CE59" s="1861"/>
      <c r="CF59" s="1861"/>
      <c r="CG59" s="1861"/>
      <c r="CH59" s="1861"/>
      <c r="CI59" s="1861"/>
      <c r="CJ59" s="1861"/>
      <c r="CK59" s="1861"/>
      <c r="CL59" s="1861"/>
      <c r="CM59" s="1861"/>
      <c r="CN59" s="1861"/>
      <c r="CO59" s="1861"/>
    </row>
    <row r="60" spans="1:93" ht="13" x14ac:dyDescent="0.3">
      <c r="B60" s="1862" t="str">
        <f>B40</f>
        <v>A</v>
      </c>
      <c r="C60" s="1862"/>
      <c r="D60" s="1862"/>
      <c r="E60" s="1862"/>
      <c r="F60" s="1862"/>
      <c r="G60" s="1862"/>
      <c r="H60" s="1863" t="str">
        <f>H40</f>
        <v>B</v>
      </c>
      <c r="I60" s="1863"/>
      <c r="J60" s="1863"/>
      <c r="K60" s="1863"/>
      <c r="L60" s="1863"/>
      <c r="M60" s="1863"/>
      <c r="N60" s="1862" t="str">
        <f>N40</f>
        <v>C</v>
      </c>
      <c r="O60" s="1862"/>
      <c r="P60" s="1862"/>
      <c r="Q60" s="1862"/>
      <c r="R60" s="1862"/>
      <c r="S60" s="1862"/>
      <c r="T60" s="1863" t="str">
        <f>T40</f>
        <v>D</v>
      </c>
      <c r="U60" s="1863"/>
      <c r="V60" s="1863"/>
      <c r="W60" s="1863"/>
      <c r="X60" s="1863"/>
      <c r="Y60" s="1863"/>
      <c r="Z60" s="1862" t="str">
        <f>Z40</f>
        <v>E</v>
      </c>
      <c r="AA60" s="1862"/>
      <c r="AB60" s="1862"/>
      <c r="AC60" s="1862"/>
      <c r="AD60" s="1862"/>
      <c r="AE60" s="1862"/>
      <c r="AF60" s="1863" t="str">
        <f>AF40</f>
        <v>F</v>
      </c>
      <c r="AG60" s="1863"/>
      <c r="AH60" s="1863"/>
      <c r="AI60" s="1863"/>
      <c r="AJ60" s="1863"/>
      <c r="AK60" s="1863"/>
      <c r="AL60" s="1862" t="str">
        <f>AL40</f>
        <v>G</v>
      </c>
      <c r="AM60" s="1862"/>
      <c r="AN60" s="1862"/>
      <c r="AO60" s="1862"/>
      <c r="AP60" s="1862"/>
      <c r="AQ60" s="1862"/>
      <c r="AR60" s="1863" t="str">
        <f>AR40</f>
        <v>H</v>
      </c>
      <c r="AS60" s="1863"/>
      <c r="AT60" s="1863"/>
      <c r="AU60" s="1863"/>
      <c r="AV60" s="1863"/>
      <c r="AW60" s="1863"/>
      <c r="AX60" s="1862" t="str">
        <f>AX40</f>
        <v>I</v>
      </c>
      <c r="AY60" s="1862"/>
      <c r="AZ60" s="1862"/>
      <c r="BA60" s="1862"/>
      <c r="BB60" s="1862"/>
      <c r="BC60" s="1862"/>
      <c r="BD60" s="1863" t="str">
        <f>BD40</f>
        <v>J</v>
      </c>
      <c r="BE60" s="1863"/>
      <c r="BF60" s="1863"/>
      <c r="BG60" s="1863"/>
      <c r="BH60" s="1863"/>
      <c r="BI60" s="1863"/>
      <c r="BJ60" s="1862" t="str">
        <f>BJ40</f>
        <v>K</v>
      </c>
      <c r="BK60" s="1862"/>
      <c r="BL60" s="1862"/>
      <c r="BM60" s="1862"/>
      <c r="BN60" s="1862"/>
      <c r="BO60" s="1862"/>
      <c r="BP60" s="1863" t="str">
        <f>BP40</f>
        <v>L</v>
      </c>
      <c r="BQ60" s="1863"/>
      <c r="BR60" s="1863"/>
      <c r="BS60" s="1863"/>
      <c r="BT60" s="1863"/>
      <c r="BU60" s="1863"/>
      <c r="BV60" s="1864" t="str">
        <f>BV40</f>
        <v>TOTAL</v>
      </c>
      <c r="BW60" s="1864"/>
      <c r="BX60" s="1864"/>
      <c r="BY60" s="1864"/>
      <c r="BZ60" s="1864"/>
      <c r="CA60" s="1864"/>
      <c r="CB60" s="1864"/>
      <c r="CC60" s="1864"/>
      <c r="CD60" s="1864"/>
      <c r="CE60" s="1864"/>
      <c r="CF60" s="1864"/>
      <c r="CG60" s="1864"/>
      <c r="CH60" s="1864"/>
      <c r="CI60" s="1864"/>
      <c r="CJ60" s="1864"/>
      <c r="CK60" s="1864"/>
      <c r="CL60" s="1864"/>
      <c r="CM60" s="1864"/>
      <c r="CN60" s="1864"/>
      <c r="CO60" s="1864"/>
    </row>
    <row r="61" spans="1:93" ht="13" x14ac:dyDescent="0.3">
      <c r="B61" s="28" t="s">
        <v>151</v>
      </c>
      <c r="C61" s="28" t="s">
        <v>231</v>
      </c>
      <c r="D61" s="28" t="s">
        <v>58</v>
      </c>
      <c r="E61" s="28" t="s">
        <v>338</v>
      </c>
      <c r="F61" s="28" t="s">
        <v>59</v>
      </c>
      <c r="G61" s="28" t="s">
        <v>339</v>
      </c>
      <c r="H61" s="22" t="s">
        <v>151</v>
      </c>
      <c r="I61" s="22" t="s">
        <v>231</v>
      </c>
      <c r="J61" s="1014" t="str">
        <f>D61</f>
        <v>INGRESSOS</v>
      </c>
      <c r="K61" s="22" t="s">
        <v>338</v>
      </c>
      <c r="L61" s="1014" t="str">
        <f>F61</f>
        <v>DESPESES</v>
      </c>
      <c r="M61" s="22" t="s">
        <v>339</v>
      </c>
      <c r="N61" s="28" t="s">
        <v>151</v>
      </c>
      <c r="O61" s="28" t="s">
        <v>231</v>
      </c>
      <c r="P61" s="28" t="s">
        <v>58</v>
      </c>
      <c r="Q61" s="28" t="s">
        <v>338</v>
      </c>
      <c r="R61" s="28" t="s">
        <v>59</v>
      </c>
      <c r="S61" s="28" t="s">
        <v>339</v>
      </c>
      <c r="T61" s="22" t="s">
        <v>151</v>
      </c>
      <c r="U61" s="22" t="s">
        <v>231</v>
      </c>
      <c r="V61" s="1014" t="str">
        <f>P61</f>
        <v>INGRESSOS</v>
      </c>
      <c r="W61" s="22" t="s">
        <v>338</v>
      </c>
      <c r="X61" s="1014" t="str">
        <f>R61</f>
        <v>DESPESES</v>
      </c>
      <c r="Y61" s="22" t="s">
        <v>339</v>
      </c>
      <c r="Z61" s="28" t="s">
        <v>151</v>
      </c>
      <c r="AA61" s="28" t="s">
        <v>231</v>
      </c>
      <c r="AB61" s="28" t="s">
        <v>58</v>
      </c>
      <c r="AC61" s="28" t="s">
        <v>338</v>
      </c>
      <c r="AD61" s="28" t="s">
        <v>59</v>
      </c>
      <c r="AE61" s="28" t="s">
        <v>339</v>
      </c>
      <c r="AF61" s="22" t="s">
        <v>151</v>
      </c>
      <c r="AG61" s="22" t="s">
        <v>231</v>
      </c>
      <c r="AH61" s="1014" t="str">
        <f>AB61</f>
        <v>INGRESSOS</v>
      </c>
      <c r="AI61" s="22" t="s">
        <v>338</v>
      </c>
      <c r="AJ61" s="1014" t="str">
        <f>AD61</f>
        <v>DESPESES</v>
      </c>
      <c r="AK61" s="22" t="s">
        <v>339</v>
      </c>
      <c r="AL61" s="28" t="s">
        <v>151</v>
      </c>
      <c r="AM61" s="28" t="s">
        <v>231</v>
      </c>
      <c r="AN61" s="28" t="s">
        <v>58</v>
      </c>
      <c r="AO61" s="28" t="s">
        <v>338</v>
      </c>
      <c r="AP61" s="28" t="s">
        <v>59</v>
      </c>
      <c r="AQ61" s="28" t="s">
        <v>339</v>
      </c>
      <c r="AR61" s="22" t="s">
        <v>151</v>
      </c>
      <c r="AS61" s="22" t="s">
        <v>231</v>
      </c>
      <c r="AT61" s="1014" t="str">
        <f>AN61</f>
        <v>INGRESSOS</v>
      </c>
      <c r="AU61" s="22" t="s">
        <v>338</v>
      </c>
      <c r="AV61" s="1014" t="str">
        <f>AP61</f>
        <v>DESPESES</v>
      </c>
      <c r="AW61" s="22" t="s">
        <v>339</v>
      </c>
      <c r="AX61" s="28" t="s">
        <v>151</v>
      </c>
      <c r="AY61" s="28" t="s">
        <v>231</v>
      </c>
      <c r="AZ61" s="28" t="s">
        <v>58</v>
      </c>
      <c r="BA61" s="28" t="s">
        <v>338</v>
      </c>
      <c r="BB61" s="28" t="s">
        <v>59</v>
      </c>
      <c r="BC61" s="28" t="s">
        <v>339</v>
      </c>
      <c r="BD61" s="22" t="s">
        <v>151</v>
      </c>
      <c r="BE61" s="22" t="s">
        <v>231</v>
      </c>
      <c r="BF61" s="1014" t="str">
        <f>AZ61</f>
        <v>INGRESSOS</v>
      </c>
      <c r="BG61" s="22" t="s">
        <v>338</v>
      </c>
      <c r="BH61" s="1014" t="str">
        <f>BB61</f>
        <v>DESPESES</v>
      </c>
      <c r="BI61" s="22" t="s">
        <v>339</v>
      </c>
      <c r="BJ61" s="28" t="s">
        <v>151</v>
      </c>
      <c r="BK61" s="28" t="s">
        <v>231</v>
      </c>
      <c r="BL61" s="28" t="s">
        <v>58</v>
      </c>
      <c r="BM61" s="28" t="s">
        <v>338</v>
      </c>
      <c r="BN61" s="28" t="s">
        <v>59</v>
      </c>
      <c r="BO61" s="28" t="s">
        <v>339</v>
      </c>
      <c r="BP61" s="22" t="s">
        <v>151</v>
      </c>
      <c r="BQ61" s="22" t="s">
        <v>231</v>
      </c>
      <c r="BR61" s="1014" t="str">
        <f>BL61</f>
        <v>INGRESSOS</v>
      </c>
      <c r="BS61" s="22" t="s">
        <v>338</v>
      </c>
      <c r="BT61" s="1014" t="str">
        <f>BN61</f>
        <v>DESPESES</v>
      </c>
      <c r="BU61" s="22" t="s">
        <v>339</v>
      </c>
      <c r="BV61" s="1013" t="s">
        <v>231</v>
      </c>
      <c r="BW61" s="1013" t="str">
        <f>BR61</f>
        <v>INGRESSOS</v>
      </c>
      <c r="BX61" s="1013" t="s">
        <v>338</v>
      </c>
      <c r="BY61" s="1013" t="str">
        <f>BT61</f>
        <v>DESPESES</v>
      </c>
      <c r="BZ61" s="1013" t="s">
        <v>339</v>
      </c>
      <c r="CA61" s="897"/>
      <c r="CB61" s="22" t="str">
        <f>CB41</f>
        <v>GENER</v>
      </c>
      <c r="CC61" s="22" t="str">
        <f t="shared" ref="CC61:CM61" si="44">CC41</f>
        <v>FEBRER</v>
      </c>
      <c r="CD61" s="22" t="str">
        <f t="shared" si="44"/>
        <v>MARÇ</v>
      </c>
      <c r="CE61" s="22" t="str">
        <f t="shared" si="44"/>
        <v>ABRIL</v>
      </c>
      <c r="CF61" s="22" t="str">
        <f t="shared" si="44"/>
        <v>MAIG</v>
      </c>
      <c r="CG61" s="22" t="str">
        <f t="shared" si="44"/>
        <v>JUNY</v>
      </c>
      <c r="CH61" s="22" t="str">
        <f t="shared" si="44"/>
        <v>JULIOL</v>
      </c>
      <c r="CI61" s="22" t="str">
        <f t="shared" si="44"/>
        <v>AGOST</v>
      </c>
      <c r="CJ61" s="22" t="str">
        <f t="shared" si="44"/>
        <v>SETEMBRE</v>
      </c>
      <c r="CK61" s="22" t="str">
        <f t="shared" si="44"/>
        <v>OCTUBRE</v>
      </c>
      <c r="CL61" s="22" t="str">
        <f t="shared" si="44"/>
        <v>NOVEMBRE</v>
      </c>
      <c r="CM61" s="22" t="str">
        <f t="shared" si="44"/>
        <v>DESEMBRE</v>
      </c>
      <c r="CN61" s="883" t="s">
        <v>245</v>
      </c>
      <c r="CO61" s="1013" t="s">
        <v>233</v>
      </c>
    </row>
    <row r="62" spans="1:93" ht="13" x14ac:dyDescent="0.3">
      <c r="A62" s="1019" t="str">
        <f>A42</f>
        <v>GENER</v>
      </c>
      <c r="B62" s="1035">
        <f>'Introducció dades'!C202</f>
        <v>0</v>
      </c>
      <c r="C62" s="1021">
        <f t="shared" ref="C62:C73" si="45">B62*C$3</f>
        <v>0</v>
      </c>
      <c r="D62" s="1022">
        <f>IF(OR(Fiscalitat!$H$21="a",Fiscalitat!$H$21="B",Fiscalitat!$H$21="D"),((1+$F$3)*C62*D$3),C62*$D$3)</f>
        <v>0</v>
      </c>
      <c r="E62" s="1022">
        <f>IF(OR(Fiscalitat!$H$21="a",Fiscalitat!$H$21="B",Fiscalitat!$H$21="D"),0,D62*$F$3)</f>
        <v>0</v>
      </c>
      <c r="F62" s="1022">
        <f>IF(OR(Fiscalitat!$H$21="B",Fiscalitat!$H$21="D"),D62*(1-$E$3)+C62*$D$3*$K$3*(1-$E$3),D62*(1-$E$3))</f>
        <v>0</v>
      </c>
      <c r="G62" s="1022">
        <f>IF(OR(Fiscalitat!$H$21="a",Fiscalitat!$H$21="B",Fiscalitat!$H$21="D"),0,F62*$I$3)</f>
        <v>0</v>
      </c>
      <c r="H62" s="1036">
        <f>'Introducció dades'!D202</f>
        <v>0</v>
      </c>
      <c r="I62" s="1024">
        <f t="shared" ref="I62:I73" si="46">H62*C$4</f>
        <v>0</v>
      </c>
      <c r="J62" s="794">
        <f>IF(OR(Fiscalitat!$H$21="a",Fiscalitat!$H$21="B",Fiscalitat!$H$21="D"),((1+$F$4)*I62*D$4),I62*$D$4)</f>
        <v>0</v>
      </c>
      <c r="K62" s="794">
        <f>IF(OR(Fiscalitat!$H$21="a",Fiscalitat!$H$21="B",Fiscalitat!$H$21="D"),0,J62*$F$4)</f>
        <v>0</v>
      </c>
      <c r="L62" s="794">
        <f>IF(OR(Fiscalitat!$H$21="B",Fiscalitat!$H$21="D"),J62*(1-$E$4)+I62*$D$4*$K$4*(1-$E$4),J62*(1-$E$4))</f>
        <v>0</v>
      </c>
      <c r="M62" s="794">
        <f>IF(OR(Fiscalitat!$H$21="a",Fiscalitat!$H$21="B",Fiscalitat!$H$21="D"),0,L62*$I$4)</f>
        <v>0</v>
      </c>
      <c r="N62" s="1035">
        <f>'Introducció dades'!E202</f>
        <v>0</v>
      </c>
      <c r="O62" s="1021">
        <f>N62*C$5</f>
        <v>0</v>
      </c>
      <c r="P62" s="1022">
        <f>IF(OR(Fiscalitat!$H$21="a",Fiscalitat!$H$21="B",Fiscalitat!$H$21="D"),((1+$F$5)*O62*D$5),O62*$D$5)</f>
        <v>0</v>
      </c>
      <c r="Q62" s="1022">
        <f>IF(OR(Fiscalitat!$H$21="a",Fiscalitat!$H$21="B",Fiscalitat!$H$21="D"),0,P62*$F$5)</f>
        <v>0</v>
      </c>
      <c r="R62" s="1022">
        <f>IF(OR(Fiscalitat!$H$21="B",Fiscalitat!$H$21="D"),P62*(1-$E$5)+O62*$D$5*$K$5*(1-$E$5),P62*(1-$E$5))</f>
        <v>0</v>
      </c>
      <c r="S62" s="1022">
        <f>IF(OR(Fiscalitat!$H$21="a",Fiscalitat!$H$21="B",Fiscalitat!$H$21="D"),0,R62*$I$5)</f>
        <v>0</v>
      </c>
      <c r="T62" s="1036">
        <f>'Introducció dades'!F202</f>
        <v>0</v>
      </c>
      <c r="U62" s="1024">
        <f>T62*$C$6</f>
        <v>0</v>
      </c>
      <c r="V62" s="794">
        <f>IF(OR(Fiscalitat!$H$21="a",Fiscalitat!$H$21="B",Fiscalitat!$H$21="D"),((1+$F$6)*U62*D$6),U62*$D$6)</f>
        <v>0</v>
      </c>
      <c r="W62" s="794">
        <f>IF(OR(Fiscalitat!$H$21="a",Fiscalitat!$H$21="B",Fiscalitat!$H$21="D"),0,V62*$F$6)</f>
        <v>0</v>
      </c>
      <c r="X62" s="794">
        <f>IF(OR(Fiscalitat!$H$21="B",Fiscalitat!$H$21="D"),V62*(1-$E$6)+U62*$D$6*$K$6*(1-$E$6),V62*(1-$E$6))</f>
        <v>0</v>
      </c>
      <c r="Y62" s="794">
        <f>IF(OR(Fiscalitat!$H$21="a",Fiscalitat!$H$21="B",Fiscalitat!$H$21="D"),0,X62*$I$6)</f>
        <v>0</v>
      </c>
      <c r="Z62" s="1035">
        <f>'Introducció dades'!G202</f>
        <v>0</v>
      </c>
      <c r="AA62" s="1021">
        <f t="shared" ref="AA62:AA73" si="47">Z62*$C$7</f>
        <v>0</v>
      </c>
      <c r="AB62" s="1022">
        <f>IF(OR(Fiscalitat!$H$21="a",Fiscalitat!$H$21="B",Fiscalitat!$H$21="D"),((1+$F$7)*AA62*D$7),AA62*$D$7)</f>
        <v>0</v>
      </c>
      <c r="AC62" s="1022">
        <f>IF(OR(Fiscalitat!$H$21="a",Fiscalitat!$H$21="B",Fiscalitat!$H$21="D"),0,AB62*$F$7)</f>
        <v>0</v>
      </c>
      <c r="AD62" s="1022">
        <f>IF(OR(Fiscalitat!$H$21="B",Fiscalitat!$H$21="D"),AB62*(1-$E$7)+AA62*$D$7*$K$7*(1-$E$7),AB62*(1-$E$7))</f>
        <v>0</v>
      </c>
      <c r="AE62" s="1022">
        <f>IF(OR(Fiscalitat!$H$21="a",Fiscalitat!$H$21="B",Fiscalitat!$H$21="D"),0,AD62*$I$7)</f>
        <v>0</v>
      </c>
      <c r="AF62" s="1036">
        <f>'Introducció dades'!H202</f>
        <v>0</v>
      </c>
      <c r="AG62" s="1024">
        <f t="shared" ref="AG62:AG73" si="48">AF62*$C$8</f>
        <v>0</v>
      </c>
      <c r="AH62" s="794">
        <f>IF(OR(Fiscalitat!$H$21="a",Fiscalitat!$H$21="B",Fiscalitat!$H$21="D"),((1+$F$8)*AG62*D$8),AG62*$D$8)</f>
        <v>0</v>
      </c>
      <c r="AI62" s="794">
        <f>IF(OR(Fiscalitat!$H$21="a",Fiscalitat!$H$21="B",Fiscalitat!$H$21="D"),0,AH62*$F$8)</f>
        <v>0</v>
      </c>
      <c r="AJ62" s="794">
        <f>IF(OR(Fiscalitat!$H$21="B",Fiscalitat!$H$21="D"),AH62*(1-$E$8)+AG62*$D$8*$K$8*(1-$E$8),AH62*(1-$E$8))</f>
        <v>0</v>
      </c>
      <c r="AK62" s="794">
        <f>IF(OR(Fiscalitat!$H$21="a",Fiscalitat!$H$21="B",Fiscalitat!$H$21="D"),0,AJ62*$I$8)</f>
        <v>0</v>
      </c>
      <c r="AL62" s="1035">
        <f>'Introducció dades'!I202</f>
        <v>0</v>
      </c>
      <c r="AM62" s="1021">
        <f t="shared" ref="AM62:AM73" si="49">AL62*$C$9</f>
        <v>0</v>
      </c>
      <c r="AN62" s="1022">
        <f>IF(OR(Fiscalitat!$H$21="a",Fiscalitat!$H$21="B",Fiscalitat!$H$21="D"),((1+$F$9)*AM62*D$9),AM62*$D$9)</f>
        <v>0</v>
      </c>
      <c r="AO62" s="1022">
        <f>IF(OR(Fiscalitat!$H$21="a",Fiscalitat!$H$21="B",Fiscalitat!$H$21="D"),0,AN62*$F$9)</f>
        <v>0</v>
      </c>
      <c r="AP62" s="1022">
        <f>IF(OR(Fiscalitat!$H$21="B",Fiscalitat!$H$21="D"),AN62*(1-$E$9)+AM62*$D$9*$K$9*(1-$E$9),AN62*(1-$E$9))</f>
        <v>0</v>
      </c>
      <c r="AQ62" s="1022">
        <f>IF(OR(Fiscalitat!$H$21="a",Fiscalitat!$H$21="B",Fiscalitat!$H$21="D"),0,AP62*$I$9)</f>
        <v>0</v>
      </c>
      <c r="AR62" s="1036">
        <f>'Introducció dades'!J202</f>
        <v>0</v>
      </c>
      <c r="AS62" s="1024">
        <f t="shared" ref="AS62:AS73" si="50">AR62*$C$10</f>
        <v>0</v>
      </c>
      <c r="AT62" s="794">
        <f>IF(OR(Fiscalitat!$H$21="a",Fiscalitat!$H$21="B",Fiscalitat!$H$21="D"),((1+$F$10)*AS62*D$10),AS62*$D$10)</f>
        <v>0</v>
      </c>
      <c r="AU62" s="794">
        <f>IF(OR(Fiscalitat!$H$21="a",Fiscalitat!$H$21="B",Fiscalitat!$H$21="D"),0,AT62*$F$10)</f>
        <v>0</v>
      </c>
      <c r="AV62" s="794">
        <f>IF(OR(Fiscalitat!$H$21="B",Fiscalitat!$H$21="D"),AT62*(1-$E$10)+AS62*$D$10*$K$10*(1-$E$10),AT62*(1-$E$10))</f>
        <v>0</v>
      </c>
      <c r="AW62" s="794">
        <f>IF(OR(Fiscalitat!$H$21="a",Fiscalitat!$H$21="B",Fiscalitat!$H$21="D"),0,AV62*$I$10)</f>
        <v>0</v>
      </c>
      <c r="AX62" s="1035">
        <f>'Introducció dades'!K202</f>
        <v>0</v>
      </c>
      <c r="AY62" s="1021">
        <f t="shared" ref="AY62:AY73" si="51">AX62*$C$11</f>
        <v>0</v>
      </c>
      <c r="AZ62" s="1022">
        <f>IF(OR(Fiscalitat!$H$21="a",Fiscalitat!$H$21="B",Fiscalitat!$H$21="D"),((1+$F$11)*AY62*D$11),AY62*$D$11)</f>
        <v>0</v>
      </c>
      <c r="BA62" s="1022">
        <f>IF(OR(Fiscalitat!$H$21="a",Fiscalitat!$H$21="B",Fiscalitat!$H$21="D"),0,AZ62*$F$11)</f>
        <v>0</v>
      </c>
      <c r="BB62" s="1022">
        <f>IF(OR(Fiscalitat!$H$21="B",Fiscalitat!$H$21="D"),AZ62*(1-$E$11)+AY62*$D$11*$K$11*(1-$E$11),AZ62*(1-$E$11))</f>
        <v>0</v>
      </c>
      <c r="BC62" s="1022">
        <f>IF(OR(Fiscalitat!$H$21="a",Fiscalitat!$H$21="B",Fiscalitat!$H$21="D"),0,BB62*$I$11)</f>
        <v>0</v>
      </c>
      <c r="BD62" s="1036">
        <f>'Introducció dades'!L202</f>
        <v>0</v>
      </c>
      <c r="BE62" s="1024">
        <f t="shared" ref="BE62:BE73" si="52">BD62*$C$12</f>
        <v>0</v>
      </c>
      <c r="BF62" s="794">
        <f>IF(OR(Fiscalitat!$H$21="a",Fiscalitat!$H$21="B",Fiscalitat!$H$21="D"),((1+$F$12)*BE62*D$12),BE62*$D$12)</f>
        <v>0</v>
      </c>
      <c r="BG62" s="794">
        <f>IF(OR(Fiscalitat!$H$21="a",Fiscalitat!$H$21="B",Fiscalitat!$H$21="D"),0,BF62*$F$12)</f>
        <v>0</v>
      </c>
      <c r="BH62" s="794">
        <f>IF(OR(Fiscalitat!$H$21="B",Fiscalitat!$H$21="D"),BF62*(1-$E$12)+BE62*$D$12*$K$12*(1-$E$12),BF62*(1-$E$12))</f>
        <v>0</v>
      </c>
      <c r="BI62" s="794">
        <f>IF(OR(Fiscalitat!$H$21="a",Fiscalitat!$H$21="B",Fiscalitat!$H$21="D"),0,BH62*$I$12)</f>
        <v>0</v>
      </c>
      <c r="BJ62" s="1035">
        <f>'Introducció dades'!M202</f>
        <v>0</v>
      </c>
      <c r="BK62" s="1021">
        <f t="shared" ref="BK62:BK73" si="53">BJ62*$C$13</f>
        <v>0</v>
      </c>
      <c r="BL62" s="1022">
        <f>IF(OR(Fiscalitat!$H$21="a",Fiscalitat!$H$21="B",Fiscalitat!$H$21="D"),((1+$F$13)*BK62*D$13),BK62*$D$13)</f>
        <v>0</v>
      </c>
      <c r="BM62" s="1022">
        <f>IF(OR(Fiscalitat!$H$21="a",Fiscalitat!$H$21="B",Fiscalitat!$H$21="D"),0,BL62*$F$13)</f>
        <v>0</v>
      </c>
      <c r="BN62" s="1022">
        <f>IF(OR(Fiscalitat!$H$21="B",Fiscalitat!$H$21="D"),BL62*(1-$E$13)+BK62*$D$13*$K$13*(1-$E$13),BL62*(1-$E$13))</f>
        <v>0</v>
      </c>
      <c r="BO62" s="1022">
        <f>IF(OR(Fiscalitat!$H$21="a",Fiscalitat!$H$21="B",Fiscalitat!$H$21="D"),0,BN62*$I$13)</f>
        <v>0</v>
      </c>
      <c r="BP62" s="1036">
        <f>'Introducció dades'!N202</f>
        <v>0</v>
      </c>
      <c r="BQ62" s="1024">
        <f t="shared" ref="BQ62:BQ73" si="54">BP62*$C$14</f>
        <v>0</v>
      </c>
      <c r="BR62" s="794">
        <f>IF(OR(Fiscalitat!$H$21="a",Fiscalitat!$H$21="B",Fiscalitat!$H$21="D"),((1+$F$14)*BQ62*D$14),BQ62*$D$14)</f>
        <v>0</v>
      </c>
      <c r="BS62" s="794">
        <f>IF(OR(Fiscalitat!$H$21="a",Fiscalitat!$H$21="B",Fiscalitat!$H$21="D"),0,BR62*$F$14)</f>
        <v>0</v>
      </c>
      <c r="BT62" s="794">
        <f>IF(OR(Fiscalitat!$H$21="B",Fiscalitat!$H$21="D"),BR62*(1-$E$14)+BQ62*$D$14*$K$14*(1-$E$14),BR62*(1-$E$14))</f>
        <v>0</v>
      </c>
      <c r="BU62" s="794">
        <f>IF(OR(Fiscalitat!$H$21="a",Fiscalitat!$H$21="B",Fiscalitat!$H$21="D"),0,BT62*$I$14)</f>
        <v>0</v>
      </c>
      <c r="BV62" s="25">
        <f>C62+I62+O62+U62+AA62+AG62+AM62+AS62+AY62+BE62+BK62+BQ62</f>
        <v>0</v>
      </c>
      <c r="BW62" s="1026">
        <f>D62+J62+P62+V62+AB62+AH62+AN62+AT62+AZ62+BF62+BL62+BR62</f>
        <v>0</v>
      </c>
      <c r="BX62" s="1026">
        <f>E62+K62+Q62+W62+AC62+AI62+AO62+AU62+BA62+BG62+BM62+BS62</f>
        <v>0</v>
      </c>
      <c r="BY62" s="1026">
        <f>F62+L62+R62+X62+AD62+AJ62+AP62+AV62+BB62+BH62+BN62+BT62</f>
        <v>0</v>
      </c>
      <c r="BZ62" s="1026">
        <f t="shared" ref="BZ62:BZ73" si="55">G62+M62+S62+Y62+AE62+AK62+AQ62+AW62+BC62+BI62+BO62+BU62</f>
        <v>0</v>
      </c>
      <c r="CA62" s="903" t="s">
        <v>58</v>
      </c>
      <c r="CB62" s="1027">
        <f>$BW62</f>
        <v>0</v>
      </c>
      <c r="CC62" s="1027">
        <f>$BW63</f>
        <v>0</v>
      </c>
      <c r="CD62" s="1027">
        <f>$BW64</f>
        <v>0</v>
      </c>
      <c r="CE62" s="1027">
        <f>$BW65</f>
        <v>0</v>
      </c>
      <c r="CF62" s="1027">
        <f>$BW66</f>
        <v>0</v>
      </c>
      <c r="CG62" s="1027">
        <f>$BW67</f>
        <v>0</v>
      </c>
      <c r="CH62" s="1027">
        <f>$BW68</f>
        <v>0</v>
      </c>
      <c r="CI62" s="1027">
        <f>$BW69</f>
        <v>0</v>
      </c>
      <c r="CJ62" s="1027">
        <f>$BW70</f>
        <v>0</v>
      </c>
      <c r="CK62" s="1027">
        <f>$BW71</f>
        <v>0</v>
      </c>
      <c r="CL62" s="1027">
        <f>$BW72</f>
        <v>0</v>
      </c>
      <c r="CM62" s="1027">
        <f>$BW73</f>
        <v>0</v>
      </c>
      <c r="CN62" s="1028">
        <f>SUM(CB62:CM62)</f>
        <v>0</v>
      </c>
      <c r="CO62" s="1029">
        <f>IF(BW62=0,0,(BW62-BY62)/BW62)</f>
        <v>0</v>
      </c>
    </row>
    <row r="63" spans="1:93" ht="13" x14ac:dyDescent="0.3">
      <c r="A63" s="1019" t="str">
        <f t="shared" ref="A63:A73" si="56">A43</f>
        <v>FEBRER</v>
      </c>
      <c r="B63" s="1035">
        <f>'Introducció dades'!C203</f>
        <v>0</v>
      </c>
      <c r="C63" s="1021">
        <f t="shared" si="45"/>
        <v>0</v>
      </c>
      <c r="D63" s="1022">
        <f>IF(OR(Fiscalitat!$H$21="a",Fiscalitat!$H$21="B",Fiscalitat!$H$21="D"),((1+$F$3)*C63*D$3),C63*$D$3)</f>
        <v>0</v>
      </c>
      <c r="E63" s="1022">
        <f>IF(OR(Fiscalitat!$H$21="a",Fiscalitat!$H$21="B",Fiscalitat!$H$21="D"),0,D63*$F$3)</f>
        <v>0</v>
      </c>
      <c r="F63" s="1022">
        <f>IF(OR(Fiscalitat!$H$21="B",Fiscalitat!$H$21="D"),D63*(1-$E$3)+C63*$D$3*$K$3*(1-$E$3),D63*(1-$E$3))</f>
        <v>0</v>
      </c>
      <c r="G63" s="1022">
        <f>IF(OR(Fiscalitat!$H$21="a",Fiscalitat!$H$21="B",Fiscalitat!$H$21="D"),0,F63*$I$3)</f>
        <v>0</v>
      </c>
      <c r="H63" s="1036">
        <f>'Introducció dades'!D203</f>
        <v>0</v>
      </c>
      <c r="I63" s="1024">
        <f t="shared" si="46"/>
        <v>0</v>
      </c>
      <c r="J63" s="794">
        <f>IF(OR(Fiscalitat!$H$21="a",Fiscalitat!$H$21="B",Fiscalitat!$H$21="D"),((1+$F$4)*I63*D$4),I63*$D$4)</f>
        <v>0</v>
      </c>
      <c r="K63" s="794">
        <f>IF(OR(Fiscalitat!$H$21="a",Fiscalitat!$H$21="B",Fiscalitat!$H$21="D"),0,J63*$F$4)</f>
        <v>0</v>
      </c>
      <c r="L63" s="794">
        <f>IF(OR(Fiscalitat!$H$21="B",Fiscalitat!$H$21="D"),J63*(1-$E$4)+I63*$D$4*$K$4*(1-$E$4),J63*(1-$E$4))</f>
        <v>0</v>
      </c>
      <c r="M63" s="794">
        <f>IF(OR(Fiscalitat!$H$21="a",Fiscalitat!$H$21="B",Fiscalitat!$H$21="D"),0,L63*$I$4)</f>
        <v>0</v>
      </c>
      <c r="N63" s="1035">
        <f>'Introducció dades'!E203</f>
        <v>0</v>
      </c>
      <c r="O63" s="1021">
        <f t="shared" ref="O63:O73" si="57">N63*C$5</f>
        <v>0</v>
      </c>
      <c r="P63" s="1022">
        <f>IF(OR(Fiscalitat!$H$21="a",Fiscalitat!$H$21="B",Fiscalitat!$H$21="D"),((1+$F$5)*O63*D$5),O63*$D$5)</f>
        <v>0</v>
      </c>
      <c r="Q63" s="1022">
        <f>IF(OR(Fiscalitat!$H$21="a",Fiscalitat!$H$21="B",Fiscalitat!$H$21="D"),0,P63*$F$5)</f>
        <v>0</v>
      </c>
      <c r="R63" s="1022">
        <f>IF(OR(Fiscalitat!$H$21="B",Fiscalitat!$H$21="D"),P63*(1-$E$5)+O63*$D$5*$K$5*(1-$E$5),P63*(1-$E$5))</f>
        <v>0</v>
      </c>
      <c r="S63" s="1022">
        <f>IF(OR(Fiscalitat!$H$21="a",Fiscalitat!$H$21="B",Fiscalitat!$H$21="D"),0,R63*$I$5)</f>
        <v>0</v>
      </c>
      <c r="T63" s="1036">
        <f>'Introducció dades'!F203</f>
        <v>0</v>
      </c>
      <c r="U63" s="1024">
        <f t="shared" ref="U63:U73" si="58">T63*$C$6</f>
        <v>0</v>
      </c>
      <c r="V63" s="794">
        <f>IF(OR(Fiscalitat!$H$21="a",Fiscalitat!$H$21="B",Fiscalitat!$H$21="D"),((1+$F$6)*U63*D$6),U63*$D$6)</f>
        <v>0</v>
      </c>
      <c r="W63" s="794">
        <f>IF(OR(Fiscalitat!$H$21="a",Fiscalitat!$H$21="B",Fiscalitat!$H$21="D"),0,V63*$F$6)</f>
        <v>0</v>
      </c>
      <c r="X63" s="794">
        <f>IF(OR(Fiscalitat!$H$21="B",Fiscalitat!$H$21="D"),V63*(1-$E$6)+U63*$D$6*$K$6*(1-$E$6),V63*(1-$E$6))</f>
        <v>0</v>
      </c>
      <c r="Y63" s="794">
        <f>IF(OR(Fiscalitat!$H$21="a",Fiscalitat!$H$21="B",Fiscalitat!$H$21="D"),0,X63*$I$6)</f>
        <v>0</v>
      </c>
      <c r="Z63" s="1035">
        <f>'Introducció dades'!G203</f>
        <v>0</v>
      </c>
      <c r="AA63" s="1021">
        <f t="shared" si="47"/>
        <v>0</v>
      </c>
      <c r="AB63" s="1022">
        <f>IF(OR(Fiscalitat!$H$21="a",Fiscalitat!$H$21="B",Fiscalitat!$H$21="D"),((1+$F$7)*AA63*D$7),AA63*$D$7)</f>
        <v>0</v>
      </c>
      <c r="AC63" s="1022">
        <f>IF(OR(Fiscalitat!$H$21="a",Fiscalitat!$H$21="B",Fiscalitat!$H$21="D"),0,AB63*$F$7)</f>
        <v>0</v>
      </c>
      <c r="AD63" s="1022">
        <f>IF(OR(Fiscalitat!$H$21="B",Fiscalitat!$H$21="D"),AB63*(1-$E$7)+AA63*$D$7*$K$7*(1-$E$7),AB63*(1-$E$7))</f>
        <v>0</v>
      </c>
      <c r="AE63" s="1022">
        <f>IF(OR(Fiscalitat!$H$21="a",Fiscalitat!$H$21="B",Fiscalitat!$H$21="D"),0,AD63*$I$7)</f>
        <v>0</v>
      </c>
      <c r="AF63" s="1036">
        <f>'Introducció dades'!H203</f>
        <v>0</v>
      </c>
      <c r="AG63" s="1024">
        <f t="shared" si="48"/>
        <v>0</v>
      </c>
      <c r="AH63" s="794">
        <f>IF(OR(Fiscalitat!$H$21="a",Fiscalitat!$H$21="B",Fiscalitat!$H$21="D"),((1+$F$8)*AG63*D$8),AG63*$D$8)</f>
        <v>0</v>
      </c>
      <c r="AI63" s="794">
        <f>IF(OR(Fiscalitat!$H$21="a",Fiscalitat!$H$21="B",Fiscalitat!$H$21="D"),0,AH63*$F$8)</f>
        <v>0</v>
      </c>
      <c r="AJ63" s="794">
        <f>IF(OR(Fiscalitat!$H$21="B",Fiscalitat!$H$21="D"),AH63*(1-$E$8)+AG63*$D$8*$K$8*(1-$E$8),AH63*(1-$E$8))</f>
        <v>0</v>
      </c>
      <c r="AK63" s="794">
        <f>IF(OR(Fiscalitat!$H$21="a",Fiscalitat!$H$21="B",Fiscalitat!$H$21="D"),0,AJ63*$I$8)</f>
        <v>0</v>
      </c>
      <c r="AL63" s="1035">
        <f>'Introducció dades'!I203</f>
        <v>0</v>
      </c>
      <c r="AM63" s="1021">
        <f t="shared" si="49"/>
        <v>0</v>
      </c>
      <c r="AN63" s="1022">
        <f>IF(OR(Fiscalitat!$H$21="a",Fiscalitat!$H$21="B",Fiscalitat!$H$21="D"),((1+$F$9)*AM63*D$9),AM63*$D$9)</f>
        <v>0</v>
      </c>
      <c r="AO63" s="1022">
        <f>IF(OR(Fiscalitat!$H$21="a",Fiscalitat!$H$21="B",Fiscalitat!$H$21="D"),0,AN63*$F$9)</f>
        <v>0</v>
      </c>
      <c r="AP63" s="1022">
        <f>IF(OR(Fiscalitat!$H$21="B",Fiscalitat!$H$21="D"),AN63*(1-$E$9)+AM63*$D$9*$K$9*(1-$E$9),AN63*(1-$E$9))</f>
        <v>0</v>
      </c>
      <c r="AQ63" s="1022">
        <f>IF(OR(Fiscalitat!$H$21="a",Fiscalitat!$H$21="B",Fiscalitat!$H$21="D"),0,AP63*$I$9)</f>
        <v>0</v>
      </c>
      <c r="AR63" s="1036">
        <f>'Introducció dades'!J203</f>
        <v>0</v>
      </c>
      <c r="AS63" s="1024">
        <f t="shared" si="50"/>
        <v>0</v>
      </c>
      <c r="AT63" s="794">
        <f>IF(OR(Fiscalitat!$H$21="a",Fiscalitat!$H$21="B",Fiscalitat!$H$21="D"),((1+$F$10)*AS63*D$10),AS63*$D$10)</f>
        <v>0</v>
      </c>
      <c r="AU63" s="794">
        <f>IF(OR(Fiscalitat!$H$21="a",Fiscalitat!$H$21="B",Fiscalitat!$H$21="D"),0,AT63*$F$10)</f>
        <v>0</v>
      </c>
      <c r="AV63" s="794">
        <f>IF(OR(Fiscalitat!$H$21="B",Fiscalitat!$H$21="D"),AT63*(1-$E$10)+AS63*$D$10*$K$10*(1-$E$10),AT63*(1-$E$10))</f>
        <v>0</v>
      </c>
      <c r="AW63" s="794">
        <f>IF(OR(Fiscalitat!$H$21="a",Fiscalitat!$H$21="B",Fiscalitat!$H$21="D"),0,AV63*$I$10)</f>
        <v>0</v>
      </c>
      <c r="AX63" s="1035">
        <f>'Introducció dades'!K203</f>
        <v>0</v>
      </c>
      <c r="AY63" s="1021">
        <f t="shared" si="51"/>
        <v>0</v>
      </c>
      <c r="AZ63" s="1022">
        <f>IF(OR(Fiscalitat!$H$21="a",Fiscalitat!$H$21="B",Fiscalitat!$H$21="D"),((1+$F$11)*AY63*D$11),AY63*$D$11)</f>
        <v>0</v>
      </c>
      <c r="BA63" s="1022">
        <f>IF(OR(Fiscalitat!$H$21="a",Fiscalitat!$H$21="B",Fiscalitat!$H$21="D"),0,AZ63*$F$11)</f>
        <v>0</v>
      </c>
      <c r="BB63" s="1022">
        <f>IF(OR(Fiscalitat!$H$21="B",Fiscalitat!$H$21="D"),AZ63*(1-$E$11)+AY63*$D$11*$K$11*(1-$E$11),AZ63*(1-$E$11))</f>
        <v>0</v>
      </c>
      <c r="BC63" s="1022">
        <f>IF(OR(Fiscalitat!$H$21="a",Fiscalitat!$H$21="B",Fiscalitat!$H$21="D"),0,BB63*$I$11)</f>
        <v>0</v>
      </c>
      <c r="BD63" s="1036">
        <f>'Introducció dades'!L203</f>
        <v>0</v>
      </c>
      <c r="BE63" s="1024">
        <f t="shared" si="52"/>
        <v>0</v>
      </c>
      <c r="BF63" s="794">
        <f>IF(OR(Fiscalitat!$H$21="a",Fiscalitat!$H$21="B",Fiscalitat!$H$21="D"),((1+$F$12)*BE63*D$12),BE63*$D$12)</f>
        <v>0</v>
      </c>
      <c r="BG63" s="794">
        <f>IF(OR(Fiscalitat!$H$21="a",Fiscalitat!$H$21="B",Fiscalitat!$H$21="D"),0,BF63*$F$12)</f>
        <v>0</v>
      </c>
      <c r="BH63" s="794">
        <f>IF(OR(Fiscalitat!$H$21="B",Fiscalitat!$H$21="D"),BF63*(1-$E$12)+BE63*$D$12*$K$12*(1-$E$12),BF63*(1-$E$12))</f>
        <v>0</v>
      </c>
      <c r="BI63" s="794">
        <f>IF(OR(Fiscalitat!$H$21="a",Fiscalitat!$H$21="B",Fiscalitat!$H$21="D"),0,BH63*$I$12)</f>
        <v>0</v>
      </c>
      <c r="BJ63" s="1035">
        <f>'Introducció dades'!M203</f>
        <v>0</v>
      </c>
      <c r="BK63" s="1021">
        <f t="shared" si="53"/>
        <v>0</v>
      </c>
      <c r="BL63" s="1022">
        <f>IF(OR(Fiscalitat!$H$21="a",Fiscalitat!$H$21="B",Fiscalitat!$H$21="D"),((1+$F$13)*BK63*D$13),BK63*$D$13)</f>
        <v>0</v>
      </c>
      <c r="BM63" s="1022">
        <f>IF(OR(Fiscalitat!$H$21="a",Fiscalitat!$H$21="B",Fiscalitat!$H$21="D"),0,BL63*$F$13)</f>
        <v>0</v>
      </c>
      <c r="BN63" s="1022">
        <f>IF(OR(Fiscalitat!$H$21="B",Fiscalitat!$H$21="D"),BL63*(1-$E$13)+BK63*$D$13*$K$13*(1-$E$13),BL63*(1-$E$13))</f>
        <v>0</v>
      </c>
      <c r="BO63" s="1022">
        <f>IF(OR(Fiscalitat!$H$21="a",Fiscalitat!$H$21="B",Fiscalitat!$H$21="D"),0,BN63*$I$13)</f>
        <v>0</v>
      </c>
      <c r="BP63" s="1036">
        <f>'Introducció dades'!N203</f>
        <v>0</v>
      </c>
      <c r="BQ63" s="1024">
        <f t="shared" si="54"/>
        <v>0</v>
      </c>
      <c r="BR63" s="794">
        <f>IF(OR(Fiscalitat!$H$21="a",Fiscalitat!$H$21="B",Fiscalitat!$H$21="D"),((1+$F$14)*BQ63*D$14),BQ63*$D$14)</f>
        <v>0</v>
      </c>
      <c r="BS63" s="794">
        <f>IF(OR(Fiscalitat!$H$21="a",Fiscalitat!$H$21="B",Fiscalitat!$H$21="D"),0,BR63*$F$14)</f>
        <v>0</v>
      </c>
      <c r="BT63" s="794">
        <f>IF(OR(Fiscalitat!$H$21="B",Fiscalitat!$H$21="D"),BR63*(1-$E$14)+BQ63*$D$14*$K$14*(1-$E$14),BR63*(1-$E$14))</f>
        <v>0</v>
      </c>
      <c r="BU63" s="794">
        <f>IF(OR(Fiscalitat!$H$21="a",Fiscalitat!$H$21="B",Fiscalitat!$H$21="D"),0,BT63*$I$14)</f>
        <v>0</v>
      </c>
      <c r="BV63" s="25">
        <f t="shared" ref="BV63:BV73" si="59">C63+I63+O63+U63+AA63+AG63+AM63+AS63+AY63+BE63+BK63+BQ63</f>
        <v>0</v>
      </c>
      <c r="BW63" s="1026">
        <f t="shared" ref="BW63:BW73" si="60">D63+J63+P63+V63+AB63+AH63+AN63+AT63+AZ63+BF63+BL63+BR63</f>
        <v>0</v>
      </c>
      <c r="BX63" s="1026">
        <f t="shared" ref="BX63:BX73" si="61">E63+K63+Q63+W63+AC63+AI63+AO63+AU63+BA63+BG63+BM63+BS63</f>
        <v>0</v>
      </c>
      <c r="BY63" s="1026">
        <f t="shared" ref="BY63:BY73" si="62">F63+L63+R63+X63+AD63+AJ63+AP63+AV63+BB63+BH63+BN63+BT63</f>
        <v>0</v>
      </c>
      <c r="BZ63" s="1026">
        <f t="shared" si="55"/>
        <v>0</v>
      </c>
      <c r="CA63" s="908" t="s">
        <v>59</v>
      </c>
      <c r="CB63" s="1027">
        <f>$BY62</f>
        <v>0</v>
      </c>
      <c r="CC63" s="1027">
        <f>$BY63</f>
        <v>0</v>
      </c>
      <c r="CD63" s="1027">
        <f>$BY64</f>
        <v>0</v>
      </c>
      <c r="CE63" s="1027">
        <f>$BY65</f>
        <v>0</v>
      </c>
      <c r="CF63" s="1027">
        <f>$BY66</f>
        <v>0</v>
      </c>
      <c r="CG63" s="1027">
        <f>$BY67</f>
        <v>0</v>
      </c>
      <c r="CH63" s="1027">
        <f>$BY68</f>
        <v>0</v>
      </c>
      <c r="CI63" s="1027">
        <f>$BY69</f>
        <v>0</v>
      </c>
      <c r="CJ63" s="1027">
        <f>$BY70</f>
        <v>0</v>
      </c>
      <c r="CK63" s="1027">
        <f>$BY71</f>
        <v>0</v>
      </c>
      <c r="CL63" s="1027">
        <f>$BY72</f>
        <v>0</v>
      </c>
      <c r="CM63" s="1027">
        <f>$BY73</f>
        <v>0</v>
      </c>
      <c r="CN63" s="1028">
        <f>SUM(CB63:CM63)</f>
        <v>0</v>
      </c>
      <c r="CO63" s="1029">
        <f t="shared" ref="CO63:CO73" si="63">IF(BW63=0,0,(BW63-BY63)/BW63)</f>
        <v>0</v>
      </c>
    </row>
    <row r="64" spans="1:93" ht="13" x14ac:dyDescent="0.3">
      <c r="A64" s="1019" t="str">
        <f t="shared" si="56"/>
        <v>MARÇ</v>
      </c>
      <c r="B64" s="1035">
        <f>'Introducció dades'!C204</f>
        <v>0</v>
      </c>
      <c r="C64" s="1021">
        <f t="shared" si="45"/>
        <v>0</v>
      </c>
      <c r="D64" s="1022">
        <f>IF(OR(Fiscalitat!$H$21="a",Fiscalitat!$H$21="B",Fiscalitat!$H$21="D"),((1+$F$3)*C64*D$3),C64*$D$3)</f>
        <v>0</v>
      </c>
      <c r="E64" s="1022">
        <f>IF(OR(Fiscalitat!$H$21="a",Fiscalitat!$H$21="B",Fiscalitat!$H$21="D"),0,D64*$F$3)</f>
        <v>0</v>
      </c>
      <c r="F64" s="1022">
        <f>IF(OR(Fiscalitat!$H$21="B",Fiscalitat!$H$21="D"),D64*(1-$E$3)+C64*$D$3*$K$3*(1-$E$3),D64*(1-$E$3))</f>
        <v>0</v>
      </c>
      <c r="G64" s="1022">
        <f>IF(OR(Fiscalitat!$H$21="a",Fiscalitat!$H$21="B",Fiscalitat!$H$21="D"),0,F64*$I$3)</f>
        <v>0</v>
      </c>
      <c r="H64" s="1036">
        <f>'Introducció dades'!D204</f>
        <v>0</v>
      </c>
      <c r="I64" s="1024">
        <f t="shared" si="46"/>
        <v>0</v>
      </c>
      <c r="J64" s="794">
        <f>IF(OR(Fiscalitat!$H$21="a",Fiscalitat!$H$21="B",Fiscalitat!$H$21="D"),((1+$F$4)*I64*D$4),I64*$D$4)</f>
        <v>0</v>
      </c>
      <c r="K64" s="794">
        <f>IF(OR(Fiscalitat!$H$21="a",Fiscalitat!$H$21="B",Fiscalitat!$H$21="D"),0,J64*$F$4)</f>
        <v>0</v>
      </c>
      <c r="L64" s="794">
        <f>IF(OR(Fiscalitat!$H$21="B",Fiscalitat!$H$21="D"),J64*(1-$E$4)+I64*$D$4*$K$4*(1-$E$4),J64*(1-$E$4))</f>
        <v>0</v>
      </c>
      <c r="M64" s="794">
        <f>IF(OR(Fiscalitat!$H$21="a",Fiscalitat!$H$21="B",Fiscalitat!$H$21="D"),0,L64*$I$4)</f>
        <v>0</v>
      </c>
      <c r="N64" s="1035">
        <f>'Introducció dades'!E204</f>
        <v>0</v>
      </c>
      <c r="O64" s="1021">
        <f t="shared" si="57"/>
        <v>0</v>
      </c>
      <c r="P64" s="1022">
        <f>IF(OR(Fiscalitat!$H$21="a",Fiscalitat!$H$21="B",Fiscalitat!$H$21="D"),((1+$F$5)*O64*D$5),O64*$D$5)</f>
        <v>0</v>
      </c>
      <c r="Q64" s="1022">
        <f>IF(OR(Fiscalitat!$H$21="a",Fiscalitat!$H$21="B",Fiscalitat!$H$21="D"),0,P64*$F$5)</f>
        <v>0</v>
      </c>
      <c r="R64" s="1022">
        <f>IF(OR(Fiscalitat!$H$21="B",Fiscalitat!$H$21="D"),P64*(1-$E$5)+O64*$D$5*$K$5*(1-$E$5),P64*(1-$E$5))</f>
        <v>0</v>
      </c>
      <c r="S64" s="1022">
        <f>IF(OR(Fiscalitat!$H$21="a",Fiscalitat!$H$21="B",Fiscalitat!$H$21="D"),0,R64*$I$5)</f>
        <v>0</v>
      </c>
      <c r="T64" s="1036">
        <f>'Introducció dades'!F204</f>
        <v>0</v>
      </c>
      <c r="U64" s="1024">
        <f t="shared" si="58"/>
        <v>0</v>
      </c>
      <c r="V64" s="794">
        <f>IF(OR(Fiscalitat!$H$21="a",Fiscalitat!$H$21="B",Fiscalitat!$H$21="D"),((1+$F$6)*U64*D$6),U64*$D$6)</f>
        <v>0</v>
      </c>
      <c r="W64" s="794">
        <f>IF(OR(Fiscalitat!$H$21="a",Fiscalitat!$H$21="B",Fiscalitat!$H$21="D"),0,V64*$F$6)</f>
        <v>0</v>
      </c>
      <c r="X64" s="794">
        <f>IF(OR(Fiscalitat!$H$21="B",Fiscalitat!$H$21="D"),V64*(1-$E$6)+U64*$D$6*$K$6*(1-$E$6),V64*(1-$E$6))</f>
        <v>0</v>
      </c>
      <c r="Y64" s="794">
        <f>IF(OR(Fiscalitat!$H$21="a",Fiscalitat!$H$21="B",Fiscalitat!$H$21="D"),0,X64*$I$6)</f>
        <v>0</v>
      </c>
      <c r="Z64" s="1035">
        <f>'Introducció dades'!G204</f>
        <v>0</v>
      </c>
      <c r="AA64" s="1021">
        <f t="shared" si="47"/>
        <v>0</v>
      </c>
      <c r="AB64" s="1022">
        <f>IF(OR(Fiscalitat!$H$21="a",Fiscalitat!$H$21="B",Fiscalitat!$H$21="D"),((1+$F$7)*AA64*D$7),AA64*$D$7)</f>
        <v>0</v>
      </c>
      <c r="AC64" s="1022">
        <f>IF(OR(Fiscalitat!$H$21="a",Fiscalitat!$H$21="B",Fiscalitat!$H$21="D"),0,AB64*$F$7)</f>
        <v>0</v>
      </c>
      <c r="AD64" s="1022">
        <f>IF(OR(Fiscalitat!$H$21="B",Fiscalitat!$H$21="D"),AB64*(1-$E$7)+AA64*$D$7*$K$7*(1-$E$7),AB64*(1-$E$7))</f>
        <v>0</v>
      </c>
      <c r="AE64" s="1022">
        <f>IF(OR(Fiscalitat!$H$21="a",Fiscalitat!$H$21="B",Fiscalitat!$H$21="D"),0,AD64*$I$7)</f>
        <v>0</v>
      </c>
      <c r="AF64" s="1036">
        <f>'Introducció dades'!H204</f>
        <v>0</v>
      </c>
      <c r="AG64" s="1024">
        <f t="shared" si="48"/>
        <v>0</v>
      </c>
      <c r="AH64" s="794">
        <f>IF(OR(Fiscalitat!$H$21="a",Fiscalitat!$H$21="B",Fiscalitat!$H$21="D"),((1+$F$8)*AG64*D$8),AG64*$D$8)</f>
        <v>0</v>
      </c>
      <c r="AI64" s="794">
        <f>IF(OR(Fiscalitat!$H$21="a",Fiscalitat!$H$21="B",Fiscalitat!$H$21="D"),0,AH64*$F$8)</f>
        <v>0</v>
      </c>
      <c r="AJ64" s="794">
        <f>IF(OR(Fiscalitat!$H$21="B",Fiscalitat!$H$21="D"),AH64*(1-$E$8)+AG64*$D$8*$K$8*(1-$E$8),AH64*(1-$E$8))</f>
        <v>0</v>
      </c>
      <c r="AK64" s="794">
        <f>IF(OR(Fiscalitat!$H$21="a",Fiscalitat!$H$21="B",Fiscalitat!$H$21="D"),0,AJ64*$I$8)</f>
        <v>0</v>
      </c>
      <c r="AL64" s="1035">
        <f>'Introducció dades'!I204</f>
        <v>0</v>
      </c>
      <c r="AM64" s="1021">
        <f t="shared" si="49"/>
        <v>0</v>
      </c>
      <c r="AN64" s="1022">
        <f>IF(OR(Fiscalitat!$H$21="a",Fiscalitat!$H$21="B",Fiscalitat!$H$21="D"),((1+$F$9)*AM64*D$9),AM64*$D$9)</f>
        <v>0</v>
      </c>
      <c r="AO64" s="1022">
        <f>IF(OR(Fiscalitat!$H$21="a",Fiscalitat!$H$21="B",Fiscalitat!$H$21="D"),0,AN64*$F$9)</f>
        <v>0</v>
      </c>
      <c r="AP64" s="1022">
        <f>IF(OR(Fiscalitat!$H$21="B",Fiscalitat!$H$21="D"),AN64*(1-$E$9)+AM64*$D$9*$K$9*(1-$E$9),AN64*(1-$E$9))</f>
        <v>0</v>
      </c>
      <c r="AQ64" s="1022">
        <f>IF(OR(Fiscalitat!$H$21="a",Fiscalitat!$H$21="B",Fiscalitat!$H$21="D"),0,AP64*$I$9)</f>
        <v>0</v>
      </c>
      <c r="AR64" s="1036">
        <f>'Introducció dades'!J204</f>
        <v>0</v>
      </c>
      <c r="AS64" s="1024">
        <f t="shared" si="50"/>
        <v>0</v>
      </c>
      <c r="AT64" s="794">
        <f>IF(OR(Fiscalitat!$H$21="a",Fiscalitat!$H$21="B",Fiscalitat!$H$21="D"),((1+$F$10)*AS64*D$10),AS64*$D$10)</f>
        <v>0</v>
      </c>
      <c r="AU64" s="794">
        <f>IF(OR(Fiscalitat!$H$21="a",Fiscalitat!$H$21="B",Fiscalitat!$H$21="D"),0,AT64*$F$10)</f>
        <v>0</v>
      </c>
      <c r="AV64" s="794">
        <f>IF(OR(Fiscalitat!$H$21="B",Fiscalitat!$H$21="D"),AT64*(1-$E$10)+AS64*$D$10*$K$10*(1-$E$10),AT64*(1-$E$10))</f>
        <v>0</v>
      </c>
      <c r="AW64" s="794">
        <f>IF(OR(Fiscalitat!$H$21="a",Fiscalitat!$H$21="B",Fiscalitat!$H$21="D"),0,AV64*$I$10)</f>
        <v>0</v>
      </c>
      <c r="AX64" s="1035">
        <f>'Introducció dades'!K204</f>
        <v>0</v>
      </c>
      <c r="AY64" s="1021">
        <f t="shared" si="51"/>
        <v>0</v>
      </c>
      <c r="AZ64" s="1022">
        <f>IF(OR(Fiscalitat!$H$21="a",Fiscalitat!$H$21="B",Fiscalitat!$H$21="D"),((1+$F$11)*AY64*D$11),AY64*$D$11)</f>
        <v>0</v>
      </c>
      <c r="BA64" s="1022">
        <f>IF(OR(Fiscalitat!$H$21="a",Fiscalitat!$H$21="B",Fiscalitat!$H$21="D"),0,AZ64*$F$11)</f>
        <v>0</v>
      </c>
      <c r="BB64" s="1022">
        <f>IF(OR(Fiscalitat!$H$21="B",Fiscalitat!$H$21="D"),AZ64*(1-$E$11)+AY64*$D$11*$K$11*(1-$E$11),AZ64*(1-$E$11))</f>
        <v>0</v>
      </c>
      <c r="BC64" s="1022">
        <f>IF(OR(Fiscalitat!$H$21="a",Fiscalitat!$H$21="B",Fiscalitat!$H$21="D"),0,BB64*$I$11)</f>
        <v>0</v>
      </c>
      <c r="BD64" s="1036">
        <f>'Introducció dades'!L204</f>
        <v>0</v>
      </c>
      <c r="BE64" s="1024">
        <f t="shared" si="52"/>
        <v>0</v>
      </c>
      <c r="BF64" s="794">
        <f>IF(OR(Fiscalitat!$H$21="a",Fiscalitat!$H$21="B",Fiscalitat!$H$21="D"),((1+$F$12)*BE64*D$12),BE64*$D$12)</f>
        <v>0</v>
      </c>
      <c r="BG64" s="794">
        <f>IF(OR(Fiscalitat!$H$21="a",Fiscalitat!$H$21="B",Fiscalitat!$H$21="D"),0,BF64*$F$12)</f>
        <v>0</v>
      </c>
      <c r="BH64" s="794">
        <f>IF(OR(Fiscalitat!$H$21="B",Fiscalitat!$H$21="D"),BF64*(1-$E$12)+BE64*$D$12*$K$12*(1-$E$12),BF64*(1-$E$12))</f>
        <v>0</v>
      </c>
      <c r="BI64" s="794">
        <f>IF(OR(Fiscalitat!$H$21="a",Fiscalitat!$H$21="B",Fiscalitat!$H$21="D"),0,BH64*$I$12)</f>
        <v>0</v>
      </c>
      <c r="BJ64" s="1035">
        <f>'Introducció dades'!M204</f>
        <v>0</v>
      </c>
      <c r="BK64" s="1021">
        <f t="shared" si="53"/>
        <v>0</v>
      </c>
      <c r="BL64" s="1022">
        <f>IF(OR(Fiscalitat!$H$21="a",Fiscalitat!$H$21="B",Fiscalitat!$H$21="D"),((1+$F$13)*BK64*D$13),BK64*$D$13)</f>
        <v>0</v>
      </c>
      <c r="BM64" s="1022">
        <f>IF(OR(Fiscalitat!$H$21="a",Fiscalitat!$H$21="B",Fiscalitat!$H$21="D"),0,BL64*$F$13)</f>
        <v>0</v>
      </c>
      <c r="BN64" s="1022">
        <f>IF(OR(Fiscalitat!$H$21="B",Fiscalitat!$H$21="D"),BL64*(1-$E$13)+BK64*$D$13*$K$13*(1-$E$13),BL64*(1-$E$13))</f>
        <v>0</v>
      </c>
      <c r="BO64" s="1022">
        <f>IF(OR(Fiscalitat!$H$21="a",Fiscalitat!$H$21="B",Fiscalitat!$H$21="D"),0,BN64*$I$13)</f>
        <v>0</v>
      </c>
      <c r="BP64" s="1036">
        <f>'Introducció dades'!N204</f>
        <v>0</v>
      </c>
      <c r="BQ64" s="1024">
        <f t="shared" si="54"/>
        <v>0</v>
      </c>
      <c r="BR64" s="794">
        <f>IF(OR(Fiscalitat!$H$21="a",Fiscalitat!$H$21="B",Fiscalitat!$H$21="D"),((1+$F$14)*BQ64*D$14),BQ64*$D$14)</f>
        <v>0</v>
      </c>
      <c r="BS64" s="794">
        <f>IF(OR(Fiscalitat!$H$21="a",Fiscalitat!$H$21="B",Fiscalitat!$H$21="D"),0,BR64*$F$14)</f>
        <v>0</v>
      </c>
      <c r="BT64" s="794">
        <f>IF(OR(Fiscalitat!$H$21="B",Fiscalitat!$H$21="D"),BR64*(1-$E$14)+BQ64*$D$14*$K$14*(1-$E$14),BR64*(1-$E$14))</f>
        <v>0</v>
      </c>
      <c r="BU64" s="794">
        <f>IF(OR(Fiscalitat!$H$21="a",Fiscalitat!$H$21="B",Fiscalitat!$H$21="D"),0,BT64*$I$14)</f>
        <v>0</v>
      </c>
      <c r="BV64" s="25">
        <f t="shared" si="59"/>
        <v>0</v>
      </c>
      <c r="BW64" s="1026">
        <f t="shared" si="60"/>
        <v>0</v>
      </c>
      <c r="BX64" s="1026">
        <f t="shared" si="61"/>
        <v>0</v>
      </c>
      <c r="BY64" s="1026">
        <f t="shared" si="62"/>
        <v>0</v>
      </c>
      <c r="BZ64" s="1026">
        <f t="shared" si="55"/>
        <v>0</v>
      </c>
      <c r="CA64" s="108" t="s">
        <v>306</v>
      </c>
      <c r="CB64" s="1027">
        <f>$BX62</f>
        <v>0</v>
      </c>
      <c r="CC64" s="1027">
        <f>$BX63</f>
        <v>0</v>
      </c>
      <c r="CD64" s="1027">
        <f>$BX64</f>
        <v>0</v>
      </c>
      <c r="CE64" s="1027">
        <f>$BX65</f>
        <v>0</v>
      </c>
      <c r="CF64" s="1027">
        <f>$BX66</f>
        <v>0</v>
      </c>
      <c r="CG64" s="1027">
        <f>$BX67</f>
        <v>0</v>
      </c>
      <c r="CH64" s="1027">
        <f>$BX68</f>
        <v>0</v>
      </c>
      <c r="CI64" s="1027">
        <f>$BX69</f>
        <v>0</v>
      </c>
      <c r="CJ64" s="1027">
        <f>$BX70</f>
        <v>0</v>
      </c>
      <c r="CK64" s="1027">
        <f>$BX71</f>
        <v>0</v>
      </c>
      <c r="CL64" s="1027">
        <f>$BX72</f>
        <v>0</v>
      </c>
      <c r="CM64" s="1027">
        <f>$BX73</f>
        <v>0</v>
      </c>
      <c r="CN64" s="1028">
        <f>SUM(CB64:CM64)</f>
        <v>0</v>
      </c>
      <c r="CO64" s="1029">
        <f t="shared" si="63"/>
        <v>0</v>
      </c>
    </row>
    <row r="65" spans="1:93" ht="13" x14ac:dyDescent="0.3">
      <c r="A65" s="1019" t="str">
        <f t="shared" si="56"/>
        <v>ABRIL</v>
      </c>
      <c r="B65" s="1035">
        <f>'Introducció dades'!C205</f>
        <v>0</v>
      </c>
      <c r="C65" s="1021">
        <f t="shared" si="45"/>
        <v>0</v>
      </c>
      <c r="D65" s="1022">
        <f>IF(OR(Fiscalitat!$H$21="a",Fiscalitat!$H$21="B",Fiscalitat!$H$21="D"),((1+$F$3)*C65*D$3),C65*$D$3)</f>
        <v>0</v>
      </c>
      <c r="E65" s="1022">
        <f>IF(OR(Fiscalitat!$H$21="a",Fiscalitat!$H$21="B",Fiscalitat!$H$21="D"),0,D65*$F$3)</f>
        <v>0</v>
      </c>
      <c r="F65" s="1022">
        <f>IF(OR(Fiscalitat!$H$21="B",Fiscalitat!$H$21="D"),D65*(1-$E$3)+C65*$D$3*$K$3*(1-$E$3),D65*(1-$E$3))</f>
        <v>0</v>
      </c>
      <c r="G65" s="1022">
        <f>IF(OR(Fiscalitat!$H$21="a",Fiscalitat!$H$21="B",Fiscalitat!$H$21="D"),0,F65*$I$3)</f>
        <v>0</v>
      </c>
      <c r="H65" s="1036">
        <f>'Introducció dades'!D205</f>
        <v>0</v>
      </c>
      <c r="I65" s="1024">
        <f t="shared" si="46"/>
        <v>0</v>
      </c>
      <c r="J65" s="794">
        <f>IF(OR(Fiscalitat!$H$21="a",Fiscalitat!$H$21="B",Fiscalitat!$H$21="D"),((1+$F$4)*I65*D$4),I65*$D$4)</f>
        <v>0</v>
      </c>
      <c r="K65" s="794">
        <f>IF(OR(Fiscalitat!$H$21="a",Fiscalitat!$H$21="B",Fiscalitat!$H$21="D"),0,J65*$F$4)</f>
        <v>0</v>
      </c>
      <c r="L65" s="794">
        <f>IF(OR(Fiscalitat!$H$21="B",Fiscalitat!$H$21="D"),J65*(1-$E$4)+I65*$D$4*$K$4*(1-$E$4),J65*(1-$E$4))</f>
        <v>0</v>
      </c>
      <c r="M65" s="794">
        <f>IF(OR(Fiscalitat!$H$21="a",Fiscalitat!$H$21="B",Fiscalitat!$H$21="D"),0,L65*$I$4)</f>
        <v>0</v>
      </c>
      <c r="N65" s="1035">
        <f>'Introducció dades'!E205</f>
        <v>0</v>
      </c>
      <c r="O65" s="1021">
        <f t="shared" si="57"/>
        <v>0</v>
      </c>
      <c r="P65" s="1022">
        <f>IF(OR(Fiscalitat!$H$21="a",Fiscalitat!$H$21="B",Fiscalitat!$H$21="D"),((1+$F$5)*O65*D$5),O65*$D$5)</f>
        <v>0</v>
      </c>
      <c r="Q65" s="1022">
        <f>IF(OR(Fiscalitat!$H$21="a",Fiscalitat!$H$21="B",Fiscalitat!$H$21="D"),0,P65*$F$5)</f>
        <v>0</v>
      </c>
      <c r="R65" s="1022">
        <f>IF(OR(Fiscalitat!$H$21="B",Fiscalitat!$H$21="D"),P65*(1-$E$5)+O65*$D$5*$K$5*(1-$E$5),P65*(1-$E$5))</f>
        <v>0</v>
      </c>
      <c r="S65" s="1022">
        <f>IF(OR(Fiscalitat!$H$21="a",Fiscalitat!$H$21="B",Fiscalitat!$H$21="D"),0,R65*$I$5)</f>
        <v>0</v>
      </c>
      <c r="T65" s="1036">
        <f>'Introducció dades'!F205</f>
        <v>0</v>
      </c>
      <c r="U65" s="1024">
        <f t="shared" si="58"/>
        <v>0</v>
      </c>
      <c r="V65" s="794">
        <f>IF(OR(Fiscalitat!$H$21="a",Fiscalitat!$H$21="B",Fiscalitat!$H$21="D"),((1+$F$6)*U65*D$6),U65*$D$6)</f>
        <v>0</v>
      </c>
      <c r="W65" s="794">
        <f>IF(OR(Fiscalitat!$H$21="a",Fiscalitat!$H$21="B",Fiscalitat!$H$21="D"),0,V65*$F$6)</f>
        <v>0</v>
      </c>
      <c r="X65" s="794">
        <f>IF(OR(Fiscalitat!$H$21="B",Fiscalitat!$H$21="D"),V65*(1-$E$6)+U65*$D$6*$K$6*(1-$E$6),V65*(1-$E$6))</f>
        <v>0</v>
      </c>
      <c r="Y65" s="794">
        <f>IF(OR(Fiscalitat!$H$21="a",Fiscalitat!$H$21="B",Fiscalitat!$H$21="D"),0,X65*$I$6)</f>
        <v>0</v>
      </c>
      <c r="Z65" s="1035">
        <f>'Introducció dades'!G205</f>
        <v>0</v>
      </c>
      <c r="AA65" s="1021">
        <f t="shared" si="47"/>
        <v>0</v>
      </c>
      <c r="AB65" s="1022">
        <f>IF(OR(Fiscalitat!$H$21="a",Fiscalitat!$H$21="B",Fiscalitat!$H$21="D"),((1+$F$7)*AA65*D$7),AA65*$D$7)</f>
        <v>0</v>
      </c>
      <c r="AC65" s="1022">
        <f>IF(OR(Fiscalitat!$H$21="a",Fiscalitat!$H$21="B",Fiscalitat!$H$21="D"),0,AB65*$F$7)</f>
        <v>0</v>
      </c>
      <c r="AD65" s="1022">
        <f>IF(OR(Fiscalitat!$H$21="B",Fiscalitat!$H$21="D"),AB65*(1-$E$7)+AA65*$D$7*$K$7*(1-$E$7),AB65*(1-$E$7))</f>
        <v>0</v>
      </c>
      <c r="AE65" s="1022">
        <f>IF(OR(Fiscalitat!$H$21="a",Fiscalitat!$H$21="B",Fiscalitat!$H$21="D"),0,AD65*$I$7)</f>
        <v>0</v>
      </c>
      <c r="AF65" s="1036">
        <f>'Introducció dades'!H205</f>
        <v>0</v>
      </c>
      <c r="AG65" s="1024">
        <f t="shared" si="48"/>
        <v>0</v>
      </c>
      <c r="AH65" s="794">
        <f>IF(OR(Fiscalitat!$H$21="a",Fiscalitat!$H$21="B",Fiscalitat!$H$21="D"),((1+$F$8)*AG65*D$8),AG65*$D$8)</f>
        <v>0</v>
      </c>
      <c r="AI65" s="794">
        <f>IF(OR(Fiscalitat!$H$21="a",Fiscalitat!$H$21="B",Fiscalitat!$H$21="D"),0,AH65*$F$8)</f>
        <v>0</v>
      </c>
      <c r="AJ65" s="794">
        <f>IF(OR(Fiscalitat!$H$21="B",Fiscalitat!$H$21="D"),AH65*(1-$E$8)+AG65*$D$8*$K$8*(1-$E$8),AH65*(1-$E$8))</f>
        <v>0</v>
      </c>
      <c r="AK65" s="794">
        <f>IF(OR(Fiscalitat!$H$21="a",Fiscalitat!$H$21="B",Fiscalitat!$H$21="D"),0,AJ65*$I$8)</f>
        <v>0</v>
      </c>
      <c r="AL65" s="1035">
        <f>'Introducció dades'!I205</f>
        <v>0</v>
      </c>
      <c r="AM65" s="1021">
        <f t="shared" si="49"/>
        <v>0</v>
      </c>
      <c r="AN65" s="1022">
        <f>IF(OR(Fiscalitat!$H$21="a",Fiscalitat!$H$21="B",Fiscalitat!$H$21="D"),((1+$F$9)*AM65*D$9),AM65*$D$9)</f>
        <v>0</v>
      </c>
      <c r="AO65" s="1022">
        <f>IF(OR(Fiscalitat!$H$21="a",Fiscalitat!$H$21="B",Fiscalitat!$H$21="D"),0,AN65*$F$9)</f>
        <v>0</v>
      </c>
      <c r="AP65" s="1022">
        <f>IF(OR(Fiscalitat!$H$21="B",Fiscalitat!$H$21="D"),AN65*(1-$E$9)+AM65*$D$9*$K$9*(1-$E$9),AN65*(1-$E$9))</f>
        <v>0</v>
      </c>
      <c r="AQ65" s="1022">
        <f>IF(OR(Fiscalitat!$H$21="a",Fiscalitat!$H$21="B",Fiscalitat!$H$21="D"),0,AP65*$I$9)</f>
        <v>0</v>
      </c>
      <c r="AR65" s="1036">
        <f>'Introducció dades'!J205</f>
        <v>0</v>
      </c>
      <c r="AS65" s="1024">
        <f t="shared" si="50"/>
        <v>0</v>
      </c>
      <c r="AT65" s="794">
        <f>IF(OR(Fiscalitat!$H$21="a",Fiscalitat!$H$21="B",Fiscalitat!$H$21="D"),((1+$F$10)*AS65*D$10),AS65*$D$10)</f>
        <v>0</v>
      </c>
      <c r="AU65" s="794">
        <f>IF(OR(Fiscalitat!$H$21="a",Fiscalitat!$H$21="B",Fiscalitat!$H$21="D"),0,AT65*$F$10)</f>
        <v>0</v>
      </c>
      <c r="AV65" s="794">
        <f>IF(OR(Fiscalitat!$H$21="B",Fiscalitat!$H$21="D"),AT65*(1-$E$10)+AS65*$D$10*$K$10*(1-$E$10),AT65*(1-$E$10))</f>
        <v>0</v>
      </c>
      <c r="AW65" s="794">
        <f>IF(OR(Fiscalitat!$H$21="a",Fiscalitat!$H$21="B",Fiscalitat!$H$21="D"),0,AV65*$I$10)</f>
        <v>0</v>
      </c>
      <c r="AX65" s="1035">
        <f>'Introducció dades'!K205</f>
        <v>0</v>
      </c>
      <c r="AY65" s="1021">
        <f t="shared" si="51"/>
        <v>0</v>
      </c>
      <c r="AZ65" s="1022">
        <f>IF(OR(Fiscalitat!$H$21="a",Fiscalitat!$H$21="B",Fiscalitat!$H$21="D"),((1+$F$11)*AY65*D$11),AY65*$D$11)</f>
        <v>0</v>
      </c>
      <c r="BA65" s="1022">
        <f>IF(OR(Fiscalitat!$H$21="a",Fiscalitat!$H$21="B",Fiscalitat!$H$21="D"),0,AZ65*$F$11)</f>
        <v>0</v>
      </c>
      <c r="BB65" s="1022">
        <f>IF(OR(Fiscalitat!$H$21="B",Fiscalitat!$H$21="D"),AZ65*(1-$E$11)+AY65*$D$11*$K$11*(1-$E$11),AZ65*(1-$E$11))</f>
        <v>0</v>
      </c>
      <c r="BC65" s="1022">
        <f>IF(OR(Fiscalitat!$H$21="a",Fiscalitat!$H$21="B",Fiscalitat!$H$21="D"),0,BB65*$I$11)</f>
        <v>0</v>
      </c>
      <c r="BD65" s="1036">
        <f>'Introducció dades'!L205</f>
        <v>0</v>
      </c>
      <c r="BE65" s="1024">
        <f t="shared" si="52"/>
        <v>0</v>
      </c>
      <c r="BF65" s="794">
        <f>IF(OR(Fiscalitat!$H$21="a",Fiscalitat!$H$21="B",Fiscalitat!$H$21="D"),((1+$F$12)*BE65*D$12),BE65*$D$12)</f>
        <v>0</v>
      </c>
      <c r="BG65" s="794">
        <f>IF(OR(Fiscalitat!$H$21="a",Fiscalitat!$H$21="B",Fiscalitat!$H$21="D"),0,BF65*$F$12)</f>
        <v>0</v>
      </c>
      <c r="BH65" s="794">
        <f>IF(OR(Fiscalitat!$H$21="B",Fiscalitat!$H$21="D"),BF65*(1-$E$12)+BE65*$D$12*$K$12*(1-$E$12),BF65*(1-$E$12))</f>
        <v>0</v>
      </c>
      <c r="BI65" s="794">
        <f>IF(OR(Fiscalitat!$H$21="a",Fiscalitat!$H$21="B",Fiscalitat!$H$21="D"),0,BH65*$I$12)</f>
        <v>0</v>
      </c>
      <c r="BJ65" s="1035">
        <f>'Introducció dades'!M205</f>
        <v>0</v>
      </c>
      <c r="BK65" s="1021">
        <f t="shared" si="53"/>
        <v>0</v>
      </c>
      <c r="BL65" s="1022">
        <f>IF(OR(Fiscalitat!$H$21="a",Fiscalitat!$H$21="B",Fiscalitat!$H$21="D"),((1+$F$13)*BK65*D$13),BK65*$D$13)</f>
        <v>0</v>
      </c>
      <c r="BM65" s="1022">
        <f>IF(OR(Fiscalitat!$H$21="a",Fiscalitat!$H$21="B",Fiscalitat!$H$21="D"),0,BL65*$F$13)</f>
        <v>0</v>
      </c>
      <c r="BN65" s="1022">
        <f>IF(OR(Fiscalitat!$H$21="B",Fiscalitat!$H$21="D"),BL65*(1-$E$13)+BK65*$D$13*$K$13*(1-$E$13),BL65*(1-$E$13))</f>
        <v>0</v>
      </c>
      <c r="BO65" s="1022">
        <f>IF(OR(Fiscalitat!$H$21="a",Fiscalitat!$H$21="B",Fiscalitat!$H$21="D"),0,BN65*$I$13)</f>
        <v>0</v>
      </c>
      <c r="BP65" s="1036">
        <f>'Introducció dades'!N205</f>
        <v>0</v>
      </c>
      <c r="BQ65" s="1024">
        <f t="shared" si="54"/>
        <v>0</v>
      </c>
      <c r="BR65" s="794">
        <f>IF(OR(Fiscalitat!$H$21="a",Fiscalitat!$H$21="B",Fiscalitat!$H$21="D"),((1+$F$14)*BQ65*D$14),BQ65*$D$14)</f>
        <v>0</v>
      </c>
      <c r="BS65" s="794">
        <f>IF(OR(Fiscalitat!$H$21="a",Fiscalitat!$H$21="B",Fiscalitat!$H$21="D"),0,BR65*$F$14)</f>
        <v>0</v>
      </c>
      <c r="BT65" s="794">
        <f>IF(OR(Fiscalitat!$H$21="B",Fiscalitat!$H$21="D"),BR65*(1-$E$14)+BQ65*$D$14*$K$14*(1-$E$14),BR65*(1-$E$14))</f>
        <v>0</v>
      </c>
      <c r="BU65" s="794">
        <f>IF(OR(Fiscalitat!$H$21="a",Fiscalitat!$H$21="B",Fiscalitat!$H$21="D"),0,BT65*$I$14)</f>
        <v>0</v>
      </c>
      <c r="BV65" s="25">
        <f t="shared" si="59"/>
        <v>0</v>
      </c>
      <c r="BW65" s="1026">
        <f t="shared" si="60"/>
        <v>0</v>
      </c>
      <c r="BX65" s="1026">
        <f t="shared" si="61"/>
        <v>0</v>
      </c>
      <c r="BY65" s="1026">
        <f t="shared" si="62"/>
        <v>0</v>
      </c>
      <c r="BZ65" s="1026">
        <f t="shared" si="55"/>
        <v>0</v>
      </c>
      <c r="CA65" s="108" t="s">
        <v>314</v>
      </c>
      <c r="CB65" s="1030"/>
      <c r="CC65" s="1030"/>
      <c r="CD65" s="1030"/>
      <c r="CE65" s="1030"/>
      <c r="CF65" s="1030"/>
      <c r="CG65" s="1030"/>
      <c r="CH65" s="1030"/>
      <c r="CI65" s="1030"/>
      <c r="CJ65" s="1030"/>
      <c r="CK65" s="1030"/>
      <c r="CL65" s="1030"/>
      <c r="CM65" s="1030"/>
      <c r="CN65" s="1031">
        <f>IF(CN62=0,0,CN64/CN62)</f>
        <v>0</v>
      </c>
      <c r="CO65" s="1029">
        <f t="shared" si="63"/>
        <v>0</v>
      </c>
    </row>
    <row r="66" spans="1:93" ht="13" x14ac:dyDescent="0.3">
      <c r="A66" s="1019" t="str">
        <f t="shared" si="56"/>
        <v>MAIG</v>
      </c>
      <c r="B66" s="1035">
        <f>'Introducció dades'!C206</f>
        <v>0</v>
      </c>
      <c r="C66" s="1021">
        <f t="shared" si="45"/>
        <v>0</v>
      </c>
      <c r="D66" s="1022">
        <f>IF(OR(Fiscalitat!$H$21="a",Fiscalitat!$H$21="B",Fiscalitat!$H$21="D"),((1+$F$3)*C66*D$3),C66*$D$3)</f>
        <v>0</v>
      </c>
      <c r="E66" s="1022">
        <f>IF(OR(Fiscalitat!$H$21="a",Fiscalitat!$H$21="B",Fiscalitat!$H$21="D"),0,D66*$F$3)</f>
        <v>0</v>
      </c>
      <c r="F66" s="1022">
        <f>IF(OR(Fiscalitat!$H$21="B",Fiscalitat!$H$21="D"),D66*(1-$E$3)+C66*$D$3*$K$3*(1-$E$3),D66*(1-$E$3))</f>
        <v>0</v>
      </c>
      <c r="G66" s="1022">
        <f>IF(OR(Fiscalitat!$H$21="a",Fiscalitat!$H$21="B",Fiscalitat!$H$21="D"),0,F66*$I$3)</f>
        <v>0</v>
      </c>
      <c r="H66" s="1036">
        <f>'Introducció dades'!D206</f>
        <v>0</v>
      </c>
      <c r="I66" s="1024">
        <f t="shared" si="46"/>
        <v>0</v>
      </c>
      <c r="J66" s="794">
        <f>IF(OR(Fiscalitat!$H$21="a",Fiscalitat!$H$21="B",Fiscalitat!$H$21="D"),((1+$F$4)*I66*D$4),I66*$D$4)</f>
        <v>0</v>
      </c>
      <c r="K66" s="794">
        <f>IF(OR(Fiscalitat!$H$21="a",Fiscalitat!$H$21="B",Fiscalitat!$H$21="D"),0,J66*$F$4)</f>
        <v>0</v>
      </c>
      <c r="L66" s="794">
        <f>IF(OR(Fiscalitat!$H$21="B",Fiscalitat!$H$21="D"),J66*(1-$E$4)+I66*$D$4*$K$4*(1-$E$4),J66*(1-$E$4))</f>
        <v>0</v>
      </c>
      <c r="M66" s="794">
        <f>IF(OR(Fiscalitat!$H$21="a",Fiscalitat!$H$21="B",Fiscalitat!$H$21="D"),0,L66*$I$4)</f>
        <v>0</v>
      </c>
      <c r="N66" s="1035">
        <f>'Introducció dades'!E206</f>
        <v>0</v>
      </c>
      <c r="O66" s="1021">
        <f t="shared" si="57"/>
        <v>0</v>
      </c>
      <c r="P66" s="1022">
        <f>IF(OR(Fiscalitat!$H$21="a",Fiscalitat!$H$21="B",Fiscalitat!$H$21="D"),((1+$F$5)*O66*D$5),O66*$D$5)</f>
        <v>0</v>
      </c>
      <c r="Q66" s="1022">
        <f>IF(OR(Fiscalitat!$H$21="a",Fiscalitat!$H$21="B",Fiscalitat!$H$21="D"),0,P66*$F$5)</f>
        <v>0</v>
      </c>
      <c r="R66" s="1022">
        <f>IF(OR(Fiscalitat!$H$21="B",Fiscalitat!$H$21="D"),P66*(1-$E$5)+O66*$D$5*$K$5*(1-$E$5),P66*(1-$E$5))</f>
        <v>0</v>
      </c>
      <c r="S66" s="1022">
        <f>IF(OR(Fiscalitat!$H$21="a",Fiscalitat!$H$21="B",Fiscalitat!$H$21="D"),0,R66*$I$5)</f>
        <v>0</v>
      </c>
      <c r="T66" s="1036">
        <f>'Introducció dades'!F206</f>
        <v>0</v>
      </c>
      <c r="U66" s="1024">
        <f t="shared" si="58"/>
        <v>0</v>
      </c>
      <c r="V66" s="794">
        <f>IF(OR(Fiscalitat!$H$21="a",Fiscalitat!$H$21="B",Fiscalitat!$H$21="D"),((1+$F$6)*U66*D$6),U66*$D$6)</f>
        <v>0</v>
      </c>
      <c r="W66" s="794">
        <f>IF(OR(Fiscalitat!$H$21="a",Fiscalitat!$H$21="B",Fiscalitat!$H$21="D"),0,V66*$F$6)</f>
        <v>0</v>
      </c>
      <c r="X66" s="794">
        <f>IF(OR(Fiscalitat!$H$21="B",Fiscalitat!$H$21="D"),V66*(1-$E$6)+U66*$D$6*$K$6*(1-$E$6),V66*(1-$E$6))</f>
        <v>0</v>
      </c>
      <c r="Y66" s="794">
        <f>IF(OR(Fiscalitat!$H$21="a",Fiscalitat!$H$21="B",Fiscalitat!$H$21="D"),0,X66*$I$6)</f>
        <v>0</v>
      </c>
      <c r="Z66" s="1035">
        <f>'Introducció dades'!G206</f>
        <v>0</v>
      </c>
      <c r="AA66" s="1021">
        <f t="shared" si="47"/>
        <v>0</v>
      </c>
      <c r="AB66" s="1022">
        <f>IF(OR(Fiscalitat!$H$21="a",Fiscalitat!$H$21="B",Fiscalitat!$H$21="D"),((1+$F$7)*AA66*D$7),AA66*$D$7)</f>
        <v>0</v>
      </c>
      <c r="AC66" s="1022">
        <f>IF(OR(Fiscalitat!$H$21="a",Fiscalitat!$H$21="B",Fiscalitat!$H$21="D"),0,AB66*$F$7)</f>
        <v>0</v>
      </c>
      <c r="AD66" s="1022">
        <f>IF(OR(Fiscalitat!$H$21="B",Fiscalitat!$H$21="D"),AB66*(1-$E$7)+AA66*$D$7*$K$7*(1-$E$7),AB66*(1-$E$7))</f>
        <v>0</v>
      </c>
      <c r="AE66" s="1022">
        <f>IF(OR(Fiscalitat!$H$21="a",Fiscalitat!$H$21="B",Fiscalitat!$H$21="D"),0,AD66*$I$7)</f>
        <v>0</v>
      </c>
      <c r="AF66" s="1036">
        <f>'Introducció dades'!H206</f>
        <v>0</v>
      </c>
      <c r="AG66" s="1024">
        <f t="shared" si="48"/>
        <v>0</v>
      </c>
      <c r="AH66" s="794">
        <f>IF(OR(Fiscalitat!$H$21="a",Fiscalitat!$H$21="B",Fiscalitat!$H$21="D"),((1+$F$8)*AG66*D$8),AG66*$D$8)</f>
        <v>0</v>
      </c>
      <c r="AI66" s="794">
        <f>IF(OR(Fiscalitat!$H$21="a",Fiscalitat!$H$21="B",Fiscalitat!$H$21="D"),0,AH66*$F$8)</f>
        <v>0</v>
      </c>
      <c r="AJ66" s="794">
        <f>IF(OR(Fiscalitat!$H$21="B",Fiscalitat!$H$21="D"),AH66*(1-$E$8)+AG66*$D$8*$K$8*(1-$E$8),AH66*(1-$E$8))</f>
        <v>0</v>
      </c>
      <c r="AK66" s="794">
        <f>IF(OR(Fiscalitat!$H$21="a",Fiscalitat!$H$21="B",Fiscalitat!$H$21="D"),0,AJ66*$I$8)</f>
        <v>0</v>
      </c>
      <c r="AL66" s="1035">
        <f>'Introducció dades'!I206</f>
        <v>0</v>
      </c>
      <c r="AM66" s="1021">
        <f t="shared" si="49"/>
        <v>0</v>
      </c>
      <c r="AN66" s="1022">
        <f>IF(OR(Fiscalitat!$H$21="a",Fiscalitat!$H$21="B",Fiscalitat!$H$21="D"),((1+$F$9)*AM66*D$9),AM66*$D$9)</f>
        <v>0</v>
      </c>
      <c r="AO66" s="1022">
        <f>IF(OR(Fiscalitat!$H$21="a",Fiscalitat!$H$21="B",Fiscalitat!$H$21="D"),0,AN66*$F$9)</f>
        <v>0</v>
      </c>
      <c r="AP66" s="1022">
        <f>IF(OR(Fiscalitat!$H$21="B",Fiscalitat!$H$21="D"),AN66*(1-$E$9)+AM66*$D$9*$K$9*(1-$E$9),AN66*(1-$E$9))</f>
        <v>0</v>
      </c>
      <c r="AQ66" s="1022">
        <f>IF(OR(Fiscalitat!$H$21="a",Fiscalitat!$H$21="B",Fiscalitat!$H$21="D"),0,AP66*$I$9)</f>
        <v>0</v>
      </c>
      <c r="AR66" s="1036">
        <f>'Introducció dades'!J206</f>
        <v>0</v>
      </c>
      <c r="AS66" s="1024">
        <f t="shared" si="50"/>
        <v>0</v>
      </c>
      <c r="AT66" s="794">
        <f>IF(OR(Fiscalitat!$H$21="a",Fiscalitat!$H$21="B",Fiscalitat!$H$21="D"),((1+$F$10)*AS66*D$10),AS66*$D$10)</f>
        <v>0</v>
      </c>
      <c r="AU66" s="794">
        <f>IF(OR(Fiscalitat!$H$21="a",Fiscalitat!$H$21="B",Fiscalitat!$H$21="D"),0,AT66*$F$10)</f>
        <v>0</v>
      </c>
      <c r="AV66" s="794">
        <f>IF(OR(Fiscalitat!$H$21="B",Fiscalitat!$H$21="D"),AT66*(1-$E$10)+AS66*$D$10*$K$10*(1-$E$10),AT66*(1-$E$10))</f>
        <v>0</v>
      </c>
      <c r="AW66" s="794">
        <f>IF(OR(Fiscalitat!$H$21="a",Fiscalitat!$H$21="B",Fiscalitat!$H$21="D"),0,AV66*$I$10)</f>
        <v>0</v>
      </c>
      <c r="AX66" s="1035">
        <f>'Introducció dades'!K206</f>
        <v>0</v>
      </c>
      <c r="AY66" s="1021">
        <f t="shared" si="51"/>
        <v>0</v>
      </c>
      <c r="AZ66" s="1022">
        <f>IF(OR(Fiscalitat!$H$21="a",Fiscalitat!$H$21="B",Fiscalitat!$H$21="D"),((1+$F$11)*AY66*D$11),AY66*$D$11)</f>
        <v>0</v>
      </c>
      <c r="BA66" s="1022">
        <f>IF(OR(Fiscalitat!$H$21="a",Fiscalitat!$H$21="B",Fiscalitat!$H$21="D"),0,AZ66*$F$11)</f>
        <v>0</v>
      </c>
      <c r="BB66" s="1022">
        <f>IF(OR(Fiscalitat!$H$21="B",Fiscalitat!$H$21="D"),AZ66*(1-$E$11)+AY66*$D$11*$K$11*(1-$E$11),AZ66*(1-$E$11))</f>
        <v>0</v>
      </c>
      <c r="BC66" s="1022">
        <f>IF(OR(Fiscalitat!$H$21="a",Fiscalitat!$H$21="B",Fiscalitat!$H$21="D"),0,BB66*$I$11)</f>
        <v>0</v>
      </c>
      <c r="BD66" s="1036">
        <f>'Introducció dades'!L206</f>
        <v>0</v>
      </c>
      <c r="BE66" s="1024">
        <f t="shared" si="52"/>
        <v>0</v>
      </c>
      <c r="BF66" s="794">
        <f>IF(OR(Fiscalitat!$H$21="a",Fiscalitat!$H$21="B",Fiscalitat!$H$21="D"),((1+$F$12)*BE66*D$12),BE66*$D$12)</f>
        <v>0</v>
      </c>
      <c r="BG66" s="794">
        <f>IF(OR(Fiscalitat!$H$21="a",Fiscalitat!$H$21="B",Fiscalitat!$H$21="D"),0,BF66*$F$12)</f>
        <v>0</v>
      </c>
      <c r="BH66" s="794">
        <f>IF(OR(Fiscalitat!$H$21="B",Fiscalitat!$H$21="D"),BF66*(1-$E$12)+BE66*$D$12*$K$12*(1-$E$12),BF66*(1-$E$12))</f>
        <v>0</v>
      </c>
      <c r="BI66" s="794">
        <f>IF(OR(Fiscalitat!$H$21="a",Fiscalitat!$H$21="B",Fiscalitat!$H$21="D"),0,BH66*$I$12)</f>
        <v>0</v>
      </c>
      <c r="BJ66" s="1035">
        <f>'Introducció dades'!M206</f>
        <v>0</v>
      </c>
      <c r="BK66" s="1021">
        <f t="shared" si="53"/>
        <v>0</v>
      </c>
      <c r="BL66" s="1022">
        <f>IF(OR(Fiscalitat!$H$21="a",Fiscalitat!$H$21="B",Fiscalitat!$H$21="D"),((1+$F$13)*BK66*D$13),BK66*$D$13)</f>
        <v>0</v>
      </c>
      <c r="BM66" s="1022">
        <f>IF(OR(Fiscalitat!$H$21="a",Fiscalitat!$H$21="B",Fiscalitat!$H$21="D"),0,BL66*$F$13)</f>
        <v>0</v>
      </c>
      <c r="BN66" s="1022">
        <f>IF(OR(Fiscalitat!$H$21="B",Fiscalitat!$H$21="D"),BL66*(1-$E$13)+BK66*$D$13*$K$13*(1-$E$13),BL66*(1-$E$13))</f>
        <v>0</v>
      </c>
      <c r="BO66" s="1022">
        <f>IF(OR(Fiscalitat!$H$21="a",Fiscalitat!$H$21="B",Fiscalitat!$H$21="D"),0,BN66*$I$13)</f>
        <v>0</v>
      </c>
      <c r="BP66" s="1036">
        <f>'Introducció dades'!N206</f>
        <v>0</v>
      </c>
      <c r="BQ66" s="1024">
        <f t="shared" si="54"/>
        <v>0</v>
      </c>
      <c r="BR66" s="794">
        <f>IF(OR(Fiscalitat!$H$21="a",Fiscalitat!$H$21="B",Fiscalitat!$H$21="D"),((1+$F$14)*BQ66*D$14),BQ66*$D$14)</f>
        <v>0</v>
      </c>
      <c r="BS66" s="794">
        <f>IF(OR(Fiscalitat!$H$21="a",Fiscalitat!$H$21="B",Fiscalitat!$H$21="D"),0,BR66*$F$14)</f>
        <v>0</v>
      </c>
      <c r="BT66" s="794">
        <f>IF(OR(Fiscalitat!$H$21="B",Fiscalitat!$H$21="D"),BR66*(1-$E$14)+BQ66*$D$14*$K$14*(1-$E$14),BR66*(1-$E$14))</f>
        <v>0</v>
      </c>
      <c r="BU66" s="794">
        <f>IF(OR(Fiscalitat!$H$21="a",Fiscalitat!$H$21="B",Fiscalitat!$H$21="D"),0,BT66*$I$14)</f>
        <v>0</v>
      </c>
      <c r="BV66" s="25">
        <f t="shared" si="59"/>
        <v>0</v>
      </c>
      <c r="BW66" s="1026">
        <f t="shared" si="60"/>
        <v>0</v>
      </c>
      <c r="BX66" s="1026">
        <f t="shared" si="61"/>
        <v>0</v>
      </c>
      <c r="BY66" s="1026">
        <f t="shared" si="62"/>
        <v>0</v>
      </c>
      <c r="BZ66" s="1026">
        <f t="shared" si="55"/>
        <v>0</v>
      </c>
      <c r="CA66" s="108" t="s">
        <v>302</v>
      </c>
      <c r="CB66" s="1027">
        <f>$BZ62</f>
        <v>0</v>
      </c>
      <c r="CC66" s="1027">
        <f>$BZ63</f>
        <v>0</v>
      </c>
      <c r="CD66" s="1027">
        <f>$BZ64</f>
        <v>0</v>
      </c>
      <c r="CE66" s="1027">
        <f>$BZ65</f>
        <v>0</v>
      </c>
      <c r="CF66" s="1027">
        <f>$BZ66</f>
        <v>0</v>
      </c>
      <c r="CG66" s="1027">
        <f>$BZ67</f>
        <v>0</v>
      </c>
      <c r="CH66" s="1027">
        <f>$BZ68</f>
        <v>0</v>
      </c>
      <c r="CI66" s="1027">
        <f>$BZ69</f>
        <v>0</v>
      </c>
      <c r="CJ66" s="1027">
        <f>$BZ70</f>
        <v>0</v>
      </c>
      <c r="CK66" s="1027">
        <f>$BZ71</f>
        <v>0</v>
      </c>
      <c r="CL66" s="1027">
        <f>$BZ72</f>
        <v>0</v>
      </c>
      <c r="CM66" s="1027">
        <f>$BZ73</f>
        <v>0</v>
      </c>
      <c r="CN66" s="1028">
        <f>SUM(CB66:CM66)</f>
        <v>0</v>
      </c>
      <c r="CO66" s="1029">
        <f t="shared" si="63"/>
        <v>0</v>
      </c>
    </row>
    <row r="67" spans="1:93" ht="13" x14ac:dyDescent="0.3">
      <c r="A67" s="1019" t="str">
        <f t="shared" si="56"/>
        <v>JUNY</v>
      </c>
      <c r="B67" s="1035">
        <f>'Introducció dades'!C207</f>
        <v>0</v>
      </c>
      <c r="C67" s="1021">
        <f t="shared" si="45"/>
        <v>0</v>
      </c>
      <c r="D67" s="1022">
        <f>IF(OR(Fiscalitat!$H$21="a",Fiscalitat!$H$21="B",Fiscalitat!$H$21="D"),((1+$F$3)*C67*D$3),C67*$D$3)</f>
        <v>0</v>
      </c>
      <c r="E67" s="1022">
        <f>IF(OR(Fiscalitat!$H$21="a",Fiscalitat!$H$21="B",Fiscalitat!$H$21="D"),0,D67*$F$3)</f>
        <v>0</v>
      </c>
      <c r="F67" s="1022">
        <f>IF(OR(Fiscalitat!$H$21="B",Fiscalitat!$H$21="D"),D67*(1-$E$3)+C67*$D$3*$K$3*(1-$E$3),D67*(1-$E$3))</f>
        <v>0</v>
      </c>
      <c r="G67" s="1022">
        <f>IF(OR(Fiscalitat!$H$21="a",Fiscalitat!$H$21="B",Fiscalitat!$H$21="D"),0,F67*$I$3)</f>
        <v>0</v>
      </c>
      <c r="H67" s="1036">
        <f>'Introducció dades'!D207</f>
        <v>0</v>
      </c>
      <c r="I67" s="1024">
        <f t="shared" si="46"/>
        <v>0</v>
      </c>
      <c r="J67" s="794">
        <f>IF(OR(Fiscalitat!$H$21="a",Fiscalitat!$H$21="B",Fiscalitat!$H$21="D"),((1+$F$4)*I67*D$4),I67*$D$4)</f>
        <v>0</v>
      </c>
      <c r="K67" s="794">
        <f>IF(OR(Fiscalitat!$H$21="a",Fiscalitat!$H$21="B",Fiscalitat!$H$21="D"),0,J67*$F$4)</f>
        <v>0</v>
      </c>
      <c r="L67" s="794">
        <f>IF(OR(Fiscalitat!$H$21="B",Fiscalitat!$H$21="D"),J67*(1-$E$4)+I67*$D$4*$K$4*(1-$E$4),J67*(1-$E$4))</f>
        <v>0</v>
      </c>
      <c r="M67" s="794">
        <f>IF(OR(Fiscalitat!$H$21="a",Fiscalitat!$H$21="B",Fiscalitat!$H$21="D"),0,L67*$I$4)</f>
        <v>0</v>
      </c>
      <c r="N67" s="1035">
        <f>'Introducció dades'!E207</f>
        <v>0</v>
      </c>
      <c r="O67" s="1021">
        <f t="shared" si="57"/>
        <v>0</v>
      </c>
      <c r="P67" s="1022">
        <f>IF(OR(Fiscalitat!$H$21="a",Fiscalitat!$H$21="B",Fiscalitat!$H$21="D"),((1+$F$5)*O67*D$5),O67*$D$5)</f>
        <v>0</v>
      </c>
      <c r="Q67" s="1022">
        <f>IF(OR(Fiscalitat!$H$21="a",Fiscalitat!$H$21="B",Fiscalitat!$H$21="D"),0,P67*$F$5)</f>
        <v>0</v>
      </c>
      <c r="R67" s="1022">
        <f>IF(OR(Fiscalitat!$H$21="B",Fiscalitat!$H$21="D"),P67*(1-$E$5)+O67*$D$5*$K$5*(1-$E$5),P67*(1-$E$5))</f>
        <v>0</v>
      </c>
      <c r="S67" s="1022">
        <f>IF(OR(Fiscalitat!$H$21="a",Fiscalitat!$H$21="B",Fiscalitat!$H$21="D"),0,R67*$I$5)</f>
        <v>0</v>
      </c>
      <c r="T67" s="1036">
        <f>'Introducció dades'!F207</f>
        <v>0</v>
      </c>
      <c r="U67" s="1024">
        <f t="shared" si="58"/>
        <v>0</v>
      </c>
      <c r="V67" s="794">
        <f>IF(OR(Fiscalitat!$H$21="a",Fiscalitat!$H$21="B",Fiscalitat!$H$21="D"),((1+$F$6)*U67*D$6),U67*$D$6)</f>
        <v>0</v>
      </c>
      <c r="W67" s="794">
        <f>IF(OR(Fiscalitat!$H$21="a",Fiscalitat!$H$21="B",Fiscalitat!$H$21="D"),0,V67*$F$6)</f>
        <v>0</v>
      </c>
      <c r="X67" s="794">
        <f>IF(OR(Fiscalitat!$H$21="B",Fiscalitat!$H$21="D"),V67*(1-$E$6)+U67*$D$6*$K$6*(1-$E$6),V67*(1-$E$6))</f>
        <v>0</v>
      </c>
      <c r="Y67" s="794">
        <f>IF(OR(Fiscalitat!$H$21="a",Fiscalitat!$H$21="B",Fiscalitat!$H$21="D"),0,X67*$I$6)</f>
        <v>0</v>
      </c>
      <c r="Z67" s="1035">
        <f>'Introducció dades'!G207</f>
        <v>0</v>
      </c>
      <c r="AA67" s="1021">
        <f t="shared" si="47"/>
        <v>0</v>
      </c>
      <c r="AB67" s="1022">
        <f>IF(OR(Fiscalitat!$H$21="a",Fiscalitat!$H$21="B",Fiscalitat!$H$21="D"),((1+$F$7)*AA67*D$7),AA67*$D$7)</f>
        <v>0</v>
      </c>
      <c r="AC67" s="1022">
        <f>IF(OR(Fiscalitat!$H$21="a",Fiscalitat!$H$21="B",Fiscalitat!$H$21="D"),0,AB67*$F$7)</f>
        <v>0</v>
      </c>
      <c r="AD67" s="1022">
        <f>IF(OR(Fiscalitat!$H$21="B",Fiscalitat!$H$21="D"),AB67*(1-$E$7)+AA67*$D$7*$K$7*(1-$E$7),AB67*(1-$E$7))</f>
        <v>0</v>
      </c>
      <c r="AE67" s="1022">
        <f>IF(OR(Fiscalitat!$H$21="a",Fiscalitat!$H$21="B",Fiscalitat!$H$21="D"),0,AD67*$I$7)</f>
        <v>0</v>
      </c>
      <c r="AF67" s="1036">
        <f>'Introducció dades'!H207</f>
        <v>0</v>
      </c>
      <c r="AG67" s="1024">
        <f t="shared" si="48"/>
        <v>0</v>
      </c>
      <c r="AH67" s="794">
        <f>IF(OR(Fiscalitat!$H$21="a",Fiscalitat!$H$21="B",Fiscalitat!$H$21="D"),((1+$F$8)*AG67*D$8),AG67*$D$8)</f>
        <v>0</v>
      </c>
      <c r="AI67" s="794">
        <f>IF(OR(Fiscalitat!$H$21="a",Fiscalitat!$H$21="B",Fiscalitat!$H$21="D"),0,AH67*$F$8)</f>
        <v>0</v>
      </c>
      <c r="AJ67" s="794">
        <f>IF(OR(Fiscalitat!$H$21="B",Fiscalitat!$H$21="D"),AH67*(1-$E$8)+AG67*$D$8*$K$8*(1-$E$8),AH67*(1-$E$8))</f>
        <v>0</v>
      </c>
      <c r="AK67" s="794">
        <f>IF(OR(Fiscalitat!$H$21="a",Fiscalitat!$H$21="B",Fiscalitat!$H$21="D"),0,AJ67*$I$8)</f>
        <v>0</v>
      </c>
      <c r="AL67" s="1035">
        <f>'Introducció dades'!I207</f>
        <v>0</v>
      </c>
      <c r="AM67" s="1021">
        <f t="shared" si="49"/>
        <v>0</v>
      </c>
      <c r="AN67" s="1022">
        <f>IF(OR(Fiscalitat!$H$21="a",Fiscalitat!$H$21="B",Fiscalitat!$H$21="D"),((1+$F$9)*AM67*D$9),AM67*$D$9)</f>
        <v>0</v>
      </c>
      <c r="AO67" s="1022">
        <f>IF(OR(Fiscalitat!$H$21="a",Fiscalitat!$H$21="B",Fiscalitat!$H$21="D"),0,AN67*$F$9)</f>
        <v>0</v>
      </c>
      <c r="AP67" s="1022">
        <f>IF(OR(Fiscalitat!$H$21="B",Fiscalitat!$H$21="D"),AN67*(1-$E$9)+AM67*$D$9*$K$9*(1-$E$9),AN67*(1-$E$9))</f>
        <v>0</v>
      </c>
      <c r="AQ67" s="1022">
        <f>IF(OR(Fiscalitat!$H$21="a",Fiscalitat!$H$21="B",Fiscalitat!$H$21="D"),0,AP67*$I$9)</f>
        <v>0</v>
      </c>
      <c r="AR67" s="1036">
        <f>'Introducció dades'!J207</f>
        <v>0</v>
      </c>
      <c r="AS67" s="1024">
        <f t="shared" si="50"/>
        <v>0</v>
      </c>
      <c r="AT67" s="794">
        <f>IF(OR(Fiscalitat!$H$21="a",Fiscalitat!$H$21="B",Fiscalitat!$H$21="D"),((1+$F$10)*AS67*D$10),AS67*$D$10)</f>
        <v>0</v>
      </c>
      <c r="AU67" s="794">
        <f>IF(OR(Fiscalitat!$H$21="a",Fiscalitat!$H$21="B",Fiscalitat!$H$21="D"),0,AT67*$F$10)</f>
        <v>0</v>
      </c>
      <c r="AV67" s="794">
        <f>IF(OR(Fiscalitat!$H$21="B",Fiscalitat!$H$21="D"),AT67*(1-$E$10)+AS67*$D$10*$K$10*(1-$E$10),AT67*(1-$E$10))</f>
        <v>0</v>
      </c>
      <c r="AW67" s="794">
        <f>IF(OR(Fiscalitat!$H$21="a",Fiscalitat!$H$21="B",Fiscalitat!$H$21="D"),0,AV67*$I$10)</f>
        <v>0</v>
      </c>
      <c r="AX67" s="1035">
        <f>'Introducció dades'!K207</f>
        <v>0</v>
      </c>
      <c r="AY67" s="1021">
        <f t="shared" si="51"/>
        <v>0</v>
      </c>
      <c r="AZ67" s="1022">
        <f>IF(OR(Fiscalitat!$H$21="a",Fiscalitat!$H$21="B",Fiscalitat!$H$21="D"),((1+$F$11)*AY67*D$11),AY67*$D$11)</f>
        <v>0</v>
      </c>
      <c r="BA67" s="1022">
        <f>IF(OR(Fiscalitat!$H$21="a",Fiscalitat!$H$21="B",Fiscalitat!$H$21="D"),0,AZ67*$F$11)</f>
        <v>0</v>
      </c>
      <c r="BB67" s="1022">
        <f>IF(OR(Fiscalitat!$H$21="B",Fiscalitat!$H$21="D"),AZ67*(1-$E$11)+AY67*$D$11*$K$11*(1-$E$11),AZ67*(1-$E$11))</f>
        <v>0</v>
      </c>
      <c r="BC67" s="1022">
        <f>IF(OR(Fiscalitat!$H$21="a",Fiscalitat!$H$21="B",Fiscalitat!$H$21="D"),0,BB67*$I$11)</f>
        <v>0</v>
      </c>
      <c r="BD67" s="1036">
        <f>'Introducció dades'!L207</f>
        <v>0</v>
      </c>
      <c r="BE67" s="1024">
        <f t="shared" si="52"/>
        <v>0</v>
      </c>
      <c r="BF67" s="794">
        <f>IF(OR(Fiscalitat!$H$21="a",Fiscalitat!$H$21="B",Fiscalitat!$H$21="D"),((1+$F$12)*BE67*D$12),BE67*$D$12)</f>
        <v>0</v>
      </c>
      <c r="BG67" s="794">
        <f>IF(OR(Fiscalitat!$H$21="a",Fiscalitat!$H$21="B",Fiscalitat!$H$21="D"),0,BF67*$F$12)</f>
        <v>0</v>
      </c>
      <c r="BH67" s="794">
        <f>IF(OR(Fiscalitat!$H$21="B",Fiscalitat!$H$21="D"),BF67*(1-$E$12)+BE67*$D$12*$K$12*(1-$E$12),BF67*(1-$E$12))</f>
        <v>0</v>
      </c>
      <c r="BI67" s="794">
        <f>IF(OR(Fiscalitat!$H$21="a",Fiscalitat!$H$21="B",Fiscalitat!$H$21="D"),0,BH67*$I$12)</f>
        <v>0</v>
      </c>
      <c r="BJ67" s="1035">
        <f>'Introducció dades'!M207</f>
        <v>0</v>
      </c>
      <c r="BK67" s="1021">
        <f t="shared" si="53"/>
        <v>0</v>
      </c>
      <c r="BL67" s="1022">
        <f>IF(OR(Fiscalitat!$H$21="a",Fiscalitat!$H$21="B",Fiscalitat!$H$21="D"),((1+$F$13)*BK67*D$13),BK67*$D$13)</f>
        <v>0</v>
      </c>
      <c r="BM67" s="1022">
        <f>IF(OR(Fiscalitat!$H$21="a",Fiscalitat!$H$21="B",Fiscalitat!$H$21="D"),0,BL67*$F$13)</f>
        <v>0</v>
      </c>
      <c r="BN67" s="1022">
        <f>IF(OR(Fiscalitat!$H$21="B",Fiscalitat!$H$21="D"),BL67*(1-$E$13)+BK67*$D$13*$K$13*(1-$E$13),BL67*(1-$E$13))</f>
        <v>0</v>
      </c>
      <c r="BO67" s="1022">
        <f>IF(OR(Fiscalitat!$H$21="a",Fiscalitat!$H$21="B",Fiscalitat!$H$21="D"),0,BN67*$I$13)</f>
        <v>0</v>
      </c>
      <c r="BP67" s="1036">
        <f>'Introducció dades'!N207</f>
        <v>0</v>
      </c>
      <c r="BQ67" s="1024">
        <f t="shared" si="54"/>
        <v>0</v>
      </c>
      <c r="BR67" s="794">
        <f>IF(OR(Fiscalitat!$H$21="a",Fiscalitat!$H$21="B",Fiscalitat!$H$21="D"),((1+$F$14)*BQ67*D$14),BQ67*$D$14)</f>
        <v>0</v>
      </c>
      <c r="BS67" s="794">
        <f>IF(OR(Fiscalitat!$H$21="a",Fiscalitat!$H$21="B",Fiscalitat!$H$21="D"),0,BR67*$F$14)</f>
        <v>0</v>
      </c>
      <c r="BT67" s="794">
        <f>IF(OR(Fiscalitat!$H$21="B",Fiscalitat!$H$21="D"),BR67*(1-$E$14)+BQ67*$D$14*$K$14*(1-$E$14),BR67*(1-$E$14))</f>
        <v>0</v>
      </c>
      <c r="BU67" s="794">
        <f>IF(OR(Fiscalitat!$H$21="a",Fiscalitat!$H$21="B",Fiscalitat!$H$21="D"),0,BT67*$I$14)</f>
        <v>0</v>
      </c>
      <c r="BV67" s="25">
        <f t="shared" si="59"/>
        <v>0</v>
      </c>
      <c r="BW67" s="1026">
        <f t="shared" si="60"/>
        <v>0</v>
      </c>
      <c r="BX67" s="1026">
        <f t="shared" si="61"/>
        <v>0</v>
      </c>
      <c r="BY67" s="1026">
        <f t="shared" si="62"/>
        <v>0</v>
      </c>
      <c r="BZ67" s="1026">
        <f t="shared" si="55"/>
        <v>0</v>
      </c>
      <c r="CA67" s="108" t="s">
        <v>316</v>
      </c>
      <c r="CB67" s="1030"/>
      <c r="CC67" s="1030"/>
      <c r="CD67" s="1030"/>
      <c r="CE67" s="1030"/>
      <c r="CF67" s="1030"/>
      <c r="CG67" s="1030"/>
      <c r="CH67" s="1030"/>
      <c r="CI67" s="1030"/>
      <c r="CJ67" s="1030"/>
      <c r="CK67" s="1030"/>
      <c r="CL67" s="1030"/>
      <c r="CM67" s="1030"/>
      <c r="CN67" s="1031">
        <f>IF(CN63=0,0,CN66/CN63)</f>
        <v>0</v>
      </c>
      <c r="CO67" s="1029">
        <f t="shared" si="63"/>
        <v>0</v>
      </c>
    </row>
    <row r="68" spans="1:93" ht="13" x14ac:dyDescent="0.3">
      <c r="A68" s="1019" t="str">
        <f t="shared" si="56"/>
        <v>JULIOL</v>
      </c>
      <c r="B68" s="1035">
        <f>'Introducció dades'!C208</f>
        <v>0</v>
      </c>
      <c r="C68" s="1021">
        <f t="shared" si="45"/>
        <v>0</v>
      </c>
      <c r="D68" s="1022">
        <f>IF(OR(Fiscalitat!$H$21="a",Fiscalitat!$H$21="B",Fiscalitat!$H$21="D"),((1+$F$3)*C68*D$3),C68*$D$3)</f>
        <v>0</v>
      </c>
      <c r="E68" s="1022">
        <f>IF(OR(Fiscalitat!$H$21="a",Fiscalitat!$H$21="B",Fiscalitat!$H$21="D"),0,D68*$F$3)</f>
        <v>0</v>
      </c>
      <c r="F68" s="1022">
        <f>IF(OR(Fiscalitat!$H$21="B",Fiscalitat!$H$21="D"),D68*(1-$E$3)+C68*$D$3*$K$3*(1-$E$3),D68*(1-$E$3))</f>
        <v>0</v>
      </c>
      <c r="G68" s="1022">
        <f>IF(OR(Fiscalitat!$H$21="a",Fiscalitat!$H$21="B",Fiscalitat!$H$21="D"),0,F68*$I$3)</f>
        <v>0</v>
      </c>
      <c r="H68" s="1036">
        <f>'Introducció dades'!D208</f>
        <v>0</v>
      </c>
      <c r="I68" s="1024">
        <f t="shared" si="46"/>
        <v>0</v>
      </c>
      <c r="J68" s="794">
        <f>IF(OR(Fiscalitat!$H$21="a",Fiscalitat!$H$21="B",Fiscalitat!$H$21="D"),((1+$F$4)*I68*D$4),I68*$D$4)</f>
        <v>0</v>
      </c>
      <c r="K68" s="794">
        <f>IF(OR(Fiscalitat!$H$21="a",Fiscalitat!$H$21="B",Fiscalitat!$H$21="D"),0,J68*$F$4)</f>
        <v>0</v>
      </c>
      <c r="L68" s="794">
        <f>IF(OR(Fiscalitat!$H$21="B",Fiscalitat!$H$21="D"),J68*(1-$E$4)+I68*$D$4*$K$4*(1-$E$4),J68*(1-$E$4))</f>
        <v>0</v>
      </c>
      <c r="M68" s="794">
        <f>IF(OR(Fiscalitat!$H$21="a",Fiscalitat!$H$21="B",Fiscalitat!$H$21="D"),0,L68*$I$4)</f>
        <v>0</v>
      </c>
      <c r="N68" s="1035">
        <f>'Introducció dades'!E208</f>
        <v>0</v>
      </c>
      <c r="O68" s="1021">
        <f t="shared" si="57"/>
        <v>0</v>
      </c>
      <c r="P68" s="1022">
        <f>IF(OR(Fiscalitat!$H$21="a",Fiscalitat!$H$21="B",Fiscalitat!$H$21="D"),((1+$F$5)*O68*D$5),O68*$D$5)</f>
        <v>0</v>
      </c>
      <c r="Q68" s="1022">
        <f>IF(OR(Fiscalitat!$H$21="a",Fiscalitat!$H$21="B",Fiscalitat!$H$21="D"),0,P68*$F$5)</f>
        <v>0</v>
      </c>
      <c r="R68" s="1022">
        <f>IF(OR(Fiscalitat!$H$21="B",Fiscalitat!$H$21="D"),P68*(1-$E$5)+O68*$D$5*$K$5*(1-$E$5),P68*(1-$E$5))</f>
        <v>0</v>
      </c>
      <c r="S68" s="1022">
        <f>IF(OR(Fiscalitat!$H$21="a",Fiscalitat!$H$21="B",Fiscalitat!$H$21="D"),0,R68*$I$5)</f>
        <v>0</v>
      </c>
      <c r="T68" s="1036">
        <f>'Introducció dades'!F208</f>
        <v>0</v>
      </c>
      <c r="U68" s="1024">
        <f t="shared" si="58"/>
        <v>0</v>
      </c>
      <c r="V68" s="794">
        <f>IF(OR(Fiscalitat!$H$21="a",Fiscalitat!$H$21="B",Fiscalitat!$H$21="D"),((1+$F$6)*U68*D$6),U68*$D$6)</f>
        <v>0</v>
      </c>
      <c r="W68" s="794">
        <f>IF(OR(Fiscalitat!$H$21="a",Fiscalitat!$H$21="B",Fiscalitat!$H$21="D"),0,V68*$F$6)</f>
        <v>0</v>
      </c>
      <c r="X68" s="794">
        <f>IF(OR(Fiscalitat!$H$21="B",Fiscalitat!$H$21="D"),V68*(1-$E$6)+U68*$D$6*$K$6*(1-$E$6),V68*(1-$E$6))</f>
        <v>0</v>
      </c>
      <c r="Y68" s="794">
        <f>IF(OR(Fiscalitat!$H$21="a",Fiscalitat!$H$21="B",Fiscalitat!$H$21="D"),0,X68*$I$6)</f>
        <v>0</v>
      </c>
      <c r="Z68" s="1035">
        <f>'Introducció dades'!G208</f>
        <v>0</v>
      </c>
      <c r="AA68" s="1021">
        <f t="shared" si="47"/>
        <v>0</v>
      </c>
      <c r="AB68" s="1022">
        <f>IF(OR(Fiscalitat!$H$21="a",Fiscalitat!$H$21="B",Fiscalitat!$H$21="D"),((1+$F$7)*AA68*D$7),AA68*$D$7)</f>
        <v>0</v>
      </c>
      <c r="AC68" s="1022">
        <f>IF(OR(Fiscalitat!$H$21="a",Fiscalitat!$H$21="B",Fiscalitat!$H$21="D"),0,AB68*$F$7)</f>
        <v>0</v>
      </c>
      <c r="AD68" s="1022">
        <f>IF(OR(Fiscalitat!$H$21="B",Fiscalitat!$H$21="D"),AB68*(1-$E$7)+AA68*$D$7*$K$7*(1-$E$7),AB68*(1-$E$7))</f>
        <v>0</v>
      </c>
      <c r="AE68" s="1022">
        <f>IF(OR(Fiscalitat!$H$21="a",Fiscalitat!$H$21="B",Fiscalitat!$H$21="D"),0,AD68*$I$7)</f>
        <v>0</v>
      </c>
      <c r="AF68" s="1036">
        <f>'Introducció dades'!H208</f>
        <v>0</v>
      </c>
      <c r="AG68" s="1024">
        <f t="shared" si="48"/>
        <v>0</v>
      </c>
      <c r="AH68" s="794">
        <f>IF(OR(Fiscalitat!$H$21="a",Fiscalitat!$H$21="B",Fiscalitat!$H$21="D"),((1+$F$8)*AG68*D$8),AG68*$D$8)</f>
        <v>0</v>
      </c>
      <c r="AI68" s="794">
        <f>IF(OR(Fiscalitat!$H$21="a",Fiscalitat!$H$21="B",Fiscalitat!$H$21="D"),0,AH68*$F$8)</f>
        <v>0</v>
      </c>
      <c r="AJ68" s="794">
        <f>IF(OR(Fiscalitat!$H$21="B",Fiscalitat!$H$21="D"),AH68*(1-$E$8)+AG68*$D$8*$K$8*(1-$E$8),AH68*(1-$E$8))</f>
        <v>0</v>
      </c>
      <c r="AK68" s="794">
        <f>IF(OR(Fiscalitat!$H$21="a",Fiscalitat!$H$21="B",Fiscalitat!$H$21="D"),0,AJ68*$I$8)</f>
        <v>0</v>
      </c>
      <c r="AL68" s="1035">
        <f>'Introducció dades'!I208</f>
        <v>0</v>
      </c>
      <c r="AM68" s="1021">
        <f t="shared" si="49"/>
        <v>0</v>
      </c>
      <c r="AN68" s="1022">
        <f>IF(OR(Fiscalitat!$H$21="a",Fiscalitat!$H$21="B",Fiscalitat!$H$21="D"),((1+$F$9)*AM68*D$9),AM68*$D$9)</f>
        <v>0</v>
      </c>
      <c r="AO68" s="1022">
        <f>IF(OR(Fiscalitat!$H$21="a",Fiscalitat!$H$21="B",Fiscalitat!$H$21="D"),0,AN68*$F$9)</f>
        <v>0</v>
      </c>
      <c r="AP68" s="1022">
        <f>IF(OR(Fiscalitat!$H$21="B",Fiscalitat!$H$21="D"),AN68*(1-$E$9)+AM68*$D$9*$K$9*(1-$E$9),AN68*(1-$E$9))</f>
        <v>0</v>
      </c>
      <c r="AQ68" s="1022">
        <f>IF(OR(Fiscalitat!$H$21="a",Fiscalitat!$H$21="B",Fiscalitat!$H$21="D"),0,AP68*$I$9)</f>
        <v>0</v>
      </c>
      <c r="AR68" s="1036">
        <f>'Introducció dades'!J208</f>
        <v>0</v>
      </c>
      <c r="AS68" s="1024">
        <f t="shared" si="50"/>
        <v>0</v>
      </c>
      <c r="AT68" s="794">
        <f>IF(OR(Fiscalitat!$H$21="a",Fiscalitat!$H$21="B",Fiscalitat!$H$21="D"),((1+$F$10)*AS68*D$10),AS68*$D$10)</f>
        <v>0</v>
      </c>
      <c r="AU68" s="794">
        <f>IF(OR(Fiscalitat!$H$21="a",Fiscalitat!$H$21="B",Fiscalitat!$H$21="D"),0,AT68*$F$10)</f>
        <v>0</v>
      </c>
      <c r="AV68" s="794">
        <f>IF(OR(Fiscalitat!$H$21="B",Fiscalitat!$H$21="D"),AT68*(1-$E$10)+AS68*$D$10*$K$10*(1-$E$10),AT68*(1-$E$10))</f>
        <v>0</v>
      </c>
      <c r="AW68" s="794">
        <f>IF(OR(Fiscalitat!$H$21="a",Fiscalitat!$H$21="B",Fiscalitat!$H$21="D"),0,AV68*$I$10)</f>
        <v>0</v>
      </c>
      <c r="AX68" s="1035">
        <f>'Introducció dades'!K208</f>
        <v>0</v>
      </c>
      <c r="AY68" s="1021">
        <f t="shared" si="51"/>
        <v>0</v>
      </c>
      <c r="AZ68" s="1022">
        <f>IF(OR(Fiscalitat!$H$21="a",Fiscalitat!$H$21="B",Fiscalitat!$H$21="D"),((1+$F$11)*AY68*D$11),AY68*$D$11)</f>
        <v>0</v>
      </c>
      <c r="BA68" s="1022">
        <f>IF(OR(Fiscalitat!$H$21="a",Fiscalitat!$H$21="B",Fiscalitat!$H$21="D"),0,AZ68*$F$11)</f>
        <v>0</v>
      </c>
      <c r="BB68" s="1022">
        <f>IF(OR(Fiscalitat!$H$21="B",Fiscalitat!$H$21="D"),AZ68*(1-$E$11)+AY68*$D$11*$K$11*(1-$E$11),AZ68*(1-$E$11))</f>
        <v>0</v>
      </c>
      <c r="BC68" s="1022">
        <f>IF(OR(Fiscalitat!$H$21="a",Fiscalitat!$H$21="B",Fiscalitat!$H$21="D"),0,BB68*$I$11)</f>
        <v>0</v>
      </c>
      <c r="BD68" s="1036">
        <f>'Introducció dades'!L208</f>
        <v>0</v>
      </c>
      <c r="BE68" s="1024">
        <f t="shared" si="52"/>
        <v>0</v>
      </c>
      <c r="BF68" s="794">
        <f>IF(OR(Fiscalitat!$H$21="a",Fiscalitat!$H$21="B",Fiscalitat!$H$21="D"),((1+$F$12)*BE68*D$12),BE68*$D$12)</f>
        <v>0</v>
      </c>
      <c r="BG68" s="794">
        <f>IF(OR(Fiscalitat!$H$21="a",Fiscalitat!$H$21="B",Fiscalitat!$H$21="D"),0,BF68*$F$12)</f>
        <v>0</v>
      </c>
      <c r="BH68" s="794">
        <f>IF(OR(Fiscalitat!$H$21="B",Fiscalitat!$H$21="D"),BF68*(1-$E$12)+BE68*$D$12*$K$12*(1-$E$12),BF68*(1-$E$12))</f>
        <v>0</v>
      </c>
      <c r="BI68" s="794">
        <f>IF(OR(Fiscalitat!$H$21="a",Fiscalitat!$H$21="B",Fiscalitat!$H$21="D"),0,BH68*$I$12)</f>
        <v>0</v>
      </c>
      <c r="BJ68" s="1035">
        <f>'Introducció dades'!M208</f>
        <v>0</v>
      </c>
      <c r="BK68" s="1021">
        <f t="shared" si="53"/>
        <v>0</v>
      </c>
      <c r="BL68" s="1022">
        <f>IF(OR(Fiscalitat!$H$21="a",Fiscalitat!$H$21="B",Fiscalitat!$H$21="D"),((1+$F$13)*BK68*D$13),BK68*$D$13)</f>
        <v>0</v>
      </c>
      <c r="BM68" s="1022">
        <f>IF(OR(Fiscalitat!$H$21="a",Fiscalitat!$H$21="B",Fiscalitat!$H$21="D"),0,BL68*$F$13)</f>
        <v>0</v>
      </c>
      <c r="BN68" s="1022">
        <f>IF(OR(Fiscalitat!$H$21="B",Fiscalitat!$H$21="D"),BL68*(1-$E$13)+BK68*$D$13*$K$13*(1-$E$13),BL68*(1-$E$13))</f>
        <v>0</v>
      </c>
      <c r="BO68" s="1022">
        <f>IF(OR(Fiscalitat!$H$21="a",Fiscalitat!$H$21="B",Fiscalitat!$H$21="D"),0,BN68*$I$13)</f>
        <v>0</v>
      </c>
      <c r="BP68" s="1036">
        <f>'Introducció dades'!N208</f>
        <v>0</v>
      </c>
      <c r="BQ68" s="1024">
        <f t="shared" si="54"/>
        <v>0</v>
      </c>
      <c r="BR68" s="794">
        <f>IF(OR(Fiscalitat!$H$21="a",Fiscalitat!$H$21="B",Fiscalitat!$H$21="D"),((1+$F$14)*BQ68*D$14),BQ68*$D$14)</f>
        <v>0</v>
      </c>
      <c r="BS68" s="794">
        <f>IF(OR(Fiscalitat!$H$21="a",Fiscalitat!$H$21="B",Fiscalitat!$H$21="D"),0,BR68*$F$14)</f>
        <v>0</v>
      </c>
      <c r="BT68" s="794">
        <f>IF(OR(Fiscalitat!$H$21="B",Fiscalitat!$H$21="D"),BR68*(1-$E$14)+BQ68*$D$14*$K$14*(1-$E$14),BR68*(1-$E$14))</f>
        <v>0</v>
      </c>
      <c r="BU68" s="794">
        <f>IF(OR(Fiscalitat!$H$21="a",Fiscalitat!$H$21="B",Fiscalitat!$H$21="D"),0,BT68*$I$14)</f>
        <v>0</v>
      </c>
      <c r="BV68" s="25">
        <f t="shared" si="59"/>
        <v>0</v>
      </c>
      <c r="BW68" s="1026">
        <f t="shared" si="60"/>
        <v>0</v>
      </c>
      <c r="BX68" s="1026">
        <f t="shared" si="61"/>
        <v>0</v>
      </c>
      <c r="BY68" s="1026">
        <f t="shared" si="62"/>
        <v>0</v>
      </c>
      <c r="BZ68" s="1026">
        <f t="shared" si="55"/>
        <v>0</v>
      </c>
      <c r="CO68" s="1029">
        <f t="shared" si="63"/>
        <v>0</v>
      </c>
    </row>
    <row r="69" spans="1:93" ht="13" x14ac:dyDescent="0.3">
      <c r="A69" s="1019" t="str">
        <f t="shared" si="56"/>
        <v>AGOST</v>
      </c>
      <c r="B69" s="1035">
        <f>'Introducció dades'!C209</f>
        <v>0</v>
      </c>
      <c r="C69" s="1021">
        <f t="shared" si="45"/>
        <v>0</v>
      </c>
      <c r="D69" s="1022">
        <f>IF(OR(Fiscalitat!$H$21="a",Fiscalitat!$H$21="B",Fiscalitat!$H$21="D"),((1+$F$3)*C69*D$3),C69*$D$3)</f>
        <v>0</v>
      </c>
      <c r="E69" s="1022">
        <f>IF(OR(Fiscalitat!$H$21="a",Fiscalitat!$H$21="B",Fiscalitat!$H$21="D"),0,D69*$F$3)</f>
        <v>0</v>
      </c>
      <c r="F69" s="1022">
        <f>IF(OR(Fiscalitat!$H$21="B",Fiscalitat!$H$21="D"),D69*(1-$E$3)+C69*$D$3*$K$3*(1-$E$3),D69*(1-$E$3))</f>
        <v>0</v>
      </c>
      <c r="G69" s="1022">
        <f>IF(OR(Fiscalitat!$H$21="a",Fiscalitat!$H$21="B",Fiscalitat!$H$21="D"),0,F69*$I$3)</f>
        <v>0</v>
      </c>
      <c r="H69" s="1036">
        <f>'Introducció dades'!D209</f>
        <v>0</v>
      </c>
      <c r="I69" s="1024">
        <f t="shared" si="46"/>
        <v>0</v>
      </c>
      <c r="J69" s="794">
        <f>IF(OR(Fiscalitat!$H$21="a",Fiscalitat!$H$21="B",Fiscalitat!$H$21="D"),((1+$F$4)*I69*D$4),I69*$D$4)</f>
        <v>0</v>
      </c>
      <c r="K69" s="794">
        <f>IF(OR(Fiscalitat!$H$21="a",Fiscalitat!$H$21="B",Fiscalitat!$H$21="D"),0,J69*$F$4)</f>
        <v>0</v>
      </c>
      <c r="L69" s="794">
        <f>IF(OR(Fiscalitat!$H$21="B",Fiscalitat!$H$21="D"),J69*(1-$E$4)+I69*$D$4*$K$4*(1-$E$4),J69*(1-$E$4))</f>
        <v>0</v>
      </c>
      <c r="M69" s="794">
        <f>IF(OR(Fiscalitat!$H$21="a",Fiscalitat!$H$21="B",Fiscalitat!$H$21="D"),0,L69*$I$4)</f>
        <v>0</v>
      </c>
      <c r="N69" s="1035">
        <f>'Introducció dades'!E209</f>
        <v>0</v>
      </c>
      <c r="O69" s="1021">
        <f t="shared" si="57"/>
        <v>0</v>
      </c>
      <c r="P69" s="1022">
        <f>IF(OR(Fiscalitat!$H$21="a",Fiscalitat!$H$21="B",Fiscalitat!$H$21="D"),((1+$F$5)*O69*D$5),O69*$D$5)</f>
        <v>0</v>
      </c>
      <c r="Q69" s="1022">
        <f>IF(OR(Fiscalitat!$H$21="a",Fiscalitat!$H$21="B",Fiscalitat!$H$21="D"),0,P69*$F$5)</f>
        <v>0</v>
      </c>
      <c r="R69" s="1022">
        <f>IF(OR(Fiscalitat!$H$21="B",Fiscalitat!$H$21="D"),P69*(1-$E$5)+O69*$D$5*$K$5*(1-$E$5),P69*(1-$E$5))</f>
        <v>0</v>
      </c>
      <c r="S69" s="1022">
        <f>IF(OR(Fiscalitat!$H$21="a",Fiscalitat!$H$21="B",Fiscalitat!$H$21="D"),0,R69*$I$5)</f>
        <v>0</v>
      </c>
      <c r="T69" s="1036">
        <f>'Introducció dades'!F209</f>
        <v>0</v>
      </c>
      <c r="U69" s="1024">
        <f t="shared" si="58"/>
        <v>0</v>
      </c>
      <c r="V69" s="794">
        <f>IF(OR(Fiscalitat!$H$21="a",Fiscalitat!$H$21="B",Fiscalitat!$H$21="D"),((1+$F$6)*U69*D$6),U69*$D$6)</f>
        <v>0</v>
      </c>
      <c r="W69" s="794">
        <f>IF(OR(Fiscalitat!$H$21="a",Fiscalitat!$H$21="B",Fiscalitat!$H$21="D"),0,V69*$F$6)</f>
        <v>0</v>
      </c>
      <c r="X69" s="794">
        <f>IF(OR(Fiscalitat!$H$21="B",Fiscalitat!$H$21="D"),V69*(1-$E$6)+U69*$D$6*$K$6*(1-$E$6),V69*(1-$E$6))</f>
        <v>0</v>
      </c>
      <c r="Y69" s="794">
        <f>IF(OR(Fiscalitat!$H$21="a",Fiscalitat!$H$21="B",Fiscalitat!$H$21="D"),0,X69*$I$6)</f>
        <v>0</v>
      </c>
      <c r="Z69" s="1035">
        <f>'Introducció dades'!G209</f>
        <v>0</v>
      </c>
      <c r="AA69" s="1021">
        <f t="shared" si="47"/>
        <v>0</v>
      </c>
      <c r="AB69" s="1022">
        <f>IF(OR(Fiscalitat!$H$21="a",Fiscalitat!$H$21="B",Fiscalitat!$H$21="D"),((1+$F$7)*AA69*D$7),AA69*$D$7)</f>
        <v>0</v>
      </c>
      <c r="AC69" s="1022">
        <f>IF(OR(Fiscalitat!$H$21="a",Fiscalitat!$H$21="B",Fiscalitat!$H$21="D"),0,AB69*$F$7)</f>
        <v>0</v>
      </c>
      <c r="AD69" s="1022">
        <f>IF(OR(Fiscalitat!$H$21="B",Fiscalitat!$H$21="D"),AB69*(1-$E$7)+AA69*$D$7*$K$7*(1-$E$7),AB69*(1-$E$7))</f>
        <v>0</v>
      </c>
      <c r="AE69" s="1022">
        <f>IF(OR(Fiscalitat!$H$21="a",Fiscalitat!$H$21="B",Fiscalitat!$H$21="D"),0,AD69*$I$7)</f>
        <v>0</v>
      </c>
      <c r="AF69" s="1036">
        <f>'Introducció dades'!H209</f>
        <v>0</v>
      </c>
      <c r="AG69" s="1024">
        <f t="shared" si="48"/>
        <v>0</v>
      </c>
      <c r="AH69" s="794">
        <f>IF(OR(Fiscalitat!$H$21="a",Fiscalitat!$H$21="B",Fiscalitat!$H$21="D"),((1+$F$8)*AG69*D$8),AG69*$D$8)</f>
        <v>0</v>
      </c>
      <c r="AI69" s="794">
        <f>IF(OR(Fiscalitat!$H$21="a",Fiscalitat!$H$21="B",Fiscalitat!$H$21="D"),0,AH69*$F$8)</f>
        <v>0</v>
      </c>
      <c r="AJ69" s="794">
        <f>IF(OR(Fiscalitat!$H$21="B",Fiscalitat!$H$21="D"),AH69*(1-$E$8)+AG69*$D$8*$K$8*(1-$E$8),AH69*(1-$E$8))</f>
        <v>0</v>
      </c>
      <c r="AK69" s="794">
        <f>IF(OR(Fiscalitat!$H$21="a",Fiscalitat!$H$21="B",Fiscalitat!$H$21="D"),0,AJ69*$I$8)</f>
        <v>0</v>
      </c>
      <c r="AL69" s="1035">
        <f>'Introducció dades'!I209</f>
        <v>0</v>
      </c>
      <c r="AM69" s="1021">
        <f t="shared" si="49"/>
        <v>0</v>
      </c>
      <c r="AN69" s="1022">
        <f>IF(OR(Fiscalitat!$H$21="a",Fiscalitat!$H$21="B",Fiscalitat!$H$21="D"),((1+$F$9)*AM69*D$9),AM69*$D$9)</f>
        <v>0</v>
      </c>
      <c r="AO69" s="1022">
        <f>IF(OR(Fiscalitat!$H$21="a",Fiscalitat!$H$21="B",Fiscalitat!$H$21="D"),0,AN69*$F$9)</f>
        <v>0</v>
      </c>
      <c r="AP69" s="1022">
        <f>IF(OR(Fiscalitat!$H$21="B",Fiscalitat!$H$21="D"),AN69*(1-$E$9)+AM69*$D$9*$K$9*(1-$E$9),AN69*(1-$E$9))</f>
        <v>0</v>
      </c>
      <c r="AQ69" s="1022">
        <f>IF(OR(Fiscalitat!$H$21="a",Fiscalitat!$H$21="B",Fiscalitat!$H$21="D"),0,AP69*$I$9)</f>
        <v>0</v>
      </c>
      <c r="AR69" s="1036">
        <f>'Introducció dades'!J209</f>
        <v>0</v>
      </c>
      <c r="AS69" s="1024">
        <f t="shared" si="50"/>
        <v>0</v>
      </c>
      <c r="AT69" s="794">
        <f>IF(OR(Fiscalitat!$H$21="a",Fiscalitat!$H$21="B",Fiscalitat!$H$21="D"),((1+$F$10)*AS69*D$10),AS69*$D$10)</f>
        <v>0</v>
      </c>
      <c r="AU69" s="794">
        <f>IF(OR(Fiscalitat!$H$21="a",Fiscalitat!$H$21="B",Fiscalitat!$H$21="D"),0,AT69*$F$10)</f>
        <v>0</v>
      </c>
      <c r="AV69" s="794">
        <f>IF(OR(Fiscalitat!$H$21="B",Fiscalitat!$H$21="D"),AT69*(1-$E$10)+AS69*$D$10*$K$10*(1-$E$10),AT69*(1-$E$10))</f>
        <v>0</v>
      </c>
      <c r="AW69" s="794">
        <f>IF(OR(Fiscalitat!$H$21="a",Fiscalitat!$H$21="B",Fiscalitat!$H$21="D"),0,AV69*$I$10)</f>
        <v>0</v>
      </c>
      <c r="AX69" s="1035">
        <f>'Introducció dades'!K209</f>
        <v>0</v>
      </c>
      <c r="AY69" s="1021">
        <f t="shared" si="51"/>
        <v>0</v>
      </c>
      <c r="AZ69" s="1022">
        <f>IF(OR(Fiscalitat!$H$21="a",Fiscalitat!$H$21="B",Fiscalitat!$H$21="D"),((1+$F$11)*AY69*D$11),AY69*$D$11)</f>
        <v>0</v>
      </c>
      <c r="BA69" s="1022">
        <f>IF(OR(Fiscalitat!$H$21="a",Fiscalitat!$H$21="B",Fiscalitat!$H$21="D"),0,AZ69*$F$11)</f>
        <v>0</v>
      </c>
      <c r="BB69" s="1022">
        <f>IF(OR(Fiscalitat!$H$21="B",Fiscalitat!$H$21="D"),AZ69*(1-$E$11)+AY69*$D$11*$K$11*(1-$E$11),AZ69*(1-$E$11))</f>
        <v>0</v>
      </c>
      <c r="BC69" s="1022">
        <f>IF(OR(Fiscalitat!$H$21="a",Fiscalitat!$H$21="B",Fiscalitat!$H$21="D"),0,BB69*$I$11)</f>
        <v>0</v>
      </c>
      <c r="BD69" s="1036">
        <f>'Introducció dades'!L209</f>
        <v>0</v>
      </c>
      <c r="BE69" s="1024">
        <f t="shared" si="52"/>
        <v>0</v>
      </c>
      <c r="BF69" s="794">
        <f>IF(OR(Fiscalitat!$H$21="a",Fiscalitat!$H$21="B",Fiscalitat!$H$21="D"),((1+$F$12)*BE69*D$12),BE69*$D$12)</f>
        <v>0</v>
      </c>
      <c r="BG69" s="794">
        <f>IF(OR(Fiscalitat!$H$21="a",Fiscalitat!$H$21="B",Fiscalitat!$H$21="D"),0,BF69*$F$12)</f>
        <v>0</v>
      </c>
      <c r="BH69" s="794">
        <f>IF(OR(Fiscalitat!$H$21="B",Fiscalitat!$H$21="D"),BF69*(1-$E$12)+BE69*$D$12*$K$12*(1-$E$12),BF69*(1-$E$12))</f>
        <v>0</v>
      </c>
      <c r="BI69" s="794">
        <f>IF(OR(Fiscalitat!$H$21="a",Fiscalitat!$H$21="B",Fiscalitat!$H$21="D"),0,BH69*$I$12)</f>
        <v>0</v>
      </c>
      <c r="BJ69" s="1035">
        <f>'Introducció dades'!M209</f>
        <v>0</v>
      </c>
      <c r="BK69" s="1021">
        <f t="shared" si="53"/>
        <v>0</v>
      </c>
      <c r="BL69" s="1022">
        <f>IF(OR(Fiscalitat!$H$21="a",Fiscalitat!$H$21="B",Fiscalitat!$H$21="D"),((1+$F$13)*BK69*D$13),BK69*$D$13)</f>
        <v>0</v>
      </c>
      <c r="BM69" s="1022">
        <f>IF(OR(Fiscalitat!$H$21="a",Fiscalitat!$H$21="B",Fiscalitat!$H$21="D"),0,BL69*$F$13)</f>
        <v>0</v>
      </c>
      <c r="BN69" s="1022">
        <f>IF(OR(Fiscalitat!$H$21="B",Fiscalitat!$H$21="D"),BL69*(1-$E$13)+BK69*$D$13*$K$13*(1-$E$13),BL69*(1-$E$13))</f>
        <v>0</v>
      </c>
      <c r="BO69" s="1022">
        <f>IF(OR(Fiscalitat!$H$21="a",Fiscalitat!$H$21="B",Fiscalitat!$H$21="D"),0,BN69*$I$13)</f>
        <v>0</v>
      </c>
      <c r="BP69" s="1036">
        <f>'Introducció dades'!N209</f>
        <v>0</v>
      </c>
      <c r="BQ69" s="1024">
        <f t="shared" si="54"/>
        <v>0</v>
      </c>
      <c r="BR69" s="794">
        <f>IF(OR(Fiscalitat!$H$21="a",Fiscalitat!$H$21="B",Fiscalitat!$H$21="D"),((1+$F$14)*BQ69*D$14),BQ69*$D$14)</f>
        <v>0</v>
      </c>
      <c r="BS69" s="794">
        <f>IF(OR(Fiscalitat!$H$21="a",Fiscalitat!$H$21="B",Fiscalitat!$H$21="D"),0,BR69*$F$14)</f>
        <v>0</v>
      </c>
      <c r="BT69" s="794">
        <f>IF(OR(Fiscalitat!$H$21="B",Fiscalitat!$H$21="D"),BR69*(1-$E$14)+BQ69*$D$14*$K$14*(1-$E$14),BR69*(1-$E$14))</f>
        <v>0</v>
      </c>
      <c r="BU69" s="794">
        <f>IF(OR(Fiscalitat!$H$21="a",Fiscalitat!$H$21="B",Fiscalitat!$H$21="D"),0,BT69*$I$14)</f>
        <v>0</v>
      </c>
      <c r="BV69" s="25">
        <f t="shared" si="59"/>
        <v>0</v>
      </c>
      <c r="BW69" s="1026">
        <f t="shared" si="60"/>
        <v>0</v>
      </c>
      <c r="BX69" s="1026">
        <f t="shared" si="61"/>
        <v>0</v>
      </c>
      <c r="BY69" s="1026">
        <f t="shared" si="62"/>
        <v>0</v>
      </c>
      <c r="BZ69" s="1026">
        <f t="shared" si="55"/>
        <v>0</v>
      </c>
      <c r="CO69" s="1029">
        <f t="shared" si="63"/>
        <v>0</v>
      </c>
    </row>
    <row r="70" spans="1:93" ht="13" x14ac:dyDescent="0.3">
      <c r="A70" s="1019" t="str">
        <f t="shared" si="56"/>
        <v>SETEMBRE</v>
      </c>
      <c r="B70" s="1035">
        <f>'Introducció dades'!C210</f>
        <v>0</v>
      </c>
      <c r="C70" s="1021">
        <f t="shared" si="45"/>
        <v>0</v>
      </c>
      <c r="D70" s="1022">
        <f>IF(OR(Fiscalitat!$H$21="a",Fiscalitat!$H$21="B",Fiscalitat!$H$21="D"),((1+$F$3)*C70*D$3),C70*$D$3)</f>
        <v>0</v>
      </c>
      <c r="E70" s="1022">
        <f>IF(OR(Fiscalitat!$H$21="a",Fiscalitat!$H$21="B",Fiscalitat!$H$21="D"),0,D70*$F$3)</f>
        <v>0</v>
      </c>
      <c r="F70" s="1022">
        <f>IF(OR(Fiscalitat!$H$21="B",Fiscalitat!$H$21="D"),D70*(1-$E$3)+C70*$D$3*$K$3*(1-$E$3),D70*(1-$E$3))</f>
        <v>0</v>
      </c>
      <c r="G70" s="1022">
        <f>IF(OR(Fiscalitat!$H$21="a",Fiscalitat!$H$21="B",Fiscalitat!$H$21="D"),0,F70*$I$3)</f>
        <v>0</v>
      </c>
      <c r="H70" s="1036">
        <f>'Introducció dades'!D210</f>
        <v>0</v>
      </c>
      <c r="I70" s="1024">
        <f t="shared" si="46"/>
        <v>0</v>
      </c>
      <c r="J70" s="794">
        <f>IF(OR(Fiscalitat!$H$21="a",Fiscalitat!$H$21="B",Fiscalitat!$H$21="D"),((1+$F$4)*I70*D$4),I70*$D$4)</f>
        <v>0</v>
      </c>
      <c r="K70" s="794">
        <f>IF(OR(Fiscalitat!$H$21="a",Fiscalitat!$H$21="B",Fiscalitat!$H$21="D"),0,J70*$F$4)</f>
        <v>0</v>
      </c>
      <c r="L70" s="794">
        <f>IF(OR(Fiscalitat!$H$21="B",Fiscalitat!$H$21="D"),J70*(1-$E$4)+I70*$D$4*$K$4*(1-$E$4),J70*(1-$E$4))</f>
        <v>0</v>
      </c>
      <c r="M70" s="794">
        <f>IF(OR(Fiscalitat!$H$21="a",Fiscalitat!$H$21="B",Fiscalitat!$H$21="D"),0,L70*$I$4)</f>
        <v>0</v>
      </c>
      <c r="N70" s="1035">
        <f>'Introducció dades'!E210</f>
        <v>0</v>
      </c>
      <c r="O70" s="1021">
        <f t="shared" si="57"/>
        <v>0</v>
      </c>
      <c r="P70" s="1022">
        <f>IF(OR(Fiscalitat!$H$21="a",Fiscalitat!$H$21="B",Fiscalitat!$H$21="D"),((1+$F$5)*O70*D$5),O70*$D$5)</f>
        <v>0</v>
      </c>
      <c r="Q70" s="1022">
        <f>IF(OR(Fiscalitat!$H$21="a",Fiscalitat!$H$21="B",Fiscalitat!$H$21="D"),0,P70*$F$5)</f>
        <v>0</v>
      </c>
      <c r="R70" s="1022">
        <f>IF(OR(Fiscalitat!$H$21="B",Fiscalitat!$H$21="D"),P70*(1-$E$5)+O70*$D$5*$K$5*(1-$E$5),P70*(1-$E$5))</f>
        <v>0</v>
      </c>
      <c r="S70" s="1022">
        <f>IF(OR(Fiscalitat!$H$21="a",Fiscalitat!$H$21="B",Fiscalitat!$H$21="D"),0,R70*$I$5)</f>
        <v>0</v>
      </c>
      <c r="T70" s="1036">
        <f>'Introducció dades'!F210</f>
        <v>0</v>
      </c>
      <c r="U70" s="1024">
        <f t="shared" si="58"/>
        <v>0</v>
      </c>
      <c r="V70" s="794">
        <f>IF(OR(Fiscalitat!$H$21="a",Fiscalitat!$H$21="B",Fiscalitat!$H$21="D"),((1+$F$6)*U70*D$6),U70*$D$6)</f>
        <v>0</v>
      </c>
      <c r="W70" s="794">
        <f>IF(OR(Fiscalitat!$H$21="a",Fiscalitat!$H$21="B",Fiscalitat!$H$21="D"),0,V70*$F$6)</f>
        <v>0</v>
      </c>
      <c r="X70" s="794">
        <f>IF(OR(Fiscalitat!$H$21="B",Fiscalitat!$H$21="D"),V70*(1-$E$6)+U70*$D$6*$K$6*(1-$E$6),V70*(1-$E$6))</f>
        <v>0</v>
      </c>
      <c r="Y70" s="794">
        <f>IF(OR(Fiscalitat!$H$21="a",Fiscalitat!$H$21="B",Fiscalitat!$H$21="D"),0,X70*$I$6)</f>
        <v>0</v>
      </c>
      <c r="Z70" s="1035">
        <f>'Introducció dades'!G210</f>
        <v>0</v>
      </c>
      <c r="AA70" s="1021">
        <f t="shared" si="47"/>
        <v>0</v>
      </c>
      <c r="AB70" s="1022">
        <f>IF(OR(Fiscalitat!$H$21="a",Fiscalitat!$H$21="B",Fiscalitat!$H$21="D"),((1+$F$7)*AA70*D$7),AA70*$D$7)</f>
        <v>0</v>
      </c>
      <c r="AC70" s="1022">
        <f>IF(OR(Fiscalitat!$H$21="a",Fiscalitat!$H$21="B",Fiscalitat!$H$21="D"),0,AB70*$F$7)</f>
        <v>0</v>
      </c>
      <c r="AD70" s="1022">
        <f>IF(OR(Fiscalitat!$H$21="B",Fiscalitat!$H$21="D"),AB70*(1-$E$7)+AA70*$D$7*$K$7*(1-$E$7),AB70*(1-$E$7))</f>
        <v>0</v>
      </c>
      <c r="AE70" s="1022">
        <f>IF(OR(Fiscalitat!$H$21="a",Fiscalitat!$H$21="B",Fiscalitat!$H$21="D"),0,AD70*$I$7)</f>
        <v>0</v>
      </c>
      <c r="AF70" s="1036">
        <f>'Introducció dades'!H210</f>
        <v>0</v>
      </c>
      <c r="AG70" s="1024">
        <f t="shared" si="48"/>
        <v>0</v>
      </c>
      <c r="AH70" s="794">
        <f>IF(OR(Fiscalitat!$H$21="a",Fiscalitat!$H$21="B",Fiscalitat!$H$21="D"),((1+$F$8)*AG70*D$8),AG70*$D$8)</f>
        <v>0</v>
      </c>
      <c r="AI70" s="794">
        <f>IF(OR(Fiscalitat!$H$21="a",Fiscalitat!$H$21="B",Fiscalitat!$H$21="D"),0,AH70*$F$8)</f>
        <v>0</v>
      </c>
      <c r="AJ70" s="794">
        <f>IF(OR(Fiscalitat!$H$21="B",Fiscalitat!$H$21="D"),AH70*(1-$E$8)+AG70*$D$8*$K$8*(1-$E$8),AH70*(1-$E$8))</f>
        <v>0</v>
      </c>
      <c r="AK70" s="794">
        <f>IF(OR(Fiscalitat!$H$21="a",Fiscalitat!$H$21="B",Fiscalitat!$H$21="D"),0,AJ70*$I$8)</f>
        <v>0</v>
      </c>
      <c r="AL70" s="1035">
        <f>'Introducció dades'!I210</f>
        <v>0</v>
      </c>
      <c r="AM70" s="1021">
        <f t="shared" si="49"/>
        <v>0</v>
      </c>
      <c r="AN70" s="1022">
        <f>IF(OR(Fiscalitat!$H$21="a",Fiscalitat!$H$21="B",Fiscalitat!$H$21="D"),((1+$F$9)*AM70*D$9),AM70*$D$9)</f>
        <v>0</v>
      </c>
      <c r="AO70" s="1022">
        <f>IF(OR(Fiscalitat!$H$21="a",Fiscalitat!$H$21="B",Fiscalitat!$H$21="D"),0,AN70*$F$9)</f>
        <v>0</v>
      </c>
      <c r="AP70" s="1022">
        <f>IF(OR(Fiscalitat!$H$21="B",Fiscalitat!$H$21="D"),AN70*(1-$E$9)+AM70*$D$9*$K$9*(1-$E$9),AN70*(1-$E$9))</f>
        <v>0</v>
      </c>
      <c r="AQ70" s="1022">
        <f>IF(OR(Fiscalitat!$H$21="a",Fiscalitat!$H$21="B",Fiscalitat!$H$21="D"),0,AP70*$I$9)</f>
        <v>0</v>
      </c>
      <c r="AR70" s="1036">
        <f>'Introducció dades'!J210</f>
        <v>0</v>
      </c>
      <c r="AS70" s="1024">
        <f t="shared" si="50"/>
        <v>0</v>
      </c>
      <c r="AT70" s="794">
        <f>IF(OR(Fiscalitat!$H$21="a",Fiscalitat!$H$21="B",Fiscalitat!$H$21="D"),((1+$F$10)*AS70*D$10),AS70*$D$10)</f>
        <v>0</v>
      </c>
      <c r="AU70" s="794">
        <f>IF(OR(Fiscalitat!$H$21="a",Fiscalitat!$H$21="B",Fiscalitat!$H$21="D"),0,AT70*$F$10)</f>
        <v>0</v>
      </c>
      <c r="AV70" s="794">
        <f>IF(OR(Fiscalitat!$H$21="B",Fiscalitat!$H$21="D"),AT70*(1-$E$10)+AS70*$D$10*$K$10*(1-$E$10),AT70*(1-$E$10))</f>
        <v>0</v>
      </c>
      <c r="AW70" s="794">
        <f>IF(OR(Fiscalitat!$H$21="a",Fiscalitat!$H$21="B",Fiscalitat!$H$21="D"),0,AV70*$I$10)</f>
        <v>0</v>
      </c>
      <c r="AX70" s="1035">
        <f>'Introducció dades'!K210</f>
        <v>0</v>
      </c>
      <c r="AY70" s="1021">
        <f t="shared" si="51"/>
        <v>0</v>
      </c>
      <c r="AZ70" s="1022">
        <f>IF(OR(Fiscalitat!$H$21="a",Fiscalitat!$H$21="B",Fiscalitat!$H$21="D"),((1+$F$11)*AY70*D$11),AY70*$D$11)</f>
        <v>0</v>
      </c>
      <c r="BA70" s="1022">
        <f>IF(OR(Fiscalitat!$H$21="a",Fiscalitat!$H$21="B",Fiscalitat!$H$21="D"),0,AZ70*$F$11)</f>
        <v>0</v>
      </c>
      <c r="BB70" s="1022">
        <f>IF(OR(Fiscalitat!$H$21="B",Fiscalitat!$H$21="D"),AZ70*(1-$E$11)+AY70*$D$11*$K$11*(1-$E$11),AZ70*(1-$E$11))</f>
        <v>0</v>
      </c>
      <c r="BC70" s="1022">
        <f>IF(OR(Fiscalitat!$H$21="a",Fiscalitat!$H$21="B",Fiscalitat!$H$21="D"),0,BB70*$I$11)</f>
        <v>0</v>
      </c>
      <c r="BD70" s="1036">
        <f>'Introducció dades'!L210</f>
        <v>0</v>
      </c>
      <c r="BE70" s="1024">
        <f t="shared" si="52"/>
        <v>0</v>
      </c>
      <c r="BF70" s="794">
        <f>IF(OR(Fiscalitat!$H$21="a",Fiscalitat!$H$21="B",Fiscalitat!$H$21="D"),((1+$F$12)*BE70*D$12),BE70*$D$12)</f>
        <v>0</v>
      </c>
      <c r="BG70" s="794">
        <f>IF(OR(Fiscalitat!$H$21="a",Fiscalitat!$H$21="B",Fiscalitat!$H$21="D"),0,BF70*$F$12)</f>
        <v>0</v>
      </c>
      <c r="BH70" s="794">
        <f>IF(OR(Fiscalitat!$H$21="B",Fiscalitat!$H$21="D"),BF70*(1-$E$12)+BE70*$D$12*$K$12*(1-$E$12),BF70*(1-$E$12))</f>
        <v>0</v>
      </c>
      <c r="BI70" s="794">
        <f>IF(OR(Fiscalitat!$H$21="a",Fiscalitat!$H$21="B",Fiscalitat!$H$21="D"),0,BH70*$I$12)</f>
        <v>0</v>
      </c>
      <c r="BJ70" s="1035">
        <f>'Introducció dades'!M210</f>
        <v>0</v>
      </c>
      <c r="BK70" s="1021">
        <f t="shared" si="53"/>
        <v>0</v>
      </c>
      <c r="BL70" s="1022">
        <f>IF(OR(Fiscalitat!$H$21="a",Fiscalitat!$H$21="B",Fiscalitat!$H$21="D"),((1+$F$13)*BK70*D$13),BK70*$D$13)</f>
        <v>0</v>
      </c>
      <c r="BM70" s="1022">
        <f>IF(OR(Fiscalitat!$H$21="a",Fiscalitat!$H$21="B",Fiscalitat!$H$21="D"),0,BL70*$F$13)</f>
        <v>0</v>
      </c>
      <c r="BN70" s="1022">
        <f>IF(OR(Fiscalitat!$H$21="B",Fiscalitat!$H$21="D"),BL70*(1-$E$13)+BK70*$D$13*$K$13*(1-$E$13),BL70*(1-$E$13))</f>
        <v>0</v>
      </c>
      <c r="BO70" s="1022">
        <f>IF(OR(Fiscalitat!$H$21="a",Fiscalitat!$H$21="B",Fiscalitat!$H$21="D"),0,BN70*$I$13)</f>
        <v>0</v>
      </c>
      <c r="BP70" s="1036">
        <f>'Introducció dades'!N210</f>
        <v>0</v>
      </c>
      <c r="BQ70" s="1024">
        <f t="shared" si="54"/>
        <v>0</v>
      </c>
      <c r="BR70" s="794">
        <f>IF(OR(Fiscalitat!$H$21="a",Fiscalitat!$H$21="B",Fiscalitat!$H$21="D"),((1+$F$14)*BQ70*D$14),BQ70*$D$14)</f>
        <v>0</v>
      </c>
      <c r="BS70" s="794">
        <f>IF(OR(Fiscalitat!$H$21="a",Fiscalitat!$H$21="B",Fiscalitat!$H$21="D"),0,BR70*$F$14)</f>
        <v>0</v>
      </c>
      <c r="BT70" s="794">
        <f>IF(OR(Fiscalitat!$H$21="B",Fiscalitat!$H$21="D"),BR70*(1-$E$14)+BQ70*$D$14*$K$14*(1-$E$14),BR70*(1-$E$14))</f>
        <v>0</v>
      </c>
      <c r="BU70" s="794">
        <f>IF(OR(Fiscalitat!$H$21="a",Fiscalitat!$H$21="B",Fiscalitat!$H$21="D"),0,BT70*$I$14)</f>
        <v>0</v>
      </c>
      <c r="BV70" s="25">
        <f t="shared" si="59"/>
        <v>0</v>
      </c>
      <c r="BW70" s="1026">
        <f t="shared" si="60"/>
        <v>0</v>
      </c>
      <c r="BX70" s="1026">
        <f t="shared" si="61"/>
        <v>0</v>
      </c>
      <c r="BY70" s="1026">
        <f t="shared" si="62"/>
        <v>0</v>
      </c>
      <c r="BZ70" s="1026">
        <f t="shared" si="55"/>
        <v>0</v>
      </c>
      <c r="CO70" s="1029">
        <f t="shared" si="63"/>
        <v>0</v>
      </c>
    </row>
    <row r="71" spans="1:93" ht="13" x14ac:dyDescent="0.3">
      <c r="A71" s="1019" t="str">
        <f t="shared" si="56"/>
        <v>OCTUBRE</v>
      </c>
      <c r="B71" s="1035">
        <f>'Introducció dades'!C211</f>
        <v>0</v>
      </c>
      <c r="C71" s="1021">
        <f t="shared" si="45"/>
        <v>0</v>
      </c>
      <c r="D71" s="1022">
        <f>IF(OR(Fiscalitat!$H$21="a",Fiscalitat!$H$21="B",Fiscalitat!$H$21="D"),((1+$F$3)*C71*D$3),C71*$D$3)</f>
        <v>0</v>
      </c>
      <c r="E71" s="1022">
        <f>IF(OR(Fiscalitat!$H$21="a",Fiscalitat!$H$21="B",Fiscalitat!$H$21="D"),0,D71*$F$3)</f>
        <v>0</v>
      </c>
      <c r="F71" s="1022">
        <f>IF(OR(Fiscalitat!$H$21="B",Fiscalitat!$H$21="D"),D71*(1-$E$3)+C71*$D$3*$K$3*(1-$E$3),D71*(1-$E$3))</f>
        <v>0</v>
      </c>
      <c r="G71" s="1022">
        <f>IF(OR(Fiscalitat!$H$21="a",Fiscalitat!$H$21="B",Fiscalitat!$H$21="D"),0,F71*$I$3)</f>
        <v>0</v>
      </c>
      <c r="H71" s="1036">
        <f>'Introducció dades'!D211</f>
        <v>0</v>
      </c>
      <c r="I71" s="1024">
        <f t="shared" si="46"/>
        <v>0</v>
      </c>
      <c r="J71" s="794">
        <f>IF(OR(Fiscalitat!$H$21="a",Fiscalitat!$H$21="B",Fiscalitat!$H$21="D"),((1+$F$4)*I71*D$4),I71*$D$4)</f>
        <v>0</v>
      </c>
      <c r="K71" s="794">
        <f>IF(OR(Fiscalitat!$H$21="a",Fiscalitat!$H$21="B",Fiscalitat!$H$21="D"),0,J71*$F$4)</f>
        <v>0</v>
      </c>
      <c r="L71" s="794">
        <f>IF(OR(Fiscalitat!$H$21="B",Fiscalitat!$H$21="D"),J71*(1-$E$4)+I71*$D$4*$K$4*(1-$E$4),J71*(1-$E$4))</f>
        <v>0</v>
      </c>
      <c r="M71" s="794">
        <f>IF(OR(Fiscalitat!$H$21="a",Fiscalitat!$H$21="B",Fiscalitat!$H$21="D"),0,L71*$I$4)</f>
        <v>0</v>
      </c>
      <c r="N71" s="1035">
        <f>'Introducció dades'!E211</f>
        <v>0</v>
      </c>
      <c r="O71" s="1021">
        <f t="shared" si="57"/>
        <v>0</v>
      </c>
      <c r="P71" s="1022">
        <f>IF(OR(Fiscalitat!$H$21="a",Fiscalitat!$H$21="B",Fiscalitat!$H$21="D"),((1+$F$5)*O71*D$5),O71*$D$5)</f>
        <v>0</v>
      </c>
      <c r="Q71" s="1022">
        <f>IF(OR(Fiscalitat!$H$21="a",Fiscalitat!$H$21="B",Fiscalitat!$H$21="D"),0,P71*$F$5)</f>
        <v>0</v>
      </c>
      <c r="R71" s="1022">
        <f>IF(OR(Fiscalitat!$H$21="B",Fiscalitat!$H$21="D"),P71*(1-$E$5)+O71*$D$5*$K$5*(1-$E$5),P71*(1-$E$5))</f>
        <v>0</v>
      </c>
      <c r="S71" s="1022">
        <f>IF(OR(Fiscalitat!$H$21="a",Fiscalitat!$H$21="B",Fiscalitat!$H$21="D"),0,R71*$I$5)</f>
        <v>0</v>
      </c>
      <c r="T71" s="1036">
        <f>'Introducció dades'!F211</f>
        <v>0</v>
      </c>
      <c r="U71" s="1024">
        <f t="shared" si="58"/>
        <v>0</v>
      </c>
      <c r="V71" s="794">
        <f>IF(OR(Fiscalitat!$H$21="a",Fiscalitat!$H$21="B",Fiscalitat!$H$21="D"),((1+$F$6)*U71*D$6),U71*$D$6)</f>
        <v>0</v>
      </c>
      <c r="W71" s="794">
        <f>IF(OR(Fiscalitat!$H$21="a",Fiscalitat!$H$21="B",Fiscalitat!$H$21="D"),0,V71*$F$6)</f>
        <v>0</v>
      </c>
      <c r="X71" s="794">
        <f>IF(OR(Fiscalitat!$H$21="B",Fiscalitat!$H$21="D"),V71*(1-$E$6)+U71*$D$6*$K$6*(1-$E$6),V71*(1-$E$6))</f>
        <v>0</v>
      </c>
      <c r="Y71" s="794">
        <f>IF(OR(Fiscalitat!$H$21="a",Fiscalitat!$H$21="B",Fiscalitat!$H$21="D"),0,X71*$I$6)</f>
        <v>0</v>
      </c>
      <c r="Z71" s="1035">
        <f>'Introducció dades'!G211</f>
        <v>0</v>
      </c>
      <c r="AA71" s="1021">
        <f t="shared" si="47"/>
        <v>0</v>
      </c>
      <c r="AB71" s="1022">
        <f>IF(OR(Fiscalitat!$H$21="a",Fiscalitat!$H$21="B",Fiscalitat!$H$21="D"),((1+$F$7)*AA71*D$7),AA71*$D$7)</f>
        <v>0</v>
      </c>
      <c r="AC71" s="1022">
        <f>IF(OR(Fiscalitat!$H$21="a",Fiscalitat!$H$21="B",Fiscalitat!$H$21="D"),0,AB71*$F$7)</f>
        <v>0</v>
      </c>
      <c r="AD71" s="1022">
        <f>IF(OR(Fiscalitat!$H$21="B",Fiscalitat!$H$21="D"),AB71*(1-$E$7)+AA71*$D$7*$K$7*(1-$E$7),AB71*(1-$E$7))</f>
        <v>0</v>
      </c>
      <c r="AE71" s="1022">
        <f>IF(OR(Fiscalitat!$H$21="a",Fiscalitat!$H$21="B",Fiscalitat!$H$21="D"),0,AD71*$I$7)</f>
        <v>0</v>
      </c>
      <c r="AF71" s="1036">
        <f>'Introducció dades'!H211</f>
        <v>0</v>
      </c>
      <c r="AG71" s="1024">
        <f t="shared" si="48"/>
        <v>0</v>
      </c>
      <c r="AH71" s="794">
        <f>IF(OR(Fiscalitat!$H$21="a",Fiscalitat!$H$21="B",Fiscalitat!$H$21="D"),((1+$F$8)*AG71*D$8),AG71*$D$8)</f>
        <v>0</v>
      </c>
      <c r="AI71" s="794">
        <f>IF(OR(Fiscalitat!$H$21="a",Fiscalitat!$H$21="B",Fiscalitat!$H$21="D"),0,AH71*$F$8)</f>
        <v>0</v>
      </c>
      <c r="AJ71" s="794">
        <f>IF(OR(Fiscalitat!$H$21="B",Fiscalitat!$H$21="D"),AH71*(1-$E$8)+AG71*$D$8*$K$8*(1-$E$8),AH71*(1-$E$8))</f>
        <v>0</v>
      </c>
      <c r="AK71" s="794">
        <f>IF(OR(Fiscalitat!$H$21="a",Fiscalitat!$H$21="B",Fiscalitat!$H$21="D"),0,AJ71*$I$8)</f>
        <v>0</v>
      </c>
      <c r="AL71" s="1035">
        <f>'Introducció dades'!I211</f>
        <v>0</v>
      </c>
      <c r="AM71" s="1021">
        <f t="shared" si="49"/>
        <v>0</v>
      </c>
      <c r="AN71" s="1022">
        <f>IF(OR(Fiscalitat!$H$21="a",Fiscalitat!$H$21="B",Fiscalitat!$H$21="D"),((1+$F$9)*AM71*D$9),AM71*$D$9)</f>
        <v>0</v>
      </c>
      <c r="AO71" s="1022">
        <f>IF(OR(Fiscalitat!$H$21="a",Fiscalitat!$H$21="B",Fiscalitat!$H$21="D"),0,AN71*$F$9)</f>
        <v>0</v>
      </c>
      <c r="AP71" s="1022">
        <f>IF(OR(Fiscalitat!$H$21="B",Fiscalitat!$H$21="D"),AN71*(1-$E$9)+AM71*$D$9*$K$9*(1-$E$9),AN71*(1-$E$9))</f>
        <v>0</v>
      </c>
      <c r="AQ71" s="1022">
        <f>IF(OR(Fiscalitat!$H$21="a",Fiscalitat!$H$21="B",Fiscalitat!$H$21="D"),0,AP71*$I$9)</f>
        <v>0</v>
      </c>
      <c r="AR71" s="1036">
        <f>'Introducció dades'!J211</f>
        <v>0</v>
      </c>
      <c r="AS71" s="1024">
        <f t="shared" si="50"/>
        <v>0</v>
      </c>
      <c r="AT71" s="794">
        <f>IF(OR(Fiscalitat!$H$21="a",Fiscalitat!$H$21="B",Fiscalitat!$H$21="D"),((1+$F$10)*AS71*D$10),AS71*$D$10)</f>
        <v>0</v>
      </c>
      <c r="AU71" s="794">
        <f>IF(OR(Fiscalitat!$H$21="a",Fiscalitat!$H$21="B",Fiscalitat!$H$21="D"),0,AT71*$F$10)</f>
        <v>0</v>
      </c>
      <c r="AV71" s="794">
        <f>IF(OR(Fiscalitat!$H$21="B",Fiscalitat!$H$21="D"),AT71*(1-$E$10)+AS71*$D$10*$K$10*(1-$E$10),AT71*(1-$E$10))</f>
        <v>0</v>
      </c>
      <c r="AW71" s="794">
        <f>IF(OR(Fiscalitat!$H$21="a",Fiscalitat!$H$21="B",Fiscalitat!$H$21="D"),0,AV71*$I$10)</f>
        <v>0</v>
      </c>
      <c r="AX71" s="1035">
        <f>'Introducció dades'!K211</f>
        <v>0</v>
      </c>
      <c r="AY71" s="1021">
        <f t="shared" si="51"/>
        <v>0</v>
      </c>
      <c r="AZ71" s="1022">
        <f>IF(OR(Fiscalitat!$H$21="a",Fiscalitat!$H$21="B",Fiscalitat!$H$21="D"),((1+$F$11)*AY71*D$11),AY71*$D$11)</f>
        <v>0</v>
      </c>
      <c r="BA71" s="1022">
        <f>IF(OR(Fiscalitat!$H$21="a",Fiscalitat!$H$21="B",Fiscalitat!$H$21="D"),0,AZ71*$F$11)</f>
        <v>0</v>
      </c>
      <c r="BB71" s="1022">
        <f>IF(OR(Fiscalitat!$H$21="B",Fiscalitat!$H$21="D"),AZ71*(1-$E$11)+AY71*$D$11*$K$11*(1-$E$11),AZ71*(1-$E$11))</f>
        <v>0</v>
      </c>
      <c r="BC71" s="1022">
        <f>IF(OR(Fiscalitat!$H$21="a",Fiscalitat!$H$21="B",Fiscalitat!$H$21="D"),0,BB71*$I$11)</f>
        <v>0</v>
      </c>
      <c r="BD71" s="1036">
        <f>'Introducció dades'!L211</f>
        <v>0</v>
      </c>
      <c r="BE71" s="1024">
        <f t="shared" si="52"/>
        <v>0</v>
      </c>
      <c r="BF71" s="794">
        <f>IF(OR(Fiscalitat!$H$21="a",Fiscalitat!$H$21="B",Fiscalitat!$H$21="D"),((1+$F$12)*BE71*D$12),BE71*$D$12)</f>
        <v>0</v>
      </c>
      <c r="BG71" s="794">
        <f>IF(OR(Fiscalitat!$H$21="a",Fiscalitat!$H$21="B",Fiscalitat!$H$21="D"),0,BF71*$F$12)</f>
        <v>0</v>
      </c>
      <c r="BH71" s="794">
        <f>IF(OR(Fiscalitat!$H$21="B",Fiscalitat!$H$21="D"),BF71*(1-$E$12)+BE71*$D$12*$K$12*(1-$E$12),BF71*(1-$E$12))</f>
        <v>0</v>
      </c>
      <c r="BI71" s="794">
        <f>IF(OR(Fiscalitat!$H$21="a",Fiscalitat!$H$21="B",Fiscalitat!$H$21="D"),0,BH71*$I$12)</f>
        <v>0</v>
      </c>
      <c r="BJ71" s="1035">
        <f>'Introducció dades'!M211</f>
        <v>0</v>
      </c>
      <c r="BK71" s="1021">
        <f t="shared" si="53"/>
        <v>0</v>
      </c>
      <c r="BL71" s="1022">
        <f>IF(OR(Fiscalitat!$H$21="a",Fiscalitat!$H$21="B",Fiscalitat!$H$21="D"),((1+$F$13)*BK71*D$13),BK71*$D$13)</f>
        <v>0</v>
      </c>
      <c r="BM71" s="1022">
        <f>IF(OR(Fiscalitat!$H$21="a",Fiscalitat!$H$21="B",Fiscalitat!$H$21="D"),0,BL71*$F$13)</f>
        <v>0</v>
      </c>
      <c r="BN71" s="1022">
        <f>IF(OR(Fiscalitat!$H$21="B",Fiscalitat!$H$21="D"),BL71*(1-$E$13)+BK71*$D$13*$K$13*(1-$E$13),BL71*(1-$E$13))</f>
        <v>0</v>
      </c>
      <c r="BO71" s="1022">
        <f>IF(OR(Fiscalitat!$H$21="a",Fiscalitat!$H$21="B",Fiscalitat!$H$21="D"),0,BN71*$I$13)</f>
        <v>0</v>
      </c>
      <c r="BP71" s="1036">
        <f>'Introducció dades'!N211</f>
        <v>0</v>
      </c>
      <c r="BQ71" s="1024">
        <f t="shared" si="54"/>
        <v>0</v>
      </c>
      <c r="BR71" s="794">
        <f>IF(OR(Fiscalitat!$H$21="a",Fiscalitat!$H$21="B",Fiscalitat!$H$21="D"),((1+$F$14)*BQ71*D$14),BQ71*$D$14)</f>
        <v>0</v>
      </c>
      <c r="BS71" s="794">
        <f>IF(OR(Fiscalitat!$H$21="a",Fiscalitat!$H$21="B",Fiscalitat!$H$21="D"),0,BR71*$F$14)</f>
        <v>0</v>
      </c>
      <c r="BT71" s="794">
        <f>IF(OR(Fiscalitat!$H$21="B",Fiscalitat!$H$21="D"),BR71*(1-$E$14)+BQ71*$D$14*$K$14*(1-$E$14),BR71*(1-$E$14))</f>
        <v>0</v>
      </c>
      <c r="BU71" s="794">
        <f>IF(OR(Fiscalitat!$H$21="a",Fiscalitat!$H$21="B",Fiscalitat!$H$21="D"),0,BT71*$I$14)</f>
        <v>0</v>
      </c>
      <c r="BV71" s="25">
        <f t="shared" si="59"/>
        <v>0</v>
      </c>
      <c r="BW71" s="1026">
        <f t="shared" si="60"/>
        <v>0</v>
      </c>
      <c r="BX71" s="1026">
        <f t="shared" si="61"/>
        <v>0</v>
      </c>
      <c r="BY71" s="1026">
        <f t="shared" si="62"/>
        <v>0</v>
      </c>
      <c r="BZ71" s="1026">
        <f t="shared" si="55"/>
        <v>0</v>
      </c>
      <c r="CO71" s="1029">
        <f t="shared" si="63"/>
        <v>0</v>
      </c>
    </row>
    <row r="72" spans="1:93" ht="13" x14ac:dyDescent="0.3">
      <c r="A72" s="1019" t="str">
        <f t="shared" si="56"/>
        <v>NOVEMBRE</v>
      </c>
      <c r="B72" s="1035">
        <f>'Introducció dades'!C212</f>
        <v>0</v>
      </c>
      <c r="C72" s="1021">
        <f t="shared" si="45"/>
        <v>0</v>
      </c>
      <c r="D72" s="1022">
        <f>IF(OR(Fiscalitat!$H$21="a",Fiscalitat!$H$21="B",Fiscalitat!$H$21="D"),((1+$F$3)*C72*D$3),C72*$D$3)</f>
        <v>0</v>
      </c>
      <c r="E72" s="1022">
        <f>IF(OR(Fiscalitat!$H$21="a",Fiscalitat!$H$21="B",Fiscalitat!$H$21="D"),0,D72*$F$3)</f>
        <v>0</v>
      </c>
      <c r="F72" s="1022">
        <f>IF(OR(Fiscalitat!$H$21="B",Fiscalitat!$H$21="D"),D72*(1-$E$3)+C72*$D$3*$K$3*(1-$E$3),D72*(1-$E$3))</f>
        <v>0</v>
      </c>
      <c r="G72" s="1022">
        <f>IF(OR(Fiscalitat!$H$21="a",Fiscalitat!$H$21="B",Fiscalitat!$H$21="D"),0,F72*$I$3)</f>
        <v>0</v>
      </c>
      <c r="H72" s="1036">
        <f>'Introducció dades'!D212</f>
        <v>0</v>
      </c>
      <c r="I72" s="1024">
        <f t="shared" si="46"/>
        <v>0</v>
      </c>
      <c r="J72" s="794">
        <f>IF(OR(Fiscalitat!$H$21="a",Fiscalitat!$H$21="B",Fiscalitat!$H$21="D"),((1+$F$4)*I72*D$4),I72*$D$4)</f>
        <v>0</v>
      </c>
      <c r="K72" s="794">
        <f>IF(OR(Fiscalitat!$H$21="a",Fiscalitat!$H$21="B",Fiscalitat!$H$21="D"),0,J72*$F$4)</f>
        <v>0</v>
      </c>
      <c r="L72" s="794">
        <f>IF(OR(Fiscalitat!$H$21="B",Fiscalitat!$H$21="D"),J72*(1-$E$4)+I72*$D$4*$K$4*(1-$E$4),J72*(1-$E$4))</f>
        <v>0</v>
      </c>
      <c r="M72" s="794">
        <f>IF(OR(Fiscalitat!$H$21="a",Fiscalitat!$H$21="B",Fiscalitat!$H$21="D"),0,L72*$I$4)</f>
        <v>0</v>
      </c>
      <c r="N72" s="1035">
        <f>'Introducció dades'!E212</f>
        <v>0</v>
      </c>
      <c r="O72" s="1021">
        <f t="shared" si="57"/>
        <v>0</v>
      </c>
      <c r="P72" s="1022">
        <f>IF(OR(Fiscalitat!$H$21="a",Fiscalitat!$H$21="B",Fiscalitat!$H$21="D"),((1+$F$5)*O72*D$5),O72*$D$5)</f>
        <v>0</v>
      </c>
      <c r="Q72" s="1022">
        <f>IF(OR(Fiscalitat!$H$21="a",Fiscalitat!$H$21="B",Fiscalitat!$H$21="D"),0,P72*$F$5)</f>
        <v>0</v>
      </c>
      <c r="R72" s="1022">
        <f>IF(OR(Fiscalitat!$H$21="B",Fiscalitat!$H$21="D"),P72*(1-$E$5)+O72*$D$5*$K$5*(1-$E$5),P72*(1-$E$5))</f>
        <v>0</v>
      </c>
      <c r="S72" s="1022">
        <f>IF(OR(Fiscalitat!$H$21="a",Fiscalitat!$H$21="B",Fiscalitat!$H$21="D"),0,R72*$I$5)</f>
        <v>0</v>
      </c>
      <c r="T72" s="1036">
        <f>'Introducció dades'!F212</f>
        <v>0</v>
      </c>
      <c r="U72" s="1024">
        <f t="shared" si="58"/>
        <v>0</v>
      </c>
      <c r="V72" s="794">
        <f>IF(OR(Fiscalitat!$H$21="a",Fiscalitat!$H$21="B",Fiscalitat!$H$21="D"),((1+$F$6)*U72*D$6),U72*$D$6)</f>
        <v>0</v>
      </c>
      <c r="W72" s="794">
        <f>IF(OR(Fiscalitat!$H$21="a",Fiscalitat!$H$21="B",Fiscalitat!$H$21="D"),0,V72*$F$6)</f>
        <v>0</v>
      </c>
      <c r="X72" s="794">
        <f>IF(OR(Fiscalitat!$H$21="B",Fiscalitat!$H$21="D"),V72*(1-$E$6)+U72*$D$6*$K$6*(1-$E$6),V72*(1-$E$6))</f>
        <v>0</v>
      </c>
      <c r="Y72" s="794">
        <f>IF(OR(Fiscalitat!$H$21="a",Fiscalitat!$H$21="B",Fiscalitat!$H$21="D"),0,X72*$I$6)</f>
        <v>0</v>
      </c>
      <c r="Z72" s="1035">
        <f>'Introducció dades'!G212</f>
        <v>0</v>
      </c>
      <c r="AA72" s="1021">
        <f t="shared" si="47"/>
        <v>0</v>
      </c>
      <c r="AB72" s="1022">
        <f>IF(OR(Fiscalitat!$H$21="a",Fiscalitat!$H$21="B",Fiscalitat!$H$21="D"),((1+$F$7)*AA72*D$7),AA72*$D$7)</f>
        <v>0</v>
      </c>
      <c r="AC72" s="1022">
        <f>IF(OR(Fiscalitat!$H$21="a",Fiscalitat!$H$21="B",Fiscalitat!$H$21="D"),0,AB72*$F$7)</f>
        <v>0</v>
      </c>
      <c r="AD72" s="1022">
        <f>IF(OR(Fiscalitat!$H$21="B",Fiscalitat!$H$21="D"),AB72*(1-$E$7)+AA72*$D$7*$K$7*(1-$E$7),AB72*(1-$E$7))</f>
        <v>0</v>
      </c>
      <c r="AE72" s="1022">
        <f>IF(OR(Fiscalitat!$H$21="a",Fiscalitat!$H$21="B",Fiscalitat!$H$21="D"),0,AD72*$I$7)</f>
        <v>0</v>
      </c>
      <c r="AF72" s="1036">
        <f>'Introducció dades'!H212</f>
        <v>0</v>
      </c>
      <c r="AG72" s="1024">
        <f t="shared" si="48"/>
        <v>0</v>
      </c>
      <c r="AH72" s="794">
        <f>IF(OR(Fiscalitat!$H$21="a",Fiscalitat!$H$21="B",Fiscalitat!$H$21="D"),((1+$F$8)*AG72*D$8),AG72*$D$8)</f>
        <v>0</v>
      </c>
      <c r="AI72" s="794">
        <f>IF(OR(Fiscalitat!$H$21="a",Fiscalitat!$H$21="B",Fiscalitat!$H$21="D"),0,AH72*$F$8)</f>
        <v>0</v>
      </c>
      <c r="AJ72" s="794">
        <f>IF(OR(Fiscalitat!$H$21="B",Fiscalitat!$H$21="D"),AH72*(1-$E$8)+AG72*$D$8*$K$8*(1-$E$8),AH72*(1-$E$8))</f>
        <v>0</v>
      </c>
      <c r="AK72" s="794">
        <f>IF(OR(Fiscalitat!$H$21="a",Fiscalitat!$H$21="B",Fiscalitat!$H$21="D"),0,AJ72*$I$8)</f>
        <v>0</v>
      </c>
      <c r="AL72" s="1035">
        <f>'Introducció dades'!I212</f>
        <v>0</v>
      </c>
      <c r="AM72" s="1021">
        <f t="shared" si="49"/>
        <v>0</v>
      </c>
      <c r="AN72" s="1022">
        <f>IF(OR(Fiscalitat!$H$21="a",Fiscalitat!$H$21="B",Fiscalitat!$H$21="D"),((1+$F$9)*AM72*D$9),AM72*$D$9)</f>
        <v>0</v>
      </c>
      <c r="AO72" s="1022">
        <f>IF(OR(Fiscalitat!$H$21="a",Fiscalitat!$H$21="B",Fiscalitat!$H$21="D"),0,AN72*$F$9)</f>
        <v>0</v>
      </c>
      <c r="AP72" s="1022">
        <f>IF(OR(Fiscalitat!$H$21="B",Fiscalitat!$H$21="D"),AN72*(1-$E$9)+AM72*$D$9*$K$9*(1-$E$9),AN72*(1-$E$9))</f>
        <v>0</v>
      </c>
      <c r="AQ72" s="1022">
        <f>IF(OR(Fiscalitat!$H$21="a",Fiscalitat!$H$21="B",Fiscalitat!$H$21="D"),0,AP72*$I$9)</f>
        <v>0</v>
      </c>
      <c r="AR72" s="1036">
        <f>'Introducció dades'!J212</f>
        <v>0</v>
      </c>
      <c r="AS72" s="1024">
        <f t="shared" si="50"/>
        <v>0</v>
      </c>
      <c r="AT72" s="794">
        <f>IF(OR(Fiscalitat!$H$21="a",Fiscalitat!$H$21="B",Fiscalitat!$H$21="D"),((1+$F$10)*AS72*D$10),AS72*$D$10)</f>
        <v>0</v>
      </c>
      <c r="AU72" s="794">
        <f>IF(OR(Fiscalitat!$H$21="a",Fiscalitat!$H$21="B",Fiscalitat!$H$21="D"),0,AT72*$F$10)</f>
        <v>0</v>
      </c>
      <c r="AV72" s="794">
        <f>IF(OR(Fiscalitat!$H$21="B",Fiscalitat!$H$21="D"),AT72*(1-$E$10)+AS72*$D$10*$K$10*(1-$E$10),AT72*(1-$E$10))</f>
        <v>0</v>
      </c>
      <c r="AW72" s="794">
        <f>IF(OR(Fiscalitat!$H$21="a",Fiscalitat!$H$21="B",Fiscalitat!$H$21="D"),0,AV72*$I$10)</f>
        <v>0</v>
      </c>
      <c r="AX72" s="1035">
        <f>'Introducció dades'!K212</f>
        <v>0</v>
      </c>
      <c r="AY72" s="1021">
        <f t="shared" si="51"/>
        <v>0</v>
      </c>
      <c r="AZ72" s="1022">
        <f>IF(OR(Fiscalitat!$H$21="a",Fiscalitat!$H$21="B",Fiscalitat!$H$21="D"),((1+$F$11)*AY72*D$11),AY72*$D$11)</f>
        <v>0</v>
      </c>
      <c r="BA72" s="1022">
        <f>IF(OR(Fiscalitat!$H$21="a",Fiscalitat!$H$21="B",Fiscalitat!$H$21="D"),0,AZ72*$F$11)</f>
        <v>0</v>
      </c>
      <c r="BB72" s="1022">
        <f>IF(OR(Fiscalitat!$H$21="B",Fiscalitat!$H$21="D"),AZ72*(1-$E$11)+AY72*$D$11*$K$11*(1-$E$11),AZ72*(1-$E$11))</f>
        <v>0</v>
      </c>
      <c r="BC72" s="1022">
        <f>IF(OR(Fiscalitat!$H$21="a",Fiscalitat!$H$21="B",Fiscalitat!$H$21="D"),0,BB72*$I$11)</f>
        <v>0</v>
      </c>
      <c r="BD72" s="1036">
        <f>'Introducció dades'!L212</f>
        <v>0</v>
      </c>
      <c r="BE72" s="1024">
        <f t="shared" si="52"/>
        <v>0</v>
      </c>
      <c r="BF72" s="794">
        <f>IF(OR(Fiscalitat!$H$21="a",Fiscalitat!$H$21="B",Fiscalitat!$H$21="D"),((1+$F$12)*BE72*D$12),BE72*$D$12)</f>
        <v>0</v>
      </c>
      <c r="BG72" s="794">
        <f>IF(OR(Fiscalitat!$H$21="a",Fiscalitat!$H$21="B",Fiscalitat!$H$21="D"),0,BF72*$F$12)</f>
        <v>0</v>
      </c>
      <c r="BH72" s="794">
        <f>IF(OR(Fiscalitat!$H$21="B",Fiscalitat!$H$21="D"),BF72*(1-$E$12)+BE72*$D$12*$K$12*(1-$E$12),BF72*(1-$E$12))</f>
        <v>0</v>
      </c>
      <c r="BI72" s="794">
        <f>IF(OR(Fiscalitat!$H$21="a",Fiscalitat!$H$21="B",Fiscalitat!$H$21="D"),0,BH72*$I$12)</f>
        <v>0</v>
      </c>
      <c r="BJ72" s="1035">
        <f>'Introducció dades'!M212</f>
        <v>0</v>
      </c>
      <c r="BK72" s="1021">
        <f t="shared" si="53"/>
        <v>0</v>
      </c>
      <c r="BL72" s="1022">
        <f>IF(OR(Fiscalitat!$H$21="a",Fiscalitat!$H$21="B",Fiscalitat!$H$21="D"),((1+$F$13)*BK72*D$13),BK72*$D$13)</f>
        <v>0</v>
      </c>
      <c r="BM72" s="1022">
        <f>IF(OR(Fiscalitat!$H$21="a",Fiscalitat!$H$21="B",Fiscalitat!$H$21="D"),0,BL72*$F$13)</f>
        <v>0</v>
      </c>
      <c r="BN72" s="1022">
        <f>IF(OR(Fiscalitat!$H$21="B",Fiscalitat!$H$21="D"),BL72*(1-$E$13)+BK72*$D$13*$K$13*(1-$E$13),BL72*(1-$E$13))</f>
        <v>0</v>
      </c>
      <c r="BO72" s="1022">
        <f>IF(OR(Fiscalitat!$H$21="a",Fiscalitat!$H$21="B",Fiscalitat!$H$21="D"),0,BN72*$I$13)</f>
        <v>0</v>
      </c>
      <c r="BP72" s="1036">
        <f>'Introducció dades'!N212</f>
        <v>0</v>
      </c>
      <c r="BQ72" s="1024">
        <f t="shared" si="54"/>
        <v>0</v>
      </c>
      <c r="BR72" s="794">
        <f>IF(OR(Fiscalitat!$H$21="a",Fiscalitat!$H$21="B",Fiscalitat!$H$21="D"),((1+$F$14)*BQ72*D$14),BQ72*$D$14)</f>
        <v>0</v>
      </c>
      <c r="BS72" s="794">
        <f>IF(OR(Fiscalitat!$H$21="a",Fiscalitat!$H$21="B",Fiscalitat!$H$21="D"),0,BR72*$F$14)</f>
        <v>0</v>
      </c>
      <c r="BT72" s="794">
        <f>IF(OR(Fiscalitat!$H$21="B",Fiscalitat!$H$21="D"),BR72*(1-$E$14)+BQ72*$D$14*$K$14*(1-$E$14),BR72*(1-$E$14))</f>
        <v>0</v>
      </c>
      <c r="BU72" s="794">
        <f>IF(OR(Fiscalitat!$H$21="a",Fiscalitat!$H$21="B",Fiscalitat!$H$21="D"),0,BT72*$I$14)</f>
        <v>0</v>
      </c>
      <c r="BV72" s="25">
        <f t="shared" si="59"/>
        <v>0</v>
      </c>
      <c r="BW72" s="1026">
        <f t="shared" si="60"/>
        <v>0</v>
      </c>
      <c r="BX72" s="1026">
        <f t="shared" si="61"/>
        <v>0</v>
      </c>
      <c r="BY72" s="1026">
        <f t="shared" si="62"/>
        <v>0</v>
      </c>
      <c r="BZ72" s="1026">
        <f t="shared" si="55"/>
        <v>0</v>
      </c>
      <c r="CO72" s="1029">
        <f t="shared" si="63"/>
        <v>0</v>
      </c>
    </row>
    <row r="73" spans="1:93" ht="13" x14ac:dyDescent="0.3">
      <c r="A73" s="1019" t="str">
        <f t="shared" si="56"/>
        <v>DESEMBRE</v>
      </c>
      <c r="B73" s="1035">
        <f>'Introducció dades'!C213</f>
        <v>0</v>
      </c>
      <c r="C73" s="1021">
        <f t="shared" si="45"/>
        <v>0</v>
      </c>
      <c r="D73" s="1022">
        <f>IF(OR(Fiscalitat!$H$21="a",Fiscalitat!$H$21="B",Fiscalitat!$H$21="D"),((1+$F$3)*C73*D$3),C73*$D$3)</f>
        <v>0</v>
      </c>
      <c r="E73" s="1022">
        <f>IF(OR(Fiscalitat!$H$21="a",Fiscalitat!$H$21="B",Fiscalitat!$H$21="D"),0,D73*$F$3)</f>
        <v>0</v>
      </c>
      <c r="F73" s="1022">
        <f>IF(OR(Fiscalitat!$H$21="B",Fiscalitat!$H$21="D"),D73*(1-$E$3)+C73*$D$3*$K$3*(1-$E$3),D73*(1-$E$3))</f>
        <v>0</v>
      </c>
      <c r="G73" s="1022">
        <f>IF(OR(Fiscalitat!$H$21="a",Fiscalitat!$H$21="B",Fiscalitat!$H$21="D"),0,F73*$I$3)</f>
        <v>0</v>
      </c>
      <c r="H73" s="1036">
        <f>'Introducció dades'!D213</f>
        <v>0</v>
      </c>
      <c r="I73" s="1024">
        <f t="shared" si="46"/>
        <v>0</v>
      </c>
      <c r="J73" s="794">
        <f>IF(OR(Fiscalitat!$H$21="a",Fiscalitat!$H$21="B",Fiscalitat!$H$21="D"),((1+$F$4)*I73*D$4),I73*$D$4)</f>
        <v>0</v>
      </c>
      <c r="K73" s="794">
        <f>IF(OR(Fiscalitat!$H$21="a",Fiscalitat!$H$21="B",Fiscalitat!$H$21="D"),0,J73*$F$4)</f>
        <v>0</v>
      </c>
      <c r="L73" s="794">
        <f>IF(OR(Fiscalitat!$H$21="B",Fiscalitat!$H$21="D"),J73*(1-$E$4)+I73*$D$4*$K$4*(1-$E$4),J73*(1-$E$4))</f>
        <v>0</v>
      </c>
      <c r="M73" s="794">
        <f>IF(OR(Fiscalitat!$H$21="a",Fiscalitat!$H$21="B",Fiscalitat!$H$21="D"),0,L73*$I$4)</f>
        <v>0</v>
      </c>
      <c r="N73" s="1035">
        <f>'Introducció dades'!E213</f>
        <v>0</v>
      </c>
      <c r="O73" s="1021">
        <f t="shared" si="57"/>
        <v>0</v>
      </c>
      <c r="P73" s="1022">
        <f>IF(OR(Fiscalitat!$H$21="a",Fiscalitat!$H$21="B",Fiscalitat!$H$21="D"),((1+$F$5)*O73*D$5),O73*$D$5)</f>
        <v>0</v>
      </c>
      <c r="Q73" s="1022">
        <f>IF(OR(Fiscalitat!$H$21="a",Fiscalitat!$H$21="B",Fiscalitat!$H$21="D"),0,P73*$F$5)</f>
        <v>0</v>
      </c>
      <c r="R73" s="1022">
        <f>IF(OR(Fiscalitat!$H$21="B",Fiscalitat!$H$21="D"),P73*(1-$E$5)+O73*$D$5*$K$5*(1-$E$5),P73*(1-$E$5))</f>
        <v>0</v>
      </c>
      <c r="S73" s="1022">
        <f>IF(OR(Fiscalitat!$H$21="a",Fiscalitat!$H$21="B",Fiscalitat!$H$21="D"),0,R73*$I$5)</f>
        <v>0</v>
      </c>
      <c r="T73" s="1036">
        <f>'Introducció dades'!F213</f>
        <v>0</v>
      </c>
      <c r="U73" s="1024">
        <f t="shared" si="58"/>
        <v>0</v>
      </c>
      <c r="V73" s="794">
        <f>IF(OR(Fiscalitat!$H$21="a",Fiscalitat!$H$21="B",Fiscalitat!$H$21="D"),((1+$F$6)*U73*D$6),U73*$D$6)</f>
        <v>0</v>
      </c>
      <c r="W73" s="794">
        <f>IF(OR(Fiscalitat!$H$21="a",Fiscalitat!$H$21="B",Fiscalitat!$H$21="D"),0,V73*$F$6)</f>
        <v>0</v>
      </c>
      <c r="X73" s="794">
        <f>IF(OR(Fiscalitat!$H$21="B",Fiscalitat!$H$21="D"),V73*(1-$E$6)+U73*$D$6*$K$6*(1-$E$6),V73*(1-$E$6))</f>
        <v>0</v>
      </c>
      <c r="Y73" s="794">
        <f>IF(OR(Fiscalitat!$H$21="a",Fiscalitat!$H$21="B",Fiscalitat!$H$21="D"),0,X73*$I$6)</f>
        <v>0</v>
      </c>
      <c r="Z73" s="1035">
        <f>'Introducció dades'!G213</f>
        <v>0</v>
      </c>
      <c r="AA73" s="1021">
        <f t="shared" si="47"/>
        <v>0</v>
      </c>
      <c r="AB73" s="1022">
        <f>IF(OR(Fiscalitat!$H$21="a",Fiscalitat!$H$21="B",Fiscalitat!$H$21="D"),((1+$F$7)*AA73*D$7),AA73*$D$7)</f>
        <v>0</v>
      </c>
      <c r="AC73" s="1022">
        <f>IF(OR(Fiscalitat!$H$21="a",Fiscalitat!$H$21="B",Fiscalitat!$H$21="D"),0,AB73*$F$7)</f>
        <v>0</v>
      </c>
      <c r="AD73" s="1022">
        <f>IF(OR(Fiscalitat!$H$21="B",Fiscalitat!$H$21="D"),AB73*(1-$E$7)+AA73*$D$7*$K$7*(1-$E$7),AB73*(1-$E$7))</f>
        <v>0</v>
      </c>
      <c r="AE73" s="1022">
        <f>IF(OR(Fiscalitat!$H$21="a",Fiscalitat!$H$21="B",Fiscalitat!$H$21="D"),0,AD73*$I$7)</f>
        <v>0</v>
      </c>
      <c r="AF73" s="1036">
        <f>'Introducció dades'!H213</f>
        <v>0</v>
      </c>
      <c r="AG73" s="1024">
        <f t="shared" si="48"/>
        <v>0</v>
      </c>
      <c r="AH73" s="794">
        <f>IF(OR(Fiscalitat!$H$21="a",Fiscalitat!$H$21="B",Fiscalitat!$H$21="D"),((1+$F$8)*AG73*D$8),AG73*$D$8)</f>
        <v>0</v>
      </c>
      <c r="AI73" s="794">
        <f>IF(OR(Fiscalitat!$H$21="a",Fiscalitat!$H$21="B",Fiscalitat!$H$21="D"),0,AH73*$F$8)</f>
        <v>0</v>
      </c>
      <c r="AJ73" s="794">
        <f>IF(OR(Fiscalitat!$H$21="B",Fiscalitat!$H$21="D"),AH73*(1-$E$8)+AG73*$D$8*$K$8*(1-$E$8),AH73*(1-$E$8))</f>
        <v>0</v>
      </c>
      <c r="AK73" s="794">
        <f>IF(OR(Fiscalitat!$H$21="a",Fiscalitat!$H$21="B",Fiscalitat!$H$21="D"),0,AJ73*$I$8)</f>
        <v>0</v>
      </c>
      <c r="AL73" s="1035">
        <f>'Introducció dades'!I213</f>
        <v>0</v>
      </c>
      <c r="AM73" s="1021">
        <f t="shared" si="49"/>
        <v>0</v>
      </c>
      <c r="AN73" s="1022">
        <f>IF(OR(Fiscalitat!$H$21="a",Fiscalitat!$H$21="B",Fiscalitat!$H$21="D"),((1+$F$9)*AM73*D$9),AM73*$D$9)</f>
        <v>0</v>
      </c>
      <c r="AO73" s="1022">
        <f>IF(OR(Fiscalitat!$H$21="a",Fiscalitat!$H$21="B",Fiscalitat!$H$21="D"),0,AN73*$F$9)</f>
        <v>0</v>
      </c>
      <c r="AP73" s="1022">
        <f>IF(OR(Fiscalitat!$H$21="B",Fiscalitat!$H$21="D"),AN73*(1-$E$9)+AM73*$D$9*$K$9*(1-$E$9),AN73*(1-$E$9))</f>
        <v>0</v>
      </c>
      <c r="AQ73" s="1022">
        <f>IF(OR(Fiscalitat!$H$21="a",Fiscalitat!$H$21="B",Fiscalitat!$H$21="D"),0,AP73*$I$9)</f>
        <v>0</v>
      </c>
      <c r="AR73" s="1036">
        <f>'Introducció dades'!J213</f>
        <v>0</v>
      </c>
      <c r="AS73" s="1024">
        <f t="shared" si="50"/>
        <v>0</v>
      </c>
      <c r="AT73" s="794">
        <f>IF(OR(Fiscalitat!$H$21="a",Fiscalitat!$H$21="B",Fiscalitat!$H$21="D"),((1+$F$10)*AS73*D$10),AS73*$D$10)</f>
        <v>0</v>
      </c>
      <c r="AU73" s="794">
        <f>IF(OR(Fiscalitat!$H$21="a",Fiscalitat!$H$21="B",Fiscalitat!$H$21="D"),0,AT73*$F$10)</f>
        <v>0</v>
      </c>
      <c r="AV73" s="794">
        <f>IF(OR(Fiscalitat!$H$21="B",Fiscalitat!$H$21="D"),AT73*(1-$E$10)+AS73*$D$10*$K$10*(1-$E$10),AT73*(1-$E$10))</f>
        <v>0</v>
      </c>
      <c r="AW73" s="794">
        <f>IF(OR(Fiscalitat!$H$21="a",Fiscalitat!$H$21="B",Fiscalitat!$H$21="D"),0,AV73*$I$10)</f>
        <v>0</v>
      </c>
      <c r="AX73" s="1035">
        <f>'Introducció dades'!K213</f>
        <v>0</v>
      </c>
      <c r="AY73" s="1021">
        <f t="shared" si="51"/>
        <v>0</v>
      </c>
      <c r="AZ73" s="1022">
        <f>IF(OR(Fiscalitat!$H$21="a",Fiscalitat!$H$21="B",Fiscalitat!$H$21="D"),((1+$F$11)*AY73*D$11),AY73*$D$11)</f>
        <v>0</v>
      </c>
      <c r="BA73" s="1022">
        <f>IF(OR(Fiscalitat!$H$21="a",Fiscalitat!$H$21="B",Fiscalitat!$H$21="D"),0,AZ73*$F$11)</f>
        <v>0</v>
      </c>
      <c r="BB73" s="1022">
        <f>IF(OR(Fiscalitat!$H$21="B",Fiscalitat!$H$21="D"),AZ73*(1-$E$11)+AY73*$D$11*$K$11*(1-$E$11),AZ73*(1-$E$11))</f>
        <v>0</v>
      </c>
      <c r="BC73" s="1022">
        <f>IF(OR(Fiscalitat!$H$21="a",Fiscalitat!$H$21="B",Fiscalitat!$H$21="D"),0,BB73*$I$11)</f>
        <v>0</v>
      </c>
      <c r="BD73" s="1036">
        <f>'Introducció dades'!L213</f>
        <v>0</v>
      </c>
      <c r="BE73" s="1024">
        <f t="shared" si="52"/>
        <v>0</v>
      </c>
      <c r="BF73" s="794">
        <f>IF(OR(Fiscalitat!$H$21="a",Fiscalitat!$H$21="B",Fiscalitat!$H$21="D"),((1+$F$12)*BE73*D$12),BE73*$D$12)</f>
        <v>0</v>
      </c>
      <c r="BG73" s="794">
        <f>IF(OR(Fiscalitat!$H$21="a",Fiscalitat!$H$21="B",Fiscalitat!$H$21="D"),0,BF73*$F$12)</f>
        <v>0</v>
      </c>
      <c r="BH73" s="794">
        <f>IF(OR(Fiscalitat!$H$21="B",Fiscalitat!$H$21="D"),BF73*(1-$E$12)+BE73*$D$12*$K$12*(1-$E$12),BF73*(1-$E$12))</f>
        <v>0</v>
      </c>
      <c r="BI73" s="794">
        <f>IF(OR(Fiscalitat!$H$21="a",Fiscalitat!$H$21="B",Fiscalitat!$H$21="D"),0,BH73*$I$12)</f>
        <v>0</v>
      </c>
      <c r="BJ73" s="1035">
        <f>'Introducció dades'!M213</f>
        <v>0</v>
      </c>
      <c r="BK73" s="1021">
        <f t="shared" si="53"/>
        <v>0</v>
      </c>
      <c r="BL73" s="1022">
        <f>IF(OR(Fiscalitat!$H$21="a",Fiscalitat!$H$21="B",Fiscalitat!$H$21="D"),((1+$F$13)*BK73*D$13),BK73*$D$13)</f>
        <v>0</v>
      </c>
      <c r="BM73" s="1022">
        <f>IF(OR(Fiscalitat!$H$21="a",Fiscalitat!$H$21="B",Fiscalitat!$H$21="D"),0,BL73*$F$13)</f>
        <v>0</v>
      </c>
      <c r="BN73" s="1022">
        <f>IF(OR(Fiscalitat!$H$21="B",Fiscalitat!$H$21="D"),BL73*(1-$E$13)+BK73*$D$13*$K$13*(1-$E$13),BL73*(1-$E$13))</f>
        <v>0</v>
      </c>
      <c r="BO73" s="1022">
        <f>IF(OR(Fiscalitat!$H$21="a",Fiscalitat!$H$21="B",Fiscalitat!$H$21="D"),0,BN73*$I$13)</f>
        <v>0</v>
      </c>
      <c r="BP73" s="1036">
        <f>'Introducció dades'!N213</f>
        <v>0</v>
      </c>
      <c r="BQ73" s="1024">
        <f t="shared" si="54"/>
        <v>0</v>
      </c>
      <c r="BR73" s="794">
        <f>IF(OR(Fiscalitat!$H$21="a",Fiscalitat!$H$21="B",Fiscalitat!$H$21="D"),((1+$F$14)*BQ73*D$14),BQ73*$D$14)</f>
        <v>0</v>
      </c>
      <c r="BS73" s="794">
        <f>IF(OR(Fiscalitat!$H$21="a",Fiscalitat!$H$21="B",Fiscalitat!$H$21="D"),0,BR73*$F$14)</f>
        <v>0</v>
      </c>
      <c r="BT73" s="794">
        <f>IF(OR(Fiscalitat!$H$21="B",Fiscalitat!$H$21="D"),BR73*(1-$E$14)+BQ73*$D$14*$K$14*(1-$E$14),BR73*(1-$E$14))</f>
        <v>0</v>
      </c>
      <c r="BU73" s="794">
        <f>IF(OR(Fiscalitat!$H$21="a",Fiscalitat!$H$21="B",Fiscalitat!$H$21="D"),0,BT73*$I$14)</f>
        <v>0</v>
      </c>
      <c r="BV73" s="25">
        <f t="shared" si="59"/>
        <v>0</v>
      </c>
      <c r="BW73" s="1026">
        <f t="shared" si="60"/>
        <v>0</v>
      </c>
      <c r="BX73" s="1026">
        <f t="shared" si="61"/>
        <v>0</v>
      </c>
      <c r="BY73" s="1026">
        <f t="shared" si="62"/>
        <v>0</v>
      </c>
      <c r="BZ73" s="1026">
        <f t="shared" si="55"/>
        <v>0</v>
      </c>
      <c r="CO73" s="1029">
        <f t="shared" si="63"/>
        <v>0</v>
      </c>
    </row>
    <row r="74" spans="1:93" ht="13" x14ac:dyDescent="0.3">
      <c r="A74" s="71" t="s">
        <v>245</v>
      </c>
      <c r="B74" s="72"/>
      <c r="C74" s="1033">
        <f>SUM(C62:C73)</f>
        <v>0</v>
      </c>
      <c r="D74" s="799">
        <f>SUM(D62:D73)</f>
        <v>0</v>
      </c>
      <c r="E74" s="799">
        <f>SUM(E62:E73)</f>
        <v>0</v>
      </c>
      <c r="F74" s="799">
        <f>SUM(F62:F73)</f>
        <v>0</v>
      </c>
      <c r="G74" s="799">
        <f>SUM(G62:G73)</f>
        <v>0</v>
      </c>
      <c r="H74" s="72"/>
      <c r="I74" s="1033">
        <f>SUM(I62:I73)</f>
        <v>0</v>
      </c>
      <c r="J74" s="799">
        <f>SUM(J62:J73)</f>
        <v>0</v>
      </c>
      <c r="K74" s="799">
        <f>SUM(K62:K73)</f>
        <v>0</v>
      </c>
      <c r="L74" s="799">
        <f>SUM(L62:L73)</f>
        <v>0</v>
      </c>
      <c r="M74" s="799">
        <f>SUM(M62:M73)</f>
        <v>0</v>
      </c>
      <c r="N74" s="72"/>
      <c r="O74" s="1033">
        <f>SUM(O62:O73)</f>
        <v>0</v>
      </c>
      <c r="P74" s="799">
        <f>SUM(P62:P73)</f>
        <v>0</v>
      </c>
      <c r="Q74" s="799">
        <f>SUM(Q62:Q73)</f>
        <v>0</v>
      </c>
      <c r="R74" s="799">
        <f>SUM(R62:R73)</f>
        <v>0</v>
      </c>
      <c r="S74" s="799">
        <f>SUM(S62:S73)</f>
        <v>0</v>
      </c>
      <c r="T74" s="72"/>
      <c r="U74" s="1033">
        <f>SUM(U62:U73)</f>
        <v>0</v>
      </c>
      <c r="V74" s="799">
        <f>SUM(V62:V73)</f>
        <v>0</v>
      </c>
      <c r="W74" s="799">
        <f>SUM(W62:W73)</f>
        <v>0</v>
      </c>
      <c r="X74" s="799">
        <f>SUM(X62:X73)</f>
        <v>0</v>
      </c>
      <c r="Y74" s="799">
        <f>SUM(Y62:Y73)</f>
        <v>0</v>
      </c>
      <c r="Z74" s="72"/>
      <c r="AA74" s="1033">
        <f>SUM(AA62:AA73)</f>
        <v>0</v>
      </c>
      <c r="AB74" s="799">
        <f>SUM(AB62:AB73)</f>
        <v>0</v>
      </c>
      <c r="AC74" s="799">
        <f>SUM(AC62:AC73)</f>
        <v>0</v>
      </c>
      <c r="AD74" s="799">
        <f>SUM(AD62:AD73)</f>
        <v>0</v>
      </c>
      <c r="AE74" s="799">
        <f>SUM(AE62:AE73)</f>
        <v>0</v>
      </c>
      <c r="AF74" s="72"/>
      <c r="AG74" s="1033">
        <f>SUM(AG62:AG73)</f>
        <v>0</v>
      </c>
      <c r="AH74" s="799">
        <f>SUM(AH62:AH73)</f>
        <v>0</v>
      </c>
      <c r="AI74" s="799">
        <f>SUM(AI62:AI73)</f>
        <v>0</v>
      </c>
      <c r="AJ74" s="799">
        <f>SUM(AJ62:AJ73)</f>
        <v>0</v>
      </c>
      <c r="AK74" s="799">
        <f>SUM(AK62:AK73)</f>
        <v>0</v>
      </c>
      <c r="AL74" s="72"/>
      <c r="AM74" s="1033">
        <f>SUM(AM62:AM73)</f>
        <v>0</v>
      </c>
      <c r="AN74" s="799">
        <f>SUM(AN62:AN73)</f>
        <v>0</v>
      </c>
      <c r="AO74" s="799">
        <f>SUM(AO62:AO73)</f>
        <v>0</v>
      </c>
      <c r="AP74" s="799">
        <f>SUM(AP62:AP73)</f>
        <v>0</v>
      </c>
      <c r="AQ74" s="799">
        <f>SUM(AQ62:AQ73)</f>
        <v>0</v>
      </c>
      <c r="AR74" s="72"/>
      <c r="AS74" s="1033">
        <f>SUM(AS62:AS73)</f>
        <v>0</v>
      </c>
      <c r="AT74" s="799">
        <f>SUM(AT62:AT73)</f>
        <v>0</v>
      </c>
      <c r="AU74" s="799">
        <f>SUM(AU62:AU73)</f>
        <v>0</v>
      </c>
      <c r="AV74" s="799">
        <f>SUM(AV62:AV73)</f>
        <v>0</v>
      </c>
      <c r="AW74" s="799">
        <f>SUM(AW62:AW73)</f>
        <v>0</v>
      </c>
      <c r="AX74" s="72"/>
      <c r="AY74" s="1033">
        <f>SUM(AY62:AY73)</f>
        <v>0</v>
      </c>
      <c r="AZ74" s="799">
        <f>SUM(AZ62:AZ73)</f>
        <v>0</v>
      </c>
      <c r="BA74" s="799">
        <f>SUM(BA62:BA73)</f>
        <v>0</v>
      </c>
      <c r="BB74" s="799">
        <f>SUM(BB62:BB73)</f>
        <v>0</v>
      </c>
      <c r="BC74" s="799">
        <f>SUM(BC62:BC73)</f>
        <v>0</v>
      </c>
      <c r="BD74" s="72"/>
      <c r="BE74" s="1033">
        <f>SUM(BE62:BE73)</f>
        <v>0</v>
      </c>
      <c r="BF74" s="799">
        <f>SUM(BF62:BF73)</f>
        <v>0</v>
      </c>
      <c r="BG74" s="799">
        <f>SUM(BG62:BG73)</f>
        <v>0</v>
      </c>
      <c r="BH74" s="799">
        <f>SUM(BH62:BH73)</f>
        <v>0</v>
      </c>
      <c r="BI74" s="799">
        <f>SUM(BI62:BI73)</f>
        <v>0</v>
      </c>
      <c r="BJ74" s="1034"/>
      <c r="BK74" s="1033">
        <f>SUM(BK62:BK73)</f>
        <v>0</v>
      </c>
      <c r="BL74" s="799">
        <f>SUM(BL62:BL73)</f>
        <v>0</v>
      </c>
      <c r="BM74" s="799">
        <f>SUM(BM62:BM73)</f>
        <v>0</v>
      </c>
      <c r="BN74" s="799">
        <f>SUM(BN62:BN73)</f>
        <v>0</v>
      </c>
      <c r="BO74" s="799">
        <f>SUM(BO62:BO73)</f>
        <v>0</v>
      </c>
      <c r="BP74" s="1034"/>
      <c r="BQ74" s="1033">
        <f t="shared" ref="BQ74:BZ74" si="64">SUM(BQ62:BQ73)</f>
        <v>0</v>
      </c>
      <c r="BR74" s="799">
        <f t="shared" si="64"/>
        <v>0</v>
      </c>
      <c r="BS74" s="799">
        <f t="shared" si="64"/>
        <v>0</v>
      </c>
      <c r="BT74" s="799">
        <f t="shared" si="64"/>
        <v>0</v>
      </c>
      <c r="BU74" s="799">
        <f t="shared" si="64"/>
        <v>0</v>
      </c>
      <c r="BV74" s="1033">
        <f t="shared" si="64"/>
        <v>0</v>
      </c>
      <c r="BW74" s="799">
        <f t="shared" si="64"/>
        <v>0</v>
      </c>
      <c r="BX74" s="799">
        <f t="shared" si="64"/>
        <v>0</v>
      </c>
      <c r="BY74" s="799">
        <f t="shared" si="64"/>
        <v>0</v>
      </c>
      <c r="BZ74" s="799">
        <f t="shared" si="64"/>
        <v>0</v>
      </c>
      <c r="CA74" s="7"/>
      <c r="CB74" s="7"/>
      <c r="CC74" s="7"/>
      <c r="CD74" s="7"/>
      <c r="CE74" s="7"/>
      <c r="CF74" s="7"/>
      <c r="CG74" s="7"/>
      <c r="CH74" s="7"/>
      <c r="CI74" s="7"/>
      <c r="CJ74" s="7"/>
      <c r="CK74" s="7"/>
      <c r="CL74" s="7"/>
      <c r="CM74" s="7"/>
      <c r="CN74" s="7"/>
      <c r="CO74" s="72">
        <f>IF(BW74=0,0,(BW74-BY74)/BW74)</f>
        <v>0</v>
      </c>
    </row>
  </sheetData>
  <sheetProtection sheet="1" objects="1" scenarios="1"/>
  <mergeCells count="61">
    <mergeCell ref="AF60:AK60"/>
    <mergeCell ref="AL60:AQ60"/>
    <mergeCell ref="AR60:AW60"/>
    <mergeCell ref="BV60:CO60"/>
    <mergeCell ref="AX60:BC60"/>
    <mergeCell ref="BD60:BI60"/>
    <mergeCell ref="BJ60:BO60"/>
    <mergeCell ref="BP60:BU60"/>
    <mergeCell ref="B60:G60"/>
    <mergeCell ref="H60:M60"/>
    <mergeCell ref="N60:S60"/>
    <mergeCell ref="T60:Y60"/>
    <mergeCell ref="Z60:AE60"/>
    <mergeCell ref="A57:B57"/>
    <mergeCell ref="B59:CO59"/>
    <mergeCell ref="AR40:AW40"/>
    <mergeCell ref="AX40:BC40"/>
    <mergeCell ref="BD40:BI40"/>
    <mergeCell ref="BJ40:BO40"/>
    <mergeCell ref="A37:B37"/>
    <mergeCell ref="B39:CO39"/>
    <mergeCell ref="B40:G40"/>
    <mergeCell ref="H40:M40"/>
    <mergeCell ref="N40:S40"/>
    <mergeCell ref="T40:Y40"/>
    <mergeCell ref="Z40:AE40"/>
    <mergeCell ref="AF40:AK40"/>
    <mergeCell ref="AL40:AQ40"/>
    <mergeCell ref="BP40:BU40"/>
    <mergeCell ref="BV40:CO40"/>
    <mergeCell ref="A15:B15"/>
    <mergeCell ref="A17:B17"/>
    <mergeCell ref="B19:CO19"/>
    <mergeCell ref="B20:G20"/>
    <mergeCell ref="H20:M20"/>
    <mergeCell ref="N20:S20"/>
    <mergeCell ref="T20:Y20"/>
    <mergeCell ref="Z20:AE20"/>
    <mergeCell ref="AF20:AK20"/>
    <mergeCell ref="AL20:AQ20"/>
    <mergeCell ref="AR20:AW20"/>
    <mergeCell ref="AX20:BC20"/>
    <mergeCell ref="BD20:BI20"/>
    <mergeCell ref="BJ20:BO20"/>
    <mergeCell ref="BP20:BU20"/>
    <mergeCell ref="BV20:CO20"/>
    <mergeCell ref="A10:B10"/>
    <mergeCell ref="A11:B11"/>
    <mergeCell ref="A12:B12"/>
    <mergeCell ref="A13:B13"/>
    <mergeCell ref="A14:B14"/>
    <mergeCell ref="A5:B5"/>
    <mergeCell ref="A6:B6"/>
    <mergeCell ref="A7:B7"/>
    <mergeCell ref="A8:B8"/>
    <mergeCell ref="A9:B9"/>
    <mergeCell ref="A1:G1"/>
    <mergeCell ref="H1:J1"/>
    <mergeCell ref="A2:B2"/>
    <mergeCell ref="A3:B3"/>
    <mergeCell ref="A4:B4"/>
  </mergeCells>
  <phoneticPr fontId="22" type="noConversion"/>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25"/>
  <dimension ref="A1:AB196"/>
  <sheetViews>
    <sheetView topLeftCell="N1" workbookViewId="0">
      <selection activeCell="C63" sqref="C63"/>
    </sheetView>
  </sheetViews>
  <sheetFormatPr defaultColWidth="11.453125" defaultRowHeight="13" x14ac:dyDescent="0.3"/>
  <cols>
    <col min="1" max="1" width="24" style="7" customWidth="1"/>
    <col min="2" max="2" width="8.453125" style="1037" customWidth="1"/>
    <col min="3" max="15" width="11.453125" style="12"/>
    <col min="16" max="16" width="5.81640625" customWidth="1"/>
  </cols>
  <sheetData>
    <row r="1" spans="1:15" ht="15.5" x14ac:dyDescent="0.35">
      <c r="A1" s="1865" t="s">
        <v>17</v>
      </c>
      <c r="B1" s="1865"/>
      <c r="C1" s="801" t="str">
        <f>TRIBUTS!K1</f>
        <v>GENER</v>
      </c>
      <c r="D1" s="801" t="str">
        <f>TRIBUTS!L1</f>
        <v>FEBRER</v>
      </c>
      <c r="E1" s="801" t="str">
        <f>TRIBUTS!M1</f>
        <v>MARÇ</v>
      </c>
      <c r="F1" s="801" t="str">
        <f>TRIBUTS!N1</f>
        <v>ABRIL</v>
      </c>
      <c r="G1" s="801" t="str">
        <f>TRIBUTS!O1</f>
        <v>MAIG</v>
      </c>
      <c r="H1" s="801" t="str">
        <f>TRIBUTS!P1</f>
        <v>JUNY</v>
      </c>
      <c r="I1" s="801" t="str">
        <f>TRIBUTS!Q1</f>
        <v>JULIOL</v>
      </c>
      <c r="J1" s="801" t="str">
        <f>TRIBUTS!R1</f>
        <v>AGOST</v>
      </c>
      <c r="K1" s="801" t="str">
        <f>TRIBUTS!S1</f>
        <v>SETEMBRE</v>
      </c>
      <c r="L1" s="801" t="str">
        <f>TRIBUTS!T1</f>
        <v>OCTUBRE</v>
      </c>
      <c r="M1" s="1038" t="str">
        <f>TRIBUTS!U1</f>
        <v>NOVEMBRE</v>
      </c>
      <c r="N1" s="801" t="str">
        <f>TRIBUTS!V1</f>
        <v>DESEMBRE</v>
      </c>
      <c r="O1" s="1039" t="s">
        <v>245</v>
      </c>
    </row>
    <row r="2" spans="1:15" s="7" customFormat="1" x14ac:dyDescent="0.3">
      <c r="A2" s="1866" t="s">
        <v>340</v>
      </c>
      <c r="B2" s="1866"/>
      <c r="C2" s="29">
        <f>MERCADERIES!DC21</f>
        <v>0</v>
      </c>
      <c r="D2" s="29">
        <f>MERCADERIES!DD21</f>
        <v>0</v>
      </c>
      <c r="E2" s="29">
        <f>MERCADERIES!DE21</f>
        <v>0</v>
      </c>
      <c r="F2" s="29">
        <f>MERCADERIES!DF21</f>
        <v>0</v>
      </c>
      <c r="G2" s="29">
        <f>MERCADERIES!DG21</f>
        <v>0</v>
      </c>
      <c r="H2" s="29">
        <f>MERCADERIES!DH21</f>
        <v>0</v>
      </c>
      <c r="I2" s="29">
        <f>MERCADERIES!DI21</f>
        <v>0</v>
      </c>
      <c r="J2" s="29">
        <f>MERCADERIES!DJ21</f>
        <v>0</v>
      </c>
      <c r="K2" s="29">
        <f>MERCADERIES!DK21</f>
        <v>0</v>
      </c>
      <c r="L2" s="29">
        <f>MERCADERIES!DL21</f>
        <v>0</v>
      </c>
      <c r="M2" s="1040">
        <f>MERCADERIES!DM21</f>
        <v>0</v>
      </c>
      <c r="N2" s="29">
        <f>MERCADERIES!DN21</f>
        <v>0</v>
      </c>
      <c r="O2" s="1041">
        <f>SUM(C2:N2)</f>
        <v>0</v>
      </c>
    </row>
    <row r="3" spans="1:15" x14ac:dyDescent="0.3">
      <c r="A3" s="1866" t="s">
        <v>341</v>
      </c>
      <c r="B3" s="1866"/>
      <c r="C3" s="29"/>
      <c r="D3" s="29"/>
      <c r="E3" s="29"/>
      <c r="F3" s="29"/>
      <c r="G3" s="29"/>
      <c r="H3" s="29"/>
      <c r="I3" s="29"/>
      <c r="J3" s="29"/>
      <c r="K3" s="29"/>
      <c r="L3" s="29"/>
      <c r="M3" s="1040"/>
      <c r="N3" s="29"/>
      <c r="O3" s="1042"/>
    </row>
    <row r="4" spans="1:15" x14ac:dyDescent="0.3">
      <c r="A4" s="920">
        <v>0</v>
      </c>
      <c r="B4" s="1043">
        <f>TRESORERIA!D$4</f>
        <v>1</v>
      </c>
      <c r="C4" s="29">
        <f>$C2*$B4</f>
        <v>0</v>
      </c>
      <c r="D4" s="29">
        <f>$D2*$B4</f>
        <v>0</v>
      </c>
      <c r="E4" s="29">
        <f>$E2*$B4</f>
        <v>0</v>
      </c>
      <c r="F4" s="29">
        <f>$F2*$B4</f>
        <v>0</v>
      </c>
      <c r="G4" s="29">
        <f>$G2*$B4</f>
        <v>0</v>
      </c>
      <c r="H4" s="29">
        <f>$H2*$B4</f>
        <v>0</v>
      </c>
      <c r="I4" s="29">
        <f>$I2*$B4</f>
        <v>0</v>
      </c>
      <c r="J4" s="29">
        <f>$J2*$B4</f>
        <v>0</v>
      </c>
      <c r="K4" s="29">
        <f>$K2*$B4</f>
        <v>0</v>
      </c>
      <c r="L4" s="29">
        <f>$L2*$B4</f>
        <v>0</v>
      </c>
      <c r="M4" s="1040">
        <f>$M2*$B4</f>
        <v>0</v>
      </c>
      <c r="N4" s="29">
        <f>$N2*$B4</f>
        <v>0</v>
      </c>
      <c r="O4" s="1044"/>
    </row>
    <row r="5" spans="1:15" x14ac:dyDescent="0.3">
      <c r="A5" s="920">
        <f>A4+30</f>
        <v>30</v>
      </c>
      <c r="B5" s="1043">
        <f>TRESORERIA!E$4</f>
        <v>0</v>
      </c>
      <c r="C5" s="29"/>
      <c r="D5" s="29">
        <f>$C2*$B5</f>
        <v>0</v>
      </c>
      <c r="E5" s="29">
        <f>$D2*$B5</f>
        <v>0</v>
      </c>
      <c r="F5" s="29">
        <f>$E2*$B5</f>
        <v>0</v>
      </c>
      <c r="G5" s="29">
        <f>$F2*$B5</f>
        <v>0</v>
      </c>
      <c r="H5" s="29">
        <f>$G2*$B5</f>
        <v>0</v>
      </c>
      <c r="I5" s="29">
        <f>$H2*$B5</f>
        <v>0</v>
      </c>
      <c r="J5" s="29">
        <f>$I2*$B5</f>
        <v>0</v>
      </c>
      <c r="K5" s="29">
        <f>$J2*$B5</f>
        <v>0</v>
      </c>
      <c r="L5" s="29">
        <f>$K2*$B5</f>
        <v>0</v>
      </c>
      <c r="M5" s="1040">
        <f>$L2*$B5</f>
        <v>0</v>
      </c>
      <c r="N5" s="29">
        <f>$M2*$B5</f>
        <v>0</v>
      </c>
      <c r="O5" s="1044"/>
    </row>
    <row r="6" spans="1:15" x14ac:dyDescent="0.3">
      <c r="A6" s="920">
        <f t="shared" ref="A6:A14" si="0">A5+30</f>
        <v>60</v>
      </c>
      <c r="B6" s="1043">
        <f>TRESORERIA!F$4</f>
        <v>0</v>
      </c>
      <c r="C6" s="29"/>
      <c r="D6" s="29"/>
      <c r="E6" s="29">
        <f>$C2*$B6</f>
        <v>0</v>
      </c>
      <c r="F6" s="29">
        <f>$D2*$B6</f>
        <v>0</v>
      </c>
      <c r="G6" s="29">
        <f>$E2*$B6</f>
        <v>0</v>
      </c>
      <c r="H6" s="29">
        <f>$F2*$B6</f>
        <v>0</v>
      </c>
      <c r="I6" s="29">
        <f>$G2*$B6</f>
        <v>0</v>
      </c>
      <c r="J6" s="29">
        <f>$H2*$B6</f>
        <v>0</v>
      </c>
      <c r="K6" s="29">
        <f>$I2*$B6</f>
        <v>0</v>
      </c>
      <c r="L6" s="29">
        <f>$J2*$B6</f>
        <v>0</v>
      </c>
      <c r="M6" s="1040">
        <f>$K2*$B6</f>
        <v>0</v>
      </c>
      <c r="N6" s="29">
        <f>$L2*$B6</f>
        <v>0</v>
      </c>
      <c r="O6" s="1044"/>
    </row>
    <row r="7" spans="1:15" x14ac:dyDescent="0.3">
      <c r="A7" s="920">
        <f t="shared" si="0"/>
        <v>90</v>
      </c>
      <c r="B7" s="1043">
        <f>TRESORERIA!G$4</f>
        <v>0</v>
      </c>
      <c r="C7" s="29"/>
      <c r="D7" s="29"/>
      <c r="E7" s="29"/>
      <c r="F7" s="29">
        <f>$C2*$B7</f>
        <v>0</v>
      </c>
      <c r="G7" s="29">
        <f>$D2*$B7</f>
        <v>0</v>
      </c>
      <c r="H7" s="29">
        <f>$E2*$B7</f>
        <v>0</v>
      </c>
      <c r="I7" s="29">
        <f>$F2*$B7</f>
        <v>0</v>
      </c>
      <c r="J7" s="29">
        <f>$G2*$B7</f>
        <v>0</v>
      </c>
      <c r="K7" s="29">
        <f>$H2*$B7</f>
        <v>0</v>
      </c>
      <c r="L7" s="29">
        <f>$I2*$B7</f>
        <v>0</v>
      </c>
      <c r="M7" s="1040">
        <f>$J2*$B7</f>
        <v>0</v>
      </c>
      <c r="N7" s="29">
        <f>$K2*$B7</f>
        <v>0</v>
      </c>
      <c r="O7" s="1044"/>
    </row>
    <row r="8" spans="1:15" x14ac:dyDescent="0.3">
      <c r="A8" s="920">
        <f t="shared" si="0"/>
        <v>120</v>
      </c>
      <c r="B8" s="1043">
        <f>TRESORERIA!H$4</f>
        <v>0</v>
      </c>
      <c r="C8" s="29"/>
      <c r="D8" s="29"/>
      <c r="E8" s="29"/>
      <c r="F8" s="29"/>
      <c r="G8" s="29">
        <f>$C2*$B8</f>
        <v>0</v>
      </c>
      <c r="H8" s="29">
        <f>$D2*$B8</f>
        <v>0</v>
      </c>
      <c r="I8" s="29">
        <f>$E2*$B8</f>
        <v>0</v>
      </c>
      <c r="J8" s="29">
        <f>$F2*$B8</f>
        <v>0</v>
      </c>
      <c r="K8" s="29">
        <f>$G2*$B8</f>
        <v>0</v>
      </c>
      <c r="L8" s="29">
        <f>$H2*$B8</f>
        <v>0</v>
      </c>
      <c r="M8" s="1040">
        <f>$I2*$B8</f>
        <v>0</v>
      </c>
      <c r="N8" s="29">
        <f>$J2*$B8</f>
        <v>0</v>
      </c>
      <c r="O8" s="1044"/>
    </row>
    <row r="9" spans="1:15" x14ac:dyDescent="0.3">
      <c r="A9" s="920">
        <f t="shared" si="0"/>
        <v>150</v>
      </c>
      <c r="B9" s="1043">
        <f>TRESORERIA!I$4</f>
        <v>0</v>
      </c>
      <c r="C9" s="29"/>
      <c r="D9" s="29"/>
      <c r="E9" s="29"/>
      <c r="F9" s="29"/>
      <c r="G9" s="29"/>
      <c r="H9" s="29">
        <f>$C2*$B9</f>
        <v>0</v>
      </c>
      <c r="I9" s="29">
        <f>$D2*$B9</f>
        <v>0</v>
      </c>
      <c r="J9" s="29">
        <f>$E2*$B9</f>
        <v>0</v>
      </c>
      <c r="K9" s="29">
        <f>$F2*$B9</f>
        <v>0</v>
      </c>
      <c r="L9" s="29">
        <f>$G2*$B9</f>
        <v>0</v>
      </c>
      <c r="M9" s="1040">
        <f>$H2*$B9</f>
        <v>0</v>
      </c>
      <c r="N9" s="29">
        <f>$I2*$B9</f>
        <v>0</v>
      </c>
      <c r="O9" s="1044"/>
    </row>
    <row r="10" spans="1:15" x14ac:dyDescent="0.3">
      <c r="A10" s="920">
        <f t="shared" si="0"/>
        <v>180</v>
      </c>
      <c r="B10" s="1043">
        <f>TRESORERIA!J$4</f>
        <v>0</v>
      </c>
      <c r="C10" s="29"/>
      <c r="D10" s="29"/>
      <c r="E10" s="29"/>
      <c r="F10" s="29"/>
      <c r="G10" s="29"/>
      <c r="H10" s="29"/>
      <c r="I10" s="29">
        <f>$C2*$B10</f>
        <v>0</v>
      </c>
      <c r="J10" s="29">
        <f>$D2*$B10</f>
        <v>0</v>
      </c>
      <c r="K10" s="29">
        <f>$E2*$B10</f>
        <v>0</v>
      </c>
      <c r="L10" s="29">
        <f>$F2*$B10</f>
        <v>0</v>
      </c>
      <c r="M10" s="1040">
        <f>$G2*$B10</f>
        <v>0</v>
      </c>
      <c r="N10" s="29">
        <f>$H2*$B10</f>
        <v>0</v>
      </c>
      <c r="O10" s="1044"/>
    </row>
    <row r="11" spans="1:15" x14ac:dyDescent="0.3">
      <c r="A11" s="920">
        <f t="shared" si="0"/>
        <v>210</v>
      </c>
      <c r="B11" s="1043">
        <f>TRESORERIA!K$4</f>
        <v>0</v>
      </c>
      <c r="C11" s="29"/>
      <c r="D11" s="29"/>
      <c r="E11" s="29"/>
      <c r="F11" s="29"/>
      <c r="G11" s="29"/>
      <c r="H11" s="29"/>
      <c r="I11" s="29"/>
      <c r="J11" s="29">
        <f>$C2*$B11</f>
        <v>0</v>
      </c>
      <c r="K11" s="29">
        <f>$D2*$B11</f>
        <v>0</v>
      </c>
      <c r="L11" s="29">
        <f>$E2*$B11</f>
        <v>0</v>
      </c>
      <c r="M11" s="1040">
        <f>$F2*$B11</f>
        <v>0</v>
      </c>
      <c r="N11" s="29">
        <f>$G2*$B11</f>
        <v>0</v>
      </c>
      <c r="O11" s="1044"/>
    </row>
    <row r="12" spans="1:15" x14ac:dyDescent="0.3">
      <c r="A12" s="920">
        <f t="shared" si="0"/>
        <v>240</v>
      </c>
      <c r="B12" s="1043">
        <f>TRESORERIA!L$4</f>
        <v>0</v>
      </c>
      <c r="C12" s="29"/>
      <c r="D12" s="29"/>
      <c r="E12" s="29"/>
      <c r="F12" s="29"/>
      <c r="G12" s="29"/>
      <c r="H12" s="29"/>
      <c r="I12" s="29"/>
      <c r="J12" s="29"/>
      <c r="K12" s="29">
        <f>$C2*$B12</f>
        <v>0</v>
      </c>
      <c r="L12" s="29">
        <f>$D2*$B12</f>
        <v>0</v>
      </c>
      <c r="M12" s="1040">
        <f>$E2*$B12</f>
        <v>0</v>
      </c>
      <c r="N12" s="29">
        <f>$F2*$B12</f>
        <v>0</v>
      </c>
      <c r="O12" s="1044"/>
    </row>
    <row r="13" spans="1:15" x14ac:dyDescent="0.3">
      <c r="A13" s="920">
        <f t="shared" si="0"/>
        <v>270</v>
      </c>
      <c r="B13" s="1043">
        <f>TRESORERIA!M$4</f>
        <v>0</v>
      </c>
      <c r="C13" s="29"/>
      <c r="D13" s="29"/>
      <c r="E13" s="29"/>
      <c r="F13" s="29"/>
      <c r="G13" s="29"/>
      <c r="H13" s="29"/>
      <c r="I13" s="29"/>
      <c r="J13" s="29"/>
      <c r="K13" s="29"/>
      <c r="L13" s="29">
        <f>$C2*$B13</f>
        <v>0</v>
      </c>
      <c r="M13" s="1040">
        <f>$D2*$B13</f>
        <v>0</v>
      </c>
      <c r="N13" s="29">
        <f>$E2*$B13</f>
        <v>0</v>
      </c>
      <c r="O13" s="1044"/>
    </row>
    <row r="14" spans="1:15" x14ac:dyDescent="0.3">
      <c r="A14" s="920">
        <f t="shared" si="0"/>
        <v>300</v>
      </c>
      <c r="B14" s="1043">
        <f>TRESORERIA!N$4</f>
        <v>0</v>
      </c>
      <c r="C14" s="29"/>
      <c r="D14" s="29"/>
      <c r="E14" s="29"/>
      <c r="F14" s="29"/>
      <c r="G14" s="29"/>
      <c r="H14" s="29"/>
      <c r="I14" s="29"/>
      <c r="J14" s="29"/>
      <c r="K14" s="29"/>
      <c r="L14" s="29"/>
      <c r="M14" s="1040">
        <f>$C2*$B14</f>
        <v>0</v>
      </c>
      <c r="N14" s="29">
        <f>$D2*$B14</f>
        <v>0</v>
      </c>
      <c r="O14" s="1044"/>
    </row>
    <row r="15" spans="1:15" x14ac:dyDescent="0.3">
      <c r="A15" s="920">
        <f>A14+30</f>
        <v>330</v>
      </c>
      <c r="B15" s="1043">
        <f>TRESORERIA!O$4</f>
        <v>0</v>
      </c>
      <c r="C15" s="29"/>
      <c r="D15" s="29"/>
      <c r="E15" s="29"/>
      <c r="F15" s="29"/>
      <c r="G15" s="29"/>
      <c r="H15" s="29"/>
      <c r="I15" s="29"/>
      <c r="J15" s="29"/>
      <c r="K15" s="29"/>
      <c r="L15" s="29"/>
      <c r="M15" s="1040"/>
      <c r="N15" s="29">
        <f>$C2*$B15</f>
        <v>0</v>
      </c>
      <c r="O15" s="1044"/>
    </row>
    <row r="16" spans="1:15" x14ac:dyDescent="0.3">
      <c r="A16" s="1045" t="s">
        <v>342</v>
      </c>
      <c r="B16" s="1043">
        <f t="shared" ref="B16:N16" si="1">SUM(B4:B15)</f>
        <v>1</v>
      </c>
      <c r="C16" s="29">
        <f t="shared" si="1"/>
        <v>0</v>
      </c>
      <c r="D16" s="29">
        <f t="shared" si="1"/>
        <v>0</v>
      </c>
      <c r="E16" s="29">
        <f t="shared" si="1"/>
        <v>0</v>
      </c>
      <c r="F16" s="29">
        <f t="shared" si="1"/>
        <v>0</v>
      </c>
      <c r="G16" s="29">
        <f t="shared" si="1"/>
        <v>0</v>
      </c>
      <c r="H16" s="29">
        <f t="shared" si="1"/>
        <v>0</v>
      </c>
      <c r="I16" s="29">
        <f t="shared" si="1"/>
        <v>0</v>
      </c>
      <c r="J16" s="29">
        <f t="shared" si="1"/>
        <v>0</v>
      </c>
      <c r="K16" s="29">
        <f t="shared" si="1"/>
        <v>0</v>
      </c>
      <c r="L16" s="29">
        <f t="shared" si="1"/>
        <v>0</v>
      </c>
      <c r="M16" s="1040">
        <f t="shared" si="1"/>
        <v>0</v>
      </c>
      <c r="N16" s="29">
        <f t="shared" si="1"/>
        <v>0</v>
      </c>
      <c r="O16" s="1046"/>
    </row>
    <row r="17" spans="1:15" x14ac:dyDescent="0.3">
      <c r="A17" s="1867" t="s">
        <v>343</v>
      </c>
      <c r="B17" s="1867"/>
      <c r="C17" s="799">
        <f>SERVEIS!CB22</f>
        <v>0</v>
      </c>
      <c r="D17" s="799">
        <f>SERVEIS!CC22</f>
        <v>0</v>
      </c>
      <c r="E17" s="799">
        <f>SERVEIS!CD22</f>
        <v>0</v>
      </c>
      <c r="F17" s="799">
        <f>SERVEIS!CE22</f>
        <v>0</v>
      </c>
      <c r="G17" s="799">
        <f>SERVEIS!CF22</f>
        <v>0</v>
      </c>
      <c r="H17" s="799">
        <f>SERVEIS!CG22</f>
        <v>0</v>
      </c>
      <c r="I17" s="799">
        <f>SERVEIS!CH22</f>
        <v>0</v>
      </c>
      <c r="J17" s="799">
        <f>SERVEIS!CI22</f>
        <v>0</v>
      </c>
      <c r="K17" s="799">
        <f>SERVEIS!CJ22</f>
        <v>0</v>
      </c>
      <c r="L17" s="799">
        <f>SERVEIS!CK22</f>
        <v>0</v>
      </c>
      <c r="M17" s="1047">
        <f>SERVEIS!CL22</f>
        <v>0</v>
      </c>
      <c r="N17" s="799">
        <f>SERVEIS!CM22</f>
        <v>0</v>
      </c>
      <c r="O17" s="1041">
        <f>SUM(C17:N17)</f>
        <v>0</v>
      </c>
    </row>
    <row r="18" spans="1:15" x14ac:dyDescent="0.3">
      <c r="A18" s="1867" t="s">
        <v>341</v>
      </c>
      <c r="B18" s="1867"/>
      <c r="C18" s="799"/>
      <c r="D18" s="799"/>
      <c r="E18" s="799"/>
      <c r="F18" s="799"/>
      <c r="G18" s="799"/>
      <c r="H18" s="799"/>
      <c r="I18" s="799"/>
      <c r="J18" s="799"/>
      <c r="K18" s="799"/>
      <c r="L18" s="799"/>
      <c r="M18" s="1047"/>
      <c r="N18" s="799"/>
      <c r="O18" s="1042"/>
    </row>
    <row r="19" spans="1:15" x14ac:dyDescent="0.3">
      <c r="A19" s="633">
        <v>0</v>
      </c>
      <c r="B19" s="72">
        <f>TRESORERIA!D$5</f>
        <v>1</v>
      </c>
      <c r="C19" s="799">
        <f>$C17*$B19</f>
        <v>0</v>
      </c>
      <c r="D19" s="799">
        <f>$D17*$B19</f>
        <v>0</v>
      </c>
      <c r="E19" s="799">
        <f>$E17*$B19</f>
        <v>0</v>
      </c>
      <c r="F19" s="799">
        <f>$F17*$B19</f>
        <v>0</v>
      </c>
      <c r="G19" s="799">
        <f>$G17*$B19</f>
        <v>0</v>
      </c>
      <c r="H19" s="799">
        <f>$H17*$B19</f>
        <v>0</v>
      </c>
      <c r="I19" s="799">
        <f>$I17*$B19</f>
        <v>0</v>
      </c>
      <c r="J19" s="799">
        <f>$J17*$B19</f>
        <v>0</v>
      </c>
      <c r="K19" s="799">
        <f>$K17*$B19</f>
        <v>0</v>
      </c>
      <c r="L19" s="799">
        <f>$L17*$B19</f>
        <v>0</v>
      </c>
      <c r="M19" s="1047">
        <f>$M17*$B19</f>
        <v>0</v>
      </c>
      <c r="N19" s="799">
        <f>$N17*$B19</f>
        <v>0</v>
      </c>
      <c r="O19" s="1044"/>
    </row>
    <row r="20" spans="1:15" x14ac:dyDescent="0.3">
      <c r="A20" s="633">
        <f>A19+30</f>
        <v>30</v>
      </c>
      <c r="B20" s="72">
        <f>TRESORERIA!E$5</f>
        <v>0</v>
      </c>
      <c r="C20" s="799"/>
      <c r="D20" s="799">
        <f>$C17*$B20</f>
        <v>0</v>
      </c>
      <c r="E20" s="799">
        <f>$D17*$B20</f>
        <v>0</v>
      </c>
      <c r="F20" s="799">
        <f>$E17*$B20</f>
        <v>0</v>
      </c>
      <c r="G20" s="799">
        <f>$F17*$B20</f>
        <v>0</v>
      </c>
      <c r="H20" s="799">
        <f>$G17*$B20</f>
        <v>0</v>
      </c>
      <c r="I20" s="799">
        <f>$H17*$B20</f>
        <v>0</v>
      </c>
      <c r="J20" s="799">
        <f>$I17*$B20</f>
        <v>0</v>
      </c>
      <c r="K20" s="799">
        <f>$J17*$B20</f>
        <v>0</v>
      </c>
      <c r="L20" s="799">
        <f>$K17*$B20</f>
        <v>0</v>
      </c>
      <c r="M20" s="1047">
        <f>$L17*$B20</f>
        <v>0</v>
      </c>
      <c r="N20" s="799">
        <f>$M17*$B20</f>
        <v>0</v>
      </c>
      <c r="O20" s="1044"/>
    </row>
    <row r="21" spans="1:15" x14ac:dyDescent="0.3">
      <c r="A21" s="633">
        <f t="shared" ref="A21:A29" si="2">A20+30</f>
        <v>60</v>
      </c>
      <c r="B21" s="72">
        <f>TRESORERIA!F$5</f>
        <v>0</v>
      </c>
      <c r="C21" s="799"/>
      <c r="D21" s="799"/>
      <c r="E21" s="799">
        <f>$C17*$B21</f>
        <v>0</v>
      </c>
      <c r="F21" s="799">
        <f>$D17*$B21</f>
        <v>0</v>
      </c>
      <c r="G21" s="799">
        <f>$E17*$B21</f>
        <v>0</v>
      </c>
      <c r="H21" s="799">
        <f>$F17*$B21</f>
        <v>0</v>
      </c>
      <c r="I21" s="799">
        <f>$G17*$B21</f>
        <v>0</v>
      </c>
      <c r="J21" s="799">
        <f>$H17*$B21</f>
        <v>0</v>
      </c>
      <c r="K21" s="799">
        <f>$I17*$B21</f>
        <v>0</v>
      </c>
      <c r="L21" s="799">
        <f>$J17*$B21</f>
        <v>0</v>
      </c>
      <c r="M21" s="1047">
        <f>$K17*$B21</f>
        <v>0</v>
      </c>
      <c r="N21" s="799">
        <f>$L17*$B21</f>
        <v>0</v>
      </c>
      <c r="O21" s="1044"/>
    </row>
    <row r="22" spans="1:15" x14ac:dyDescent="0.3">
      <c r="A22" s="633">
        <f t="shared" si="2"/>
        <v>90</v>
      </c>
      <c r="B22" s="72">
        <f>TRESORERIA!G$5</f>
        <v>0</v>
      </c>
      <c r="C22" s="799"/>
      <c r="D22" s="799"/>
      <c r="E22" s="799"/>
      <c r="F22" s="799">
        <f>$C17*$B22</f>
        <v>0</v>
      </c>
      <c r="G22" s="799">
        <f>$D17*$B22</f>
        <v>0</v>
      </c>
      <c r="H22" s="799">
        <f>$E17*$B22</f>
        <v>0</v>
      </c>
      <c r="I22" s="799">
        <f>$F17*$B22</f>
        <v>0</v>
      </c>
      <c r="J22" s="799">
        <f>$G17*$B22</f>
        <v>0</v>
      </c>
      <c r="K22" s="799">
        <f>$H17*$B22</f>
        <v>0</v>
      </c>
      <c r="L22" s="799">
        <f>$I17*$B22</f>
        <v>0</v>
      </c>
      <c r="M22" s="1047">
        <f>$J17*$B22</f>
        <v>0</v>
      </c>
      <c r="N22" s="799">
        <f>$K17*$B22</f>
        <v>0</v>
      </c>
      <c r="O22" s="1044"/>
    </row>
    <row r="23" spans="1:15" x14ac:dyDescent="0.3">
      <c r="A23" s="633">
        <f t="shared" si="2"/>
        <v>120</v>
      </c>
      <c r="B23" s="72">
        <f>TRESORERIA!H$5</f>
        <v>0</v>
      </c>
      <c r="C23" s="799"/>
      <c r="D23" s="799"/>
      <c r="E23" s="799"/>
      <c r="F23" s="799"/>
      <c r="G23" s="799">
        <f>$C17*$B23</f>
        <v>0</v>
      </c>
      <c r="H23" s="799">
        <f>$D17*$B23</f>
        <v>0</v>
      </c>
      <c r="I23" s="799">
        <f>$E17*$B23</f>
        <v>0</v>
      </c>
      <c r="J23" s="799">
        <f>$F17*$B23</f>
        <v>0</v>
      </c>
      <c r="K23" s="799">
        <f>$G17*$B23</f>
        <v>0</v>
      </c>
      <c r="L23" s="799">
        <f>$H17*$B23</f>
        <v>0</v>
      </c>
      <c r="M23" s="1047">
        <f>$I17*$B23</f>
        <v>0</v>
      </c>
      <c r="N23" s="799">
        <f>$J17*$B23</f>
        <v>0</v>
      </c>
      <c r="O23" s="1044"/>
    </row>
    <row r="24" spans="1:15" x14ac:dyDescent="0.3">
      <c r="A24" s="633">
        <f t="shared" si="2"/>
        <v>150</v>
      </c>
      <c r="B24" s="72">
        <f>TRESORERIA!I$5</f>
        <v>0</v>
      </c>
      <c r="C24" s="799"/>
      <c r="D24" s="799"/>
      <c r="E24" s="799"/>
      <c r="F24" s="799"/>
      <c r="G24" s="799"/>
      <c r="H24" s="799">
        <f>$C17*$B24</f>
        <v>0</v>
      </c>
      <c r="I24" s="799">
        <f>$D17*$B24</f>
        <v>0</v>
      </c>
      <c r="J24" s="799">
        <f>$E17*$B24</f>
        <v>0</v>
      </c>
      <c r="K24" s="799">
        <f>$F17*$B24</f>
        <v>0</v>
      </c>
      <c r="L24" s="799">
        <f>$G17*$B24</f>
        <v>0</v>
      </c>
      <c r="M24" s="1047">
        <f>$H17*$B24</f>
        <v>0</v>
      </c>
      <c r="N24" s="799">
        <f>$I17*$B24</f>
        <v>0</v>
      </c>
      <c r="O24" s="1044"/>
    </row>
    <row r="25" spans="1:15" x14ac:dyDescent="0.3">
      <c r="A25" s="633">
        <f t="shared" si="2"/>
        <v>180</v>
      </c>
      <c r="B25" s="72">
        <f>TRESORERIA!J$5</f>
        <v>0</v>
      </c>
      <c r="C25" s="799"/>
      <c r="D25" s="799"/>
      <c r="E25" s="799"/>
      <c r="F25" s="799"/>
      <c r="G25" s="799"/>
      <c r="H25" s="799"/>
      <c r="I25" s="799">
        <f>$C17*$B25</f>
        <v>0</v>
      </c>
      <c r="J25" s="799">
        <f>$D17*$B25</f>
        <v>0</v>
      </c>
      <c r="K25" s="799">
        <f>$E17*$B25</f>
        <v>0</v>
      </c>
      <c r="L25" s="799">
        <f>$F17*$B25</f>
        <v>0</v>
      </c>
      <c r="M25" s="1047">
        <f>$G17*$B25</f>
        <v>0</v>
      </c>
      <c r="N25" s="799">
        <f>$H17*$B25</f>
        <v>0</v>
      </c>
      <c r="O25" s="1044"/>
    </row>
    <row r="26" spans="1:15" x14ac:dyDescent="0.3">
      <c r="A26" s="633">
        <f t="shared" si="2"/>
        <v>210</v>
      </c>
      <c r="B26" s="72">
        <f>TRESORERIA!K$5</f>
        <v>0</v>
      </c>
      <c r="C26" s="799"/>
      <c r="D26" s="799"/>
      <c r="E26" s="799"/>
      <c r="F26" s="799"/>
      <c r="G26" s="799"/>
      <c r="H26" s="799"/>
      <c r="I26" s="799"/>
      <c r="J26" s="799">
        <f>$C17*$B26</f>
        <v>0</v>
      </c>
      <c r="K26" s="799">
        <f>$D17*$B26</f>
        <v>0</v>
      </c>
      <c r="L26" s="799">
        <f>$E17*$B26</f>
        <v>0</v>
      </c>
      <c r="M26" s="1047">
        <f>$F17*$B26</f>
        <v>0</v>
      </c>
      <c r="N26" s="799">
        <f>$G17*$B26</f>
        <v>0</v>
      </c>
      <c r="O26" s="1044"/>
    </row>
    <row r="27" spans="1:15" x14ac:dyDescent="0.3">
      <c r="A27" s="633">
        <f t="shared" si="2"/>
        <v>240</v>
      </c>
      <c r="B27" s="72">
        <f>TRESORERIA!L$5</f>
        <v>0</v>
      </c>
      <c r="C27" s="799"/>
      <c r="D27" s="799"/>
      <c r="E27" s="799"/>
      <c r="F27" s="799"/>
      <c r="G27" s="799"/>
      <c r="H27" s="799"/>
      <c r="I27" s="799"/>
      <c r="J27" s="799"/>
      <c r="K27" s="799">
        <f>$C17*$B27</f>
        <v>0</v>
      </c>
      <c r="L27" s="799">
        <f>$D17*$B27</f>
        <v>0</v>
      </c>
      <c r="M27" s="1047">
        <f>$E17*$B27</f>
        <v>0</v>
      </c>
      <c r="N27" s="799">
        <f>$F17*$B27</f>
        <v>0</v>
      </c>
      <c r="O27" s="1044"/>
    </row>
    <row r="28" spans="1:15" x14ac:dyDescent="0.3">
      <c r="A28" s="633">
        <f t="shared" si="2"/>
        <v>270</v>
      </c>
      <c r="B28" s="72">
        <f>TRESORERIA!M$5</f>
        <v>0</v>
      </c>
      <c r="C28" s="799"/>
      <c r="D28" s="799"/>
      <c r="E28" s="799"/>
      <c r="F28" s="799"/>
      <c r="G28" s="799"/>
      <c r="H28" s="799"/>
      <c r="I28" s="799"/>
      <c r="J28" s="799"/>
      <c r="K28" s="799"/>
      <c r="L28" s="799">
        <f>$C17*$B28</f>
        <v>0</v>
      </c>
      <c r="M28" s="1047">
        <f>$D17*$B28</f>
        <v>0</v>
      </c>
      <c r="N28" s="799">
        <f>$E17*$B28</f>
        <v>0</v>
      </c>
      <c r="O28" s="1044"/>
    </row>
    <row r="29" spans="1:15" x14ac:dyDescent="0.3">
      <c r="A29" s="633">
        <f t="shared" si="2"/>
        <v>300</v>
      </c>
      <c r="B29" s="72">
        <f>TRESORERIA!N$5</f>
        <v>0</v>
      </c>
      <c r="C29" s="799"/>
      <c r="D29" s="799"/>
      <c r="E29" s="799"/>
      <c r="F29" s="799"/>
      <c r="G29" s="799"/>
      <c r="H29" s="799"/>
      <c r="I29" s="799"/>
      <c r="J29" s="799"/>
      <c r="K29" s="799"/>
      <c r="L29" s="799"/>
      <c r="M29" s="1047">
        <f>$C17*$B29</f>
        <v>0</v>
      </c>
      <c r="N29" s="799">
        <f>$D17*$B29</f>
        <v>0</v>
      </c>
      <c r="O29" s="1044"/>
    </row>
    <row r="30" spans="1:15" x14ac:dyDescent="0.3">
      <c r="A30" s="633">
        <f>A29+30</f>
        <v>330</v>
      </c>
      <c r="B30" s="72">
        <f>TRESORERIA!O$5</f>
        <v>0</v>
      </c>
      <c r="C30" s="799"/>
      <c r="D30" s="799"/>
      <c r="E30" s="799"/>
      <c r="F30" s="799"/>
      <c r="G30" s="799"/>
      <c r="H30" s="799"/>
      <c r="I30" s="799"/>
      <c r="J30" s="799"/>
      <c r="K30" s="799"/>
      <c r="L30" s="799"/>
      <c r="M30" s="1047"/>
      <c r="N30" s="799">
        <f>$C17*$B30</f>
        <v>0</v>
      </c>
      <c r="O30" s="1044"/>
    </row>
    <row r="31" spans="1:15" x14ac:dyDescent="0.3">
      <c r="A31" s="1048" t="s">
        <v>342</v>
      </c>
      <c r="B31" s="72">
        <f t="shared" ref="B31:N31" si="3">SUM(B19:B30)</f>
        <v>1</v>
      </c>
      <c r="C31" s="799">
        <f t="shared" si="3"/>
        <v>0</v>
      </c>
      <c r="D31" s="799">
        <f t="shared" si="3"/>
        <v>0</v>
      </c>
      <c r="E31" s="799">
        <f t="shared" si="3"/>
        <v>0</v>
      </c>
      <c r="F31" s="799">
        <f t="shared" si="3"/>
        <v>0</v>
      </c>
      <c r="G31" s="799">
        <f t="shared" si="3"/>
        <v>0</v>
      </c>
      <c r="H31" s="799">
        <f t="shared" si="3"/>
        <v>0</v>
      </c>
      <c r="I31" s="799">
        <f t="shared" si="3"/>
        <v>0</v>
      </c>
      <c r="J31" s="799">
        <f t="shared" si="3"/>
        <v>0</v>
      </c>
      <c r="K31" s="799">
        <f t="shared" si="3"/>
        <v>0</v>
      </c>
      <c r="L31" s="799">
        <f t="shared" si="3"/>
        <v>0</v>
      </c>
      <c r="M31" s="1047">
        <f t="shared" si="3"/>
        <v>0</v>
      </c>
      <c r="N31" s="799">
        <f t="shared" si="3"/>
        <v>0</v>
      </c>
      <c r="O31" s="1046"/>
    </row>
    <row r="32" spans="1:15" s="7" customFormat="1" x14ac:dyDescent="0.3">
      <c r="A32" s="1868" t="s">
        <v>344</v>
      </c>
      <c r="B32" s="1868"/>
      <c r="C32" s="1049">
        <f>C2+C17</f>
        <v>0</v>
      </c>
      <c r="D32" s="1049">
        <f t="shared" ref="D32:N32" si="4">D2+D17</f>
        <v>0</v>
      </c>
      <c r="E32" s="1049">
        <f t="shared" si="4"/>
        <v>0</v>
      </c>
      <c r="F32" s="1049">
        <f t="shared" si="4"/>
        <v>0</v>
      </c>
      <c r="G32" s="1049">
        <f t="shared" si="4"/>
        <v>0</v>
      </c>
      <c r="H32" s="1049">
        <f t="shared" si="4"/>
        <v>0</v>
      </c>
      <c r="I32" s="1049">
        <f t="shared" si="4"/>
        <v>0</v>
      </c>
      <c r="J32" s="1049">
        <f t="shared" si="4"/>
        <v>0</v>
      </c>
      <c r="K32" s="1049">
        <f t="shared" si="4"/>
        <v>0</v>
      </c>
      <c r="L32" s="1049">
        <f t="shared" si="4"/>
        <v>0</v>
      </c>
      <c r="M32" s="1049">
        <f t="shared" si="4"/>
        <v>0</v>
      </c>
      <c r="N32" s="1049">
        <f t="shared" si="4"/>
        <v>0</v>
      </c>
      <c r="O32" s="1041">
        <f>O2+O17</f>
        <v>0</v>
      </c>
    </row>
    <row r="33" spans="1:15" s="7" customFormat="1" ht="8.25" customHeight="1" x14ac:dyDescent="0.3">
      <c r="A33" s="26"/>
      <c r="B33"/>
      <c r="C33" s="18"/>
      <c r="D33" s="18"/>
      <c r="E33" s="18"/>
      <c r="F33" s="18"/>
      <c r="G33" s="18"/>
      <c r="H33" s="18"/>
      <c r="I33" s="18"/>
      <c r="J33" s="18"/>
      <c r="K33" s="18"/>
      <c r="L33" s="18"/>
      <c r="M33" s="18"/>
      <c r="N33" s="1050"/>
      <c r="O33" s="18"/>
    </row>
    <row r="34" spans="1:15" x14ac:dyDescent="0.3">
      <c r="A34" s="1866" t="s">
        <v>345</v>
      </c>
      <c r="B34" s="1866"/>
      <c r="C34" s="29">
        <f>MERCADERIES!DC22</f>
        <v>0</v>
      </c>
      <c r="D34" s="29">
        <f>MERCADERIES!DD22</f>
        <v>0</v>
      </c>
      <c r="E34" s="29">
        <f>MERCADERIES!DE22</f>
        <v>0</v>
      </c>
      <c r="F34" s="29">
        <f>MERCADERIES!DF22</f>
        <v>0</v>
      </c>
      <c r="G34" s="29">
        <f>MERCADERIES!DG22</f>
        <v>0</v>
      </c>
      <c r="H34" s="29">
        <f>MERCADERIES!DH22</f>
        <v>0</v>
      </c>
      <c r="I34" s="29">
        <f>MERCADERIES!DI22</f>
        <v>0</v>
      </c>
      <c r="J34" s="29">
        <f>MERCADERIES!DJ22</f>
        <v>0</v>
      </c>
      <c r="K34" s="29">
        <f>MERCADERIES!DK22</f>
        <v>0</v>
      </c>
      <c r="L34" s="29">
        <f>MERCADERIES!DL22</f>
        <v>0</v>
      </c>
      <c r="M34" s="1040">
        <f>MERCADERIES!DM22</f>
        <v>0</v>
      </c>
      <c r="N34" s="29">
        <f>MERCADERIES!DN22</f>
        <v>0</v>
      </c>
      <c r="O34" s="1041">
        <f>SUM(C34:N34)</f>
        <v>0</v>
      </c>
    </row>
    <row r="35" spans="1:15" x14ac:dyDescent="0.3">
      <c r="A35" s="1869" t="s">
        <v>346</v>
      </c>
      <c r="B35" s="1869"/>
      <c r="C35" s="1051"/>
      <c r="D35" s="1051"/>
      <c r="E35" s="1051"/>
      <c r="F35" s="1051"/>
      <c r="G35" s="1051"/>
      <c r="H35" s="1051"/>
      <c r="I35" s="1051"/>
      <c r="J35" s="1051"/>
      <c r="K35" s="1051"/>
      <c r="L35" s="1051"/>
      <c r="M35" s="1052"/>
      <c r="N35" s="29"/>
      <c r="O35" s="1042"/>
    </row>
    <row r="36" spans="1:15" x14ac:dyDescent="0.3">
      <c r="A36" s="920">
        <v>0</v>
      </c>
      <c r="B36" s="1043">
        <f>TRESORERIA!D$6</f>
        <v>1</v>
      </c>
      <c r="C36" s="29">
        <f>$C34*$B36</f>
        <v>0</v>
      </c>
      <c r="D36" s="29">
        <f>$D34*$B36</f>
        <v>0</v>
      </c>
      <c r="E36" s="29">
        <f>$E34*$B36</f>
        <v>0</v>
      </c>
      <c r="F36" s="29">
        <f>$F34*$B36</f>
        <v>0</v>
      </c>
      <c r="G36" s="29">
        <f>$G34*$B36</f>
        <v>0</v>
      </c>
      <c r="H36" s="29">
        <f>$H34*$B36</f>
        <v>0</v>
      </c>
      <c r="I36" s="29">
        <f>$I34*$B36</f>
        <v>0</v>
      </c>
      <c r="J36" s="29">
        <f>$J34*$B36</f>
        <v>0</v>
      </c>
      <c r="K36" s="29">
        <f>$K34*$B36</f>
        <v>0</v>
      </c>
      <c r="L36" s="29">
        <f>$L34*$B36</f>
        <v>0</v>
      </c>
      <c r="M36" s="1040">
        <f>$M34*$B36</f>
        <v>0</v>
      </c>
      <c r="N36" s="29">
        <f>$N34*$B36</f>
        <v>0</v>
      </c>
      <c r="O36" s="1044"/>
    </row>
    <row r="37" spans="1:15" x14ac:dyDescent="0.3">
      <c r="A37" s="920">
        <f>A36+30</f>
        <v>30</v>
      </c>
      <c r="B37" s="1043">
        <f>TRESORERIA!E$6</f>
        <v>0</v>
      </c>
      <c r="C37" s="29"/>
      <c r="D37" s="29">
        <f>$C34*$B37</f>
        <v>0</v>
      </c>
      <c r="E37" s="29">
        <f>$D34*$B37</f>
        <v>0</v>
      </c>
      <c r="F37" s="29">
        <f>$E34*$B37</f>
        <v>0</v>
      </c>
      <c r="G37" s="29">
        <f>$F34*$B37</f>
        <v>0</v>
      </c>
      <c r="H37" s="29">
        <f>$G34*$B37</f>
        <v>0</v>
      </c>
      <c r="I37" s="29">
        <f>$H34*$B37</f>
        <v>0</v>
      </c>
      <c r="J37" s="29">
        <f>$I34*$B37</f>
        <v>0</v>
      </c>
      <c r="K37" s="29">
        <f>$J34*$B37</f>
        <v>0</v>
      </c>
      <c r="L37" s="29">
        <f>$K34*$B37</f>
        <v>0</v>
      </c>
      <c r="M37" s="1040">
        <f>$L34*$B37</f>
        <v>0</v>
      </c>
      <c r="N37" s="29">
        <f>$M34*$B37</f>
        <v>0</v>
      </c>
      <c r="O37" s="1044"/>
    </row>
    <row r="38" spans="1:15" x14ac:dyDescent="0.3">
      <c r="A38" s="920">
        <f t="shared" ref="A38:A46" si="5">A37+30</f>
        <v>60</v>
      </c>
      <c r="B38" s="1043">
        <f>TRESORERIA!F$6</f>
        <v>0</v>
      </c>
      <c r="C38" s="29"/>
      <c r="D38" s="29"/>
      <c r="E38" s="29">
        <f>$C34*$B38</f>
        <v>0</v>
      </c>
      <c r="F38" s="29">
        <f>$D34*$B38</f>
        <v>0</v>
      </c>
      <c r="G38" s="29">
        <f>$E34*$B38</f>
        <v>0</v>
      </c>
      <c r="H38" s="29">
        <f>$F34*$B38</f>
        <v>0</v>
      </c>
      <c r="I38" s="29">
        <f>$G34*$B38</f>
        <v>0</v>
      </c>
      <c r="J38" s="29">
        <f>$H34*$B38</f>
        <v>0</v>
      </c>
      <c r="K38" s="29">
        <f>$I34*$B38</f>
        <v>0</v>
      </c>
      <c r="L38" s="29">
        <f>$J34*$B38</f>
        <v>0</v>
      </c>
      <c r="M38" s="1040">
        <f>$K34*$B38</f>
        <v>0</v>
      </c>
      <c r="N38" s="29">
        <f>$L34*$B38</f>
        <v>0</v>
      </c>
      <c r="O38" s="1044"/>
    </row>
    <row r="39" spans="1:15" x14ac:dyDescent="0.3">
      <c r="A39" s="920">
        <f t="shared" si="5"/>
        <v>90</v>
      </c>
      <c r="B39" s="1043">
        <f>TRESORERIA!G$6</f>
        <v>0</v>
      </c>
      <c r="C39" s="29"/>
      <c r="D39" s="29"/>
      <c r="E39" s="29"/>
      <c r="F39" s="29">
        <f>$C34*$B39</f>
        <v>0</v>
      </c>
      <c r="G39" s="29">
        <f>$D34*$B39</f>
        <v>0</v>
      </c>
      <c r="H39" s="29">
        <f>$E34*$B39</f>
        <v>0</v>
      </c>
      <c r="I39" s="29">
        <f>$F34*$B39</f>
        <v>0</v>
      </c>
      <c r="J39" s="29">
        <f>$G34*$B39</f>
        <v>0</v>
      </c>
      <c r="K39" s="29">
        <f>$H34*$B39</f>
        <v>0</v>
      </c>
      <c r="L39" s="29">
        <f>$I34*$B39</f>
        <v>0</v>
      </c>
      <c r="M39" s="1040">
        <f>$J34*$B39</f>
        <v>0</v>
      </c>
      <c r="N39" s="29">
        <f>$K34*$B39</f>
        <v>0</v>
      </c>
      <c r="O39" s="1044"/>
    </row>
    <row r="40" spans="1:15" x14ac:dyDescent="0.3">
      <c r="A40" s="920">
        <f t="shared" si="5"/>
        <v>120</v>
      </c>
      <c r="B40" s="1043">
        <f>TRESORERIA!H$6</f>
        <v>0</v>
      </c>
      <c r="C40" s="29"/>
      <c r="D40" s="29"/>
      <c r="E40" s="29"/>
      <c r="F40" s="29"/>
      <c r="G40" s="29">
        <f>$C34*$B40</f>
        <v>0</v>
      </c>
      <c r="H40" s="29">
        <f>$D34*$B40</f>
        <v>0</v>
      </c>
      <c r="I40" s="29">
        <f>$E34*$B40</f>
        <v>0</v>
      </c>
      <c r="J40" s="29">
        <f>$F34*$B40</f>
        <v>0</v>
      </c>
      <c r="K40" s="29">
        <f>$G34*$B40</f>
        <v>0</v>
      </c>
      <c r="L40" s="29">
        <f>$H34*$B40</f>
        <v>0</v>
      </c>
      <c r="M40" s="1040">
        <f>$I34*$B40</f>
        <v>0</v>
      </c>
      <c r="N40" s="29">
        <f>$J34*$B40</f>
        <v>0</v>
      </c>
      <c r="O40" s="1044"/>
    </row>
    <row r="41" spans="1:15" x14ac:dyDescent="0.3">
      <c r="A41" s="920">
        <f t="shared" si="5"/>
        <v>150</v>
      </c>
      <c r="B41" s="1043">
        <f>TRESORERIA!I$6</f>
        <v>0</v>
      </c>
      <c r="C41" s="29"/>
      <c r="D41" s="29"/>
      <c r="E41" s="29"/>
      <c r="F41" s="29"/>
      <c r="G41" s="29"/>
      <c r="H41" s="29">
        <f>$C34*$B41</f>
        <v>0</v>
      </c>
      <c r="I41" s="29">
        <f>$D34*$B41</f>
        <v>0</v>
      </c>
      <c r="J41" s="29">
        <f>$E34*$B41</f>
        <v>0</v>
      </c>
      <c r="K41" s="29">
        <f>$F34*$B41</f>
        <v>0</v>
      </c>
      <c r="L41" s="29">
        <f>$G34*$B41</f>
        <v>0</v>
      </c>
      <c r="M41" s="1040">
        <f>$H34*$B41</f>
        <v>0</v>
      </c>
      <c r="N41" s="29">
        <f>$I34*$B41</f>
        <v>0</v>
      </c>
      <c r="O41" s="1044"/>
    </row>
    <row r="42" spans="1:15" x14ac:dyDescent="0.3">
      <c r="A42" s="920">
        <f t="shared" si="5"/>
        <v>180</v>
      </c>
      <c r="B42" s="1043">
        <f>TRESORERIA!J$6</f>
        <v>0</v>
      </c>
      <c r="C42" s="29"/>
      <c r="D42" s="29"/>
      <c r="E42" s="29"/>
      <c r="F42" s="29"/>
      <c r="G42" s="29"/>
      <c r="H42" s="29"/>
      <c r="I42" s="29">
        <f>$C34*$B42</f>
        <v>0</v>
      </c>
      <c r="J42" s="29">
        <f>$D34*$B42</f>
        <v>0</v>
      </c>
      <c r="K42" s="29">
        <f>$E34*$B42</f>
        <v>0</v>
      </c>
      <c r="L42" s="29">
        <f>$F34*$B42</f>
        <v>0</v>
      </c>
      <c r="M42" s="1040">
        <f>$G34*$B42</f>
        <v>0</v>
      </c>
      <c r="N42" s="29">
        <f>$H34*$B42</f>
        <v>0</v>
      </c>
      <c r="O42" s="1044"/>
    </row>
    <row r="43" spans="1:15" x14ac:dyDescent="0.3">
      <c r="A43" s="920">
        <f t="shared" si="5"/>
        <v>210</v>
      </c>
      <c r="B43" s="1043">
        <f>TRESORERIA!K$6</f>
        <v>0</v>
      </c>
      <c r="C43" s="29"/>
      <c r="D43" s="29"/>
      <c r="E43" s="29"/>
      <c r="F43" s="29"/>
      <c r="G43" s="29"/>
      <c r="H43" s="29"/>
      <c r="I43" s="29"/>
      <c r="J43" s="29">
        <f>$C34*$B43</f>
        <v>0</v>
      </c>
      <c r="K43" s="29">
        <f>$D34*$B43</f>
        <v>0</v>
      </c>
      <c r="L43" s="29">
        <f>$E34*$B43</f>
        <v>0</v>
      </c>
      <c r="M43" s="1040">
        <f>$F34*$B43</f>
        <v>0</v>
      </c>
      <c r="N43" s="29">
        <f>$G34*$B43</f>
        <v>0</v>
      </c>
      <c r="O43" s="1044"/>
    </row>
    <row r="44" spans="1:15" x14ac:dyDescent="0.3">
      <c r="A44" s="920">
        <f t="shared" si="5"/>
        <v>240</v>
      </c>
      <c r="B44" s="1043">
        <f>TRESORERIA!L$6</f>
        <v>0</v>
      </c>
      <c r="C44" s="29"/>
      <c r="D44" s="29"/>
      <c r="E44" s="29"/>
      <c r="F44" s="29"/>
      <c r="G44" s="29"/>
      <c r="H44" s="29"/>
      <c r="I44" s="29"/>
      <c r="J44" s="29"/>
      <c r="K44" s="29">
        <f>$C34*$B44</f>
        <v>0</v>
      </c>
      <c r="L44" s="29">
        <f>$D34*$B44</f>
        <v>0</v>
      </c>
      <c r="M44" s="1040">
        <f>$E34*$B44</f>
        <v>0</v>
      </c>
      <c r="N44" s="29">
        <f>$F34*$B44</f>
        <v>0</v>
      </c>
      <c r="O44" s="1044"/>
    </row>
    <row r="45" spans="1:15" x14ac:dyDescent="0.3">
      <c r="A45" s="920">
        <f t="shared" si="5"/>
        <v>270</v>
      </c>
      <c r="B45" s="1043">
        <f>TRESORERIA!M$6</f>
        <v>0</v>
      </c>
      <c r="C45" s="29"/>
      <c r="D45" s="29"/>
      <c r="E45" s="29"/>
      <c r="F45" s="29"/>
      <c r="G45" s="29"/>
      <c r="H45" s="29"/>
      <c r="I45" s="29"/>
      <c r="J45" s="29"/>
      <c r="K45" s="29"/>
      <c r="L45" s="29">
        <f>$C34*$B45</f>
        <v>0</v>
      </c>
      <c r="M45" s="1040">
        <f>$D34*$B45</f>
        <v>0</v>
      </c>
      <c r="N45" s="29">
        <f>$E34*$B45</f>
        <v>0</v>
      </c>
      <c r="O45" s="1044"/>
    </row>
    <row r="46" spans="1:15" x14ac:dyDescent="0.3">
      <c r="A46" s="920">
        <f t="shared" si="5"/>
        <v>300</v>
      </c>
      <c r="B46" s="1043">
        <f>TRESORERIA!N$6</f>
        <v>0</v>
      </c>
      <c r="C46" s="29"/>
      <c r="D46" s="29"/>
      <c r="E46" s="29"/>
      <c r="F46" s="29"/>
      <c r="G46" s="29"/>
      <c r="H46" s="29"/>
      <c r="I46" s="29"/>
      <c r="J46" s="29"/>
      <c r="K46" s="29"/>
      <c r="L46" s="29"/>
      <c r="M46" s="1040">
        <f>$C34*$B46</f>
        <v>0</v>
      </c>
      <c r="N46" s="29">
        <f>$D34*$B46</f>
        <v>0</v>
      </c>
      <c r="O46" s="1044"/>
    </row>
    <row r="47" spans="1:15" x14ac:dyDescent="0.3">
      <c r="A47" s="920">
        <f>A46+30</f>
        <v>330</v>
      </c>
      <c r="B47" s="1043">
        <f>TRESORERIA!O$6</f>
        <v>0</v>
      </c>
      <c r="C47" s="29"/>
      <c r="D47" s="29"/>
      <c r="E47" s="29"/>
      <c r="F47" s="29"/>
      <c r="G47" s="29"/>
      <c r="H47" s="29"/>
      <c r="I47" s="29"/>
      <c r="J47" s="29"/>
      <c r="K47" s="29"/>
      <c r="L47" s="29"/>
      <c r="M47" s="1040"/>
      <c r="N47" s="29">
        <f>$C34*$B47</f>
        <v>0</v>
      </c>
      <c r="O47" s="1044"/>
    </row>
    <row r="48" spans="1:15" x14ac:dyDescent="0.3">
      <c r="A48" s="1045" t="s">
        <v>347</v>
      </c>
      <c r="B48" s="1043">
        <f t="shared" ref="B48:N48" si="6">SUM(B36:B47)</f>
        <v>1</v>
      </c>
      <c r="C48" s="29">
        <f t="shared" si="6"/>
        <v>0</v>
      </c>
      <c r="D48" s="29">
        <f t="shared" si="6"/>
        <v>0</v>
      </c>
      <c r="E48" s="29">
        <f t="shared" si="6"/>
        <v>0</v>
      </c>
      <c r="F48" s="29">
        <f t="shared" si="6"/>
        <v>0</v>
      </c>
      <c r="G48" s="29">
        <f t="shared" si="6"/>
        <v>0</v>
      </c>
      <c r="H48" s="29">
        <f t="shared" si="6"/>
        <v>0</v>
      </c>
      <c r="I48" s="29">
        <f t="shared" si="6"/>
        <v>0</v>
      </c>
      <c r="J48" s="29">
        <f t="shared" si="6"/>
        <v>0</v>
      </c>
      <c r="K48" s="29">
        <f t="shared" si="6"/>
        <v>0</v>
      </c>
      <c r="L48" s="29">
        <f t="shared" si="6"/>
        <v>0</v>
      </c>
      <c r="M48" s="1040">
        <f t="shared" si="6"/>
        <v>0</v>
      </c>
      <c r="N48" s="29">
        <f t="shared" si="6"/>
        <v>0</v>
      </c>
      <c r="O48" s="1046"/>
    </row>
    <row r="49" spans="1:15" x14ac:dyDescent="0.3">
      <c r="A49" s="1867" t="s">
        <v>348</v>
      </c>
      <c r="B49" s="1867"/>
      <c r="C49" s="799">
        <f>SERVEIS!CB23</f>
        <v>0</v>
      </c>
      <c r="D49" s="799">
        <f>SERVEIS!CC23</f>
        <v>0</v>
      </c>
      <c r="E49" s="799">
        <f>SERVEIS!CD23</f>
        <v>0</v>
      </c>
      <c r="F49" s="799">
        <f>SERVEIS!CE23</f>
        <v>0</v>
      </c>
      <c r="G49" s="799">
        <f>SERVEIS!CF23</f>
        <v>0</v>
      </c>
      <c r="H49" s="799">
        <f>SERVEIS!CG23</f>
        <v>0</v>
      </c>
      <c r="I49" s="799">
        <f>SERVEIS!CH23</f>
        <v>0</v>
      </c>
      <c r="J49" s="799">
        <f>SERVEIS!CI23</f>
        <v>0</v>
      </c>
      <c r="K49" s="799">
        <f>SERVEIS!CJ23</f>
        <v>0</v>
      </c>
      <c r="L49" s="799">
        <f>SERVEIS!CK23</f>
        <v>0</v>
      </c>
      <c r="M49" s="1047">
        <f>SERVEIS!CL23</f>
        <v>0</v>
      </c>
      <c r="N49" s="799">
        <f>SERVEIS!CM23</f>
        <v>0</v>
      </c>
      <c r="O49" s="1041">
        <f>SUM(C49:N49)</f>
        <v>0</v>
      </c>
    </row>
    <row r="50" spans="1:15" x14ac:dyDescent="0.3">
      <c r="A50" s="1870" t="s">
        <v>346</v>
      </c>
      <c r="B50" s="1870"/>
      <c r="C50" s="1053"/>
      <c r="D50" s="1053"/>
      <c r="E50" s="1053"/>
      <c r="F50" s="1053"/>
      <c r="G50" s="1053"/>
      <c r="H50" s="1053"/>
      <c r="I50" s="1053"/>
      <c r="J50" s="1053"/>
      <c r="K50" s="1053"/>
      <c r="L50" s="1053"/>
      <c r="M50" s="1054"/>
      <c r="N50" s="799"/>
      <c r="O50" s="1042"/>
    </row>
    <row r="51" spans="1:15" x14ac:dyDescent="0.3">
      <c r="A51" s="633">
        <v>0</v>
      </c>
      <c r="B51" s="72">
        <f>TRESORERIA!D$7</f>
        <v>1</v>
      </c>
      <c r="C51" s="799">
        <f>$C49*$B51</f>
        <v>0</v>
      </c>
      <c r="D51" s="799">
        <f>$D49*$B51</f>
        <v>0</v>
      </c>
      <c r="E51" s="799">
        <f>$E49*$B51</f>
        <v>0</v>
      </c>
      <c r="F51" s="799">
        <f>$F49*$B51</f>
        <v>0</v>
      </c>
      <c r="G51" s="799">
        <f>$G49*$B51</f>
        <v>0</v>
      </c>
      <c r="H51" s="799">
        <f>$H49*$B51</f>
        <v>0</v>
      </c>
      <c r="I51" s="799">
        <f>$I49*$B51</f>
        <v>0</v>
      </c>
      <c r="J51" s="799">
        <f>$J49*$B51</f>
        <v>0</v>
      </c>
      <c r="K51" s="799">
        <f>$K49*$B51</f>
        <v>0</v>
      </c>
      <c r="L51" s="799">
        <f>$L49*$B51</f>
        <v>0</v>
      </c>
      <c r="M51" s="1047">
        <f>$M49*$B51</f>
        <v>0</v>
      </c>
      <c r="N51" s="799">
        <f>$N49*$B51</f>
        <v>0</v>
      </c>
      <c r="O51" s="1044"/>
    </row>
    <row r="52" spans="1:15" x14ac:dyDescent="0.3">
      <c r="A52" s="633">
        <f>A51+30</f>
        <v>30</v>
      </c>
      <c r="B52" s="72">
        <f>TRESORERIA!E$7</f>
        <v>0</v>
      </c>
      <c r="C52" s="799"/>
      <c r="D52" s="799">
        <f>$C49*$B52</f>
        <v>0</v>
      </c>
      <c r="E52" s="799">
        <f>$D49*$B52</f>
        <v>0</v>
      </c>
      <c r="F52" s="799">
        <f>$E49*$B52</f>
        <v>0</v>
      </c>
      <c r="G52" s="799">
        <f>$F49*$B52</f>
        <v>0</v>
      </c>
      <c r="H52" s="799">
        <f>$G49*$B52</f>
        <v>0</v>
      </c>
      <c r="I52" s="799">
        <f>$H49*$B52</f>
        <v>0</v>
      </c>
      <c r="J52" s="799">
        <f>$I49*$B52</f>
        <v>0</v>
      </c>
      <c r="K52" s="799">
        <f>$J49*$B52</f>
        <v>0</v>
      </c>
      <c r="L52" s="799">
        <f>$K49*$B52</f>
        <v>0</v>
      </c>
      <c r="M52" s="1047">
        <f>$L49*$B52</f>
        <v>0</v>
      </c>
      <c r="N52" s="799">
        <f>$M49*$B52</f>
        <v>0</v>
      </c>
      <c r="O52" s="1044"/>
    </row>
    <row r="53" spans="1:15" x14ac:dyDescent="0.3">
      <c r="A53" s="633">
        <f t="shared" ref="A53:A61" si="7">A52+30</f>
        <v>60</v>
      </c>
      <c r="B53" s="72">
        <f>TRESORERIA!F$7</f>
        <v>0</v>
      </c>
      <c r="C53" s="799"/>
      <c r="D53" s="799"/>
      <c r="E53" s="799">
        <f>$C49*$B53</f>
        <v>0</v>
      </c>
      <c r="F53" s="799">
        <f>$D49*$B53</f>
        <v>0</v>
      </c>
      <c r="G53" s="799">
        <f>$E49*$B53</f>
        <v>0</v>
      </c>
      <c r="H53" s="799">
        <f>$F49*$B53</f>
        <v>0</v>
      </c>
      <c r="I53" s="799">
        <f>$G49*$B53</f>
        <v>0</v>
      </c>
      <c r="J53" s="799">
        <f>$H49*$B53</f>
        <v>0</v>
      </c>
      <c r="K53" s="799">
        <f>$I49*$B53</f>
        <v>0</v>
      </c>
      <c r="L53" s="799">
        <f>$J49*$B53</f>
        <v>0</v>
      </c>
      <c r="M53" s="1047">
        <f>$K49*$B53</f>
        <v>0</v>
      </c>
      <c r="N53" s="799">
        <f>$L49*$B53</f>
        <v>0</v>
      </c>
      <c r="O53" s="1044"/>
    </row>
    <row r="54" spans="1:15" x14ac:dyDescent="0.3">
      <c r="A54" s="633">
        <f t="shared" si="7"/>
        <v>90</v>
      </c>
      <c r="B54" s="72">
        <f>TRESORERIA!G$7</f>
        <v>0</v>
      </c>
      <c r="C54" s="799"/>
      <c r="D54" s="799"/>
      <c r="E54" s="799"/>
      <c r="F54" s="799">
        <f>$C49*$B54</f>
        <v>0</v>
      </c>
      <c r="G54" s="799">
        <f>$D49*$B54</f>
        <v>0</v>
      </c>
      <c r="H54" s="799">
        <f>$E49*$B54</f>
        <v>0</v>
      </c>
      <c r="I54" s="799">
        <f>$F49*$B54</f>
        <v>0</v>
      </c>
      <c r="J54" s="799">
        <f>$G49*$B54</f>
        <v>0</v>
      </c>
      <c r="K54" s="799">
        <f>$H49*$B54</f>
        <v>0</v>
      </c>
      <c r="L54" s="799">
        <f>$I49*$B54</f>
        <v>0</v>
      </c>
      <c r="M54" s="1047">
        <f>$J49*$B54</f>
        <v>0</v>
      </c>
      <c r="N54" s="799">
        <f>$K49*$B54</f>
        <v>0</v>
      </c>
      <c r="O54" s="1044"/>
    </row>
    <row r="55" spans="1:15" x14ac:dyDescent="0.3">
      <c r="A55" s="633">
        <f t="shared" si="7"/>
        <v>120</v>
      </c>
      <c r="B55" s="72">
        <f>TRESORERIA!H$7</f>
        <v>0</v>
      </c>
      <c r="C55" s="799"/>
      <c r="D55" s="799"/>
      <c r="E55" s="799"/>
      <c r="F55" s="799"/>
      <c r="G55" s="799">
        <f>$C49*$B55</f>
        <v>0</v>
      </c>
      <c r="H55" s="799">
        <f>$D49*$B55</f>
        <v>0</v>
      </c>
      <c r="I55" s="799">
        <f>$E49*$B55</f>
        <v>0</v>
      </c>
      <c r="J55" s="799">
        <f>$F49*$B55</f>
        <v>0</v>
      </c>
      <c r="K55" s="799">
        <f>$G49*$B55</f>
        <v>0</v>
      </c>
      <c r="L55" s="799">
        <f>$H49*$B55</f>
        <v>0</v>
      </c>
      <c r="M55" s="1047">
        <f>$I49*$B55</f>
        <v>0</v>
      </c>
      <c r="N55" s="799">
        <f>$J49*$B55</f>
        <v>0</v>
      </c>
      <c r="O55" s="1044"/>
    </row>
    <row r="56" spans="1:15" x14ac:dyDescent="0.3">
      <c r="A56" s="633">
        <f t="shared" si="7"/>
        <v>150</v>
      </c>
      <c r="B56" s="72">
        <f>TRESORERIA!I$7</f>
        <v>0</v>
      </c>
      <c r="C56" s="799"/>
      <c r="D56" s="799"/>
      <c r="E56" s="799"/>
      <c r="F56" s="799"/>
      <c r="G56" s="799"/>
      <c r="H56" s="799">
        <f>$C49*$B56</f>
        <v>0</v>
      </c>
      <c r="I56" s="799">
        <f>$D49*$B56</f>
        <v>0</v>
      </c>
      <c r="J56" s="799">
        <f>$E49*$B56</f>
        <v>0</v>
      </c>
      <c r="K56" s="799">
        <f>$F49*$B56</f>
        <v>0</v>
      </c>
      <c r="L56" s="799">
        <f>$G49*$B56</f>
        <v>0</v>
      </c>
      <c r="M56" s="1047">
        <f>$H49*$B56</f>
        <v>0</v>
      </c>
      <c r="N56" s="799">
        <f>$I49*$B56</f>
        <v>0</v>
      </c>
      <c r="O56" s="1044"/>
    </row>
    <row r="57" spans="1:15" x14ac:dyDescent="0.3">
      <c r="A57" s="633">
        <f t="shared" si="7"/>
        <v>180</v>
      </c>
      <c r="B57" s="72">
        <f>TRESORERIA!J$7</f>
        <v>0</v>
      </c>
      <c r="C57" s="799"/>
      <c r="D57" s="799"/>
      <c r="E57" s="799"/>
      <c r="F57" s="799"/>
      <c r="G57" s="799"/>
      <c r="H57" s="799"/>
      <c r="I57" s="799">
        <f>$C49*$B57</f>
        <v>0</v>
      </c>
      <c r="J57" s="799">
        <f>$D49*$B57</f>
        <v>0</v>
      </c>
      <c r="K57" s="799">
        <f>$E49*$B57</f>
        <v>0</v>
      </c>
      <c r="L57" s="799">
        <f>$F49*$B57</f>
        <v>0</v>
      </c>
      <c r="M57" s="1047">
        <f>$G49*$B57</f>
        <v>0</v>
      </c>
      <c r="N57" s="799">
        <f>$H49*$B57</f>
        <v>0</v>
      </c>
      <c r="O57" s="1044"/>
    </row>
    <row r="58" spans="1:15" x14ac:dyDescent="0.3">
      <c r="A58" s="633">
        <f t="shared" si="7"/>
        <v>210</v>
      </c>
      <c r="B58" s="72">
        <f>TRESORERIA!K$7</f>
        <v>0</v>
      </c>
      <c r="C58" s="799"/>
      <c r="D58" s="799"/>
      <c r="E58" s="799"/>
      <c r="F58" s="799"/>
      <c r="G58" s="799"/>
      <c r="H58" s="799"/>
      <c r="I58" s="799"/>
      <c r="J58" s="799">
        <f>$C49*$B58</f>
        <v>0</v>
      </c>
      <c r="K58" s="799">
        <f>$D49*$B58</f>
        <v>0</v>
      </c>
      <c r="L58" s="799">
        <f>$E49*$B58</f>
        <v>0</v>
      </c>
      <c r="M58" s="1047">
        <f>$F49*$B58</f>
        <v>0</v>
      </c>
      <c r="N58" s="799">
        <f>$G49*$B58</f>
        <v>0</v>
      </c>
      <c r="O58" s="1044"/>
    </row>
    <row r="59" spans="1:15" x14ac:dyDescent="0.3">
      <c r="A59" s="633">
        <f t="shared" si="7"/>
        <v>240</v>
      </c>
      <c r="B59" s="72">
        <f>TRESORERIA!L$7</f>
        <v>0</v>
      </c>
      <c r="C59" s="799"/>
      <c r="D59" s="799"/>
      <c r="E59" s="799"/>
      <c r="F59" s="799"/>
      <c r="G59" s="799"/>
      <c r="H59" s="799"/>
      <c r="I59" s="799"/>
      <c r="J59" s="799"/>
      <c r="K59" s="799">
        <f>$C49*$B59</f>
        <v>0</v>
      </c>
      <c r="L59" s="799">
        <f>$D49*$B59</f>
        <v>0</v>
      </c>
      <c r="M59" s="1047">
        <f>$E49*$B59</f>
        <v>0</v>
      </c>
      <c r="N59" s="799">
        <f>$F49*$B59</f>
        <v>0</v>
      </c>
      <c r="O59" s="1044"/>
    </row>
    <row r="60" spans="1:15" x14ac:dyDescent="0.3">
      <c r="A60" s="633">
        <f t="shared" si="7"/>
        <v>270</v>
      </c>
      <c r="B60" s="72">
        <f>TRESORERIA!M$7</f>
        <v>0</v>
      </c>
      <c r="C60" s="799"/>
      <c r="D60" s="799"/>
      <c r="E60" s="799"/>
      <c r="F60" s="799"/>
      <c r="G60" s="799"/>
      <c r="H60" s="799"/>
      <c r="I60" s="799"/>
      <c r="J60" s="799"/>
      <c r="K60" s="799"/>
      <c r="L60" s="799">
        <f>$C49*$B60</f>
        <v>0</v>
      </c>
      <c r="M60" s="1047">
        <f>$D49*$B60</f>
        <v>0</v>
      </c>
      <c r="N60" s="799">
        <f>$E49*$B60</f>
        <v>0</v>
      </c>
      <c r="O60" s="1044"/>
    </row>
    <row r="61" spans="1:15" x14ac:dyDescent="0.3">
      <c r="A61" s="633">
        <f t="shared" si="7"/>
        <v>300</v>
      </c>
      <c r="B61" s="72">
        <f>TRESORERIA!N$7</f>
        <v>0</v>
      </c>
      <c r="C61" s="799"/>
      <c r="D61" s="799"/>
      <c r="E61" s="799"/>
      <c r="F61" s="799"/>
      <c r="G61" s="799"/>
      <c r="H61" s="799"/>
      <c r="I61" s="799"/>
      <c r="J61" s="799"/>
      <c r="K61" s="799"/>
      <c r="L61" s="799"/>
      <c r="M61" s="1047">
        <f>$C49*$B61</f>
        <v>0</v>
      </c>
      <c r="N61" s="799">
        <f>$D49*$B61</f>
        <v>0</v>
      </c>
      <c r="O61" s="1044"/>
    </row>
    <row r="62" spans="1:15" x14ac:dyDescent="0.3">
      <c r="A62" s="633">
        <f>A61+30</f>
        <v>330</v>
      </c>
      <c r="B62" s="72">
        <f>TRESORERIA!O$7</f>
        <v>0</v>
      </c>
      <c r="C62" s="799"/>
      <c r="D62" s="799"/>
      <c r="E62" s="799"/>
      <c r="F62" s="799"/>
      <c r="G62" s="799"/>
      <c r="H62" s="799"/>
      <c r="I62" s="799"/>
      <c r="J62" s="799"/>
      <c r="K62" s="799"/>
      <c r="L62" s="799"/>
      <c r="M62" s="1047"/>
      <c r="N62" s="799">
        <f>$C49*$B62</f>
        <v>0</v>
      </c>
      <c r="O62" s="1044"/>
    </row>
    <row r="63" spans="1:15" x14ac:dyDescent="0.3">
      <c r="A63" s="1048" t="s">
        <v>347</v>
      </c>
      <c r="B63" s="72">
        <f t="shared" ref="B63:N63" si="8">SUM(B51:B62)</f>
        <v>1</v>
      </c>
      <c r="C63" s="799">
        <f t="shared" si="8"/>
        <v>0</v>
      </c>
      <c r="D63" s="799">
        <f t="shared" si="8"/>
        <v>0</v>
      </c>
      <c r="E63" s="799">
        <f t="shared" si="8"/>
        <v>0</v>
      </c>
      <c r="F63" s="799">
        <f t="shared" si="8"/>
        <v>0</v>
      </c>
      <c r="G63" s="799">
        <f t="shared" si="8"/>
        <v>0</v>
      </c>
      <c r="H63" s="799">
        <f t="shared" si="8"/>
        <v>0</v>
      </c>
      <c r="I63" s="799">
        <f t="shared" si="8"/>
        <v>0</v>
      </c>
      <c r="J63" s="799">
        <f t="shared" si="8"/>
        <v>0</v>
      </c>
      <c r="K63" s="799">
        <f t="shared" si="8"/>
        <v>0</v>
      </c>
      <c r="L63" s="799">
        <f t="shared" si="8"/>
        <v>0</v>
      </c>
      <c r="M63" s="1047">
        <f t="shared" si="8"/>
        <v>0</v>
      </c>
      <c r="N63" s="799">
        <f t="shared" si="8"/>
        <v>0</v>
      </c>
      <c r="O63" s="1046"/>
    </row>
    <row r="64" spans="1:15" s="7" customFormat="1" x14ac:dyDescent="0.3">
      <c r="A64" s="1868" t="s">
        <v>349</v>
      </c>
      <c r="B64" s="1868"/>
      <c r="C64" s="1049">
        <f>C34+C49</f>
        <v>0</v>
      </c>
      <c r="D64" s="1049">
        <f t="shared" ref="D64:N64" si="9">D34+D49</f>
        <v>0</v>
      </c>
      <c r="E64" s="1049">
        <f t="shared" si="9"/>
        <v>0</v>
      </c>
      <c r="F64" s="1049">
        <f t="shared" si="9"/>
        <v>0</v>
      </c>
      <c r="G64" s="1049">
        <f t="shared" si="9"/>
        <v>0</v>
      </c>
      <c r="H64" s="1049">
        <f t="shared" si="9"/>
        <v>0</v>
      </c>
      <c r="I64" s="1049">
        <f t="shared" si="9"/>
        <v>0</v>
      </c>
      <c r="J64" s="1049">
        <f t="shared" si="9"/>
        <v>0</v>
      </c>
      <c r="K64" s="1049">
        <f t="shared" si="9"/>
        <v>0</v>
      </c>
      <c r="L64" s="1049">
        <f t="shared" si="9"/>
        <v>0</v>
      </c>
      <c r="M64" s="1049">
        <f t="shared" si="9"/>
        <v>0</v>
      </c>
      <c r="N64" s="1049">
        <f t="shared" si="9"/>
        <v>0</v>
      </c>
      <c r="O64" s="1041">
        <f>SUM(C64:N64)</f>
        <v>0</v>
      </c>
    </row>
    <row r="65" spans="1:28" x14ac:dyDescent="0.3">
      <c r="A65"/>
      <c r="B65" s="1055"/>
      <c r="N65" s="1056"/>
      <c r="Q65" s="756" t="s">
        <v>350</v>
      </c>
      <c r="R65" s="1057"/>
      <c r="S65" s="1057"/>
      <c r="T65" s="1057"/>
      <c r="U65" s="1057"/>
      <c r="V65" s="1057"/>
      <c r="W65" s="1057"/>
      <c r="X65" s="1057"/>
      <c r="Y65" s="1057"/>
      <c r="Z65" s="1057"/>
      <c r="AA65" s="1057"/>
      <c r="AB65" s="1058"/>
    </row>
    <row r="66" spans="1:28" x14ac:dyDescent="0.3">
      <c r="N66" s="990"/>
    </row>
    <row r="67" spans="1:28" ht="15.5" x14ac:dyDescent="0.35">
      <c r="A67" s="1871" t="s">
        <v>47</v>
      </c>
      <c r="B67" s="1871"/>
      <c r="C67" s="801" t="str">
        <f>C1</f>
        <v>GENER</v>
      </c>
      <c r="D67" s="801" t="str">
        <f t="shared" ref="D67:N67" si="10">D1</f>
        <v>FEBRER</v>
      </c>
      <c r="E67" s="801" t="str">
        <f t="shared" si="10"/>
        <v>MARÇ</v>
      </c>
      <c r="F67" s="801" t="str">
        <f t="shared" si="10"/>
        <v>ABRIL</v>
      </c>
      <c r="G67" s="801" t="str">
        <f t="shared" si="10"/>
        <v>MAIG</v>
      </c>
      <c r="H67" s="801" t="str">
        <f t="shared" si="10"/>
        <v>JUNY</v>
      </c>
      <c r="I67" s="801" t="str">
        <f t="shared" si="10"/>
        <v>JULIOL</v>
      </c>
      <c r="J67" s="801" t="str">
        <f t="shared" si="10"/>
        <v>AGOST</v>
      </c>
      <c r="K67" s="801" t="str">
        <f t="shared" si="10"/>
        <v>SETEMBRE</v>
      </c>
      <c r="L67" s="801" t="str">
        <f t="shared" si="10"/>
        <v>OCTUBRE</v>
      </c>
      <c r="M67" s="1038" t="str">
        <f t="shared" si="10"/>
        <v>NOVEMBRE</v>
      </c>
      <c r="N67" s="801" t="str">
        <f t="shared" si="10"/>
        <v>DESEMBRE</v>
      </c>
      <c r="O67" s="1039" t="s">
        <v>245</v>
      </c>
      <c r="R67" s="1059" t="s">
        <v>351</v>
      </c>
      <c r="S67" s="881" t="s">
        <v>352</v>
      </c>
      <c r="T67" s="882" t="s">
        <v>353</v>
      </c>
    </row>
    <row r="68" spans="1:28" s="7" customFormat="1" x14ac:dyDescent="0.3">
      <c r="A68" s="1866" t="s">
        <v>354</v>
      </c>
      <c r="B68" s="1866"/>
      <c r="C68" s="29">
        <f>MERCADERIES!DC89</f>
        <v>0</v>
      </c>
      <c r="D68" s="29">
        <f>MERCADERIES!DD89</f>
        <v>0</v>
      </c>
      <c r="E68" s="29">
        <f>MERCADERIES!DE89</f>
        <v>0</v>
      </c>
      <c r="F68" s="29">
        <f>MERCADERIES!DF89</f>
        <v>0</v>
      </c>
      <c r="G68" s="29">
        <f>MERCADERIES!DG89</f>
        <v>0</v>
      </c>
      <c r="H68" s="29">
        <f>MERCADERIES!DH89</f>
        <v>0</v>
      </c>
      <c r="I68" s="29">
        <f>MERCADERIES!DI89</f>
        <v>0</v>
      </c>
      <c r="J68" s="29">
        <f>MERCADERIES!DJ89</f>
        <v>0</v>
      </c>
      <c r="K68" s="29">
        <f>MERCADERIES!DK89</f>
        <v>0</v>
      </c>
      <c r="L68" s="29">
        <f>MERCADERIES!DL89</f>
        <v>0</v>
      </c>
      <c r="M68" s="1040">
        <f>MERCADERIES!DM89</f>
        <v>0</v>
      </c>
      <c r="N68" s="29">
        <f>MERCADERIES!DN89</f>
        <v>0</v>
      </c>
      <c r="O68" s="1041">
        <f>SUM(C68:N68)</f>
        <v>0</v>
      </c>
    </row>
    <row r="69" spans="1:28" x14ac:dyDescent="0.3">
      <c r="A69" s="1866" t="s">
        <v>341</v>
      </c>
      <c r="B69" s="1866"/>
      <c r="C69" s="29"/>
      <c r="D69" s="29"/>
      <c r="E69" s="29"/>
      <c r="F69" s="29"/>
      <c r="G69" s="29"/>
      <c r="H69" s="29"/>
      <c r="I69" s="29"/>
      <c r="J69" s="29"/>
      <c r="K69" s="29"/>
      <c r="L69" s="29"/>
      <c r="M69" s="1040"/>
      <c r="N69" s="29"/>
      <c r="O69" s="1042"/>
    </row>
    <row r="70" spans="1:28" x14ac:dyDescent="0.3">
      <c r="A70" s="920">
        <v>0</v>
      </c>
      <c r="B70" s="1043">
        <f>TRESORERIA!D$90</f>
        <v>1</v>
      </c>
      <c r="C70" s="29">
        <f>$C68*$B70</f>
        <v>0</v>
      </c>
      <c r="D70" s="29">
        <f>$D68*$B70</f>
        <v>0</v>
      </c>
      <c r="E70" s="29">
        <f>$E68*$B70</f>
        <v>0</v>
      </c>
      <c r="F70" s="29">
        <f>$F68*$B70</f>
        <v>0</v>
      </c>
      <c r="G70" s="29">
        <f>$G68*$B70</f>
        <v>0</v>
      </c>
      <c r="H70" s="29">
        <f>$H68*$B70</f>
        <v>0</v>
      </c>
      <c r="I70" s="29">
        <f>$I68*$B70</f>
        <v>0</v>
      </c>
      <c r="J70" s="29">
        <f>$J68*$B70</f>
        <v>0</v>
      </c>
      <c r="K70" s="29">
        <f>$K68*$B70</f>
        <v>0</v>
      </c>
      <c r="L70" s="29">
        <f>$L68*$B70</f>
        <v>0</v>
      </c>
      <c r="M70" s="1040">
        <f>$M68*$B70</f>
        <v>0</v>
      </c>
      <c r="N70" s="29">
        <f>$N68*$B70</f>
        <v>0</v>
      </c>
      <c r="O70" s="1044"/>
      <c r="Q70" s="1060">
        <f>+C70*SERVEIS!$CN$45</f>
        <v>0</v>
      </c>
      <c r="R70" s="1060">
        <f>+D70*SERVEIS!$CN$45</f>
        <v>0</v>
      </c>
      <c r="S70" s="1060">
        <f>+E70*SERVEIS!$CN$45</f>
        <v>0</v>
      </c>
      <c r="T70" s="1060">
        <f>+F70*SERVEIS!$CN$45</f>
        <v>0</v>
      </c>
      <c r="U70" s="1060">
        <f>+G70*SERVEIS!$CN$45</f>
        <v>0</v>
      </c>
      <c r="V70" s="1060">
        <f>+H70*SERVEIS!$CN$45</f>
        <v>0</v>
      </c>
      <c r="W70" s="1060">
        <f>+I70*SERVEIS!$CN$45</f>
        <v>0</v>
      </c>
      <c r="X70" s="1060">
        <f>+J70*SERVEIS!$CN$45</f>
        <v>0</v>
      </c>
      <c r="Y70" s="1060">
        <f>+K70*SERVEIS!$CN$45</f>
        <v>0</v>
      </c>
      <c r="Z70" s="1060">
        <f>+L70*SERVEIS!$CN$45</f>
        <v>0</v>
      </c>
      <c r="AA70" s="1060">
        <f>+M70*SERVEIS!$CN$45</f>
        <v>0</v>
      </c>
      <c r="AB70" s="1060">
        <f>+N70*SERVEIS!$CN$45</f>
        <v>0</v>
      </c>
    </row>
    <row r="71" spans="1:28" x14ac:dyDescent="0.3">
      <c r="A71" s="920">
        <f>A70+30</f>
        <v>30</v>
      </c>
      <c r="B71" s="1043">
        <f>TRESORERIA!E$90</f>
        <v>0</v>
      </c>
      <c r="C71" s="29">
        <f>$N2*$B5</f>
        <v>0</v>
      </c>
      <c r="D71" s="29">
        <f>$C68*$B71</f>
        <v>0</v>
      </c>
      <c r="E71" s="29">
        <f>$D68*$B71</f>
        <v>0</v>
      </c>
      <c r="F71" s="29">
        <f>$E68*$B71</f>
        <v>0</v>
      </c>
      <c r="G71" s="29">
        <f>$F68*$B71</f>
        <v>0</v>
      </c>
      <c r="H71" s="29">
        <f>$G68*$B71</f>
        <v>0</v>
      </c>
      <c r="I71" s="29">
        <f>$H68*$B71</f>
        <v>0</v>
      </c>
      <c r="J71" s="29">
        <f>$I68*$B71</f>
        <v>0</v>
      </c>
      <c r="K71" s="29">
        <f>$J68*$B71</f>
        <v>0</v>
      </c>
      <c r="L71" s="29">
        <f>$K68*$B71</f>
        <v>0</v>
      </c>
      <c r="M71" s="1040">
        <f>$L68*$B71</f>
        <v>0</v>
      </c>
      <c r="N71" s="29">
        <f>$M68*$B71</f>
        <v>0</v>
      </c>
      <c r="O71" s="1044"/>
      <c r="Q71" s="1061">
        <f>+C71*SERVEIS!$CN$25</f>
        <v>0</v>
      </c>
      <c r="R71" s="1060">
        <f>+D71*SERVEIS!$CN$45</f>
        <v>0</v>
      </c>
      <c r="S71" s="1060">
        <f>+E71*SERVEIS!$CN$45</f>
        <v>0</v>
      </c>
      <c r="T71" s="1060">
        <f>+F71*SERVEIS!$CN$45</f>
        <v>0</v>
      </c>
      <c r="U71" s="1060">
        <f>+G71*SERVEIS!$CN$45</f>
        <v>0</v>
      </c>
      <c r="V71" s="1060">
        <f>+H71*SERVEIS!$CN$45</f>
        <v>0</v>
      </c>
      <c r="W71" s="1060">
        <f>+I71*SERVEIS!$CN$45</f>
        <v>0</v>
      </c>
      <c r="X71" s="1060">
        <f>+J71*SERVEIS!$CN$45</f>
        <v>0</v>
      </c>
      <c r="Y71" s="1060">
        <f>+K71*SERVEIS!$CN$45</f>
        <v>0</v>
      </c>
      <c r="Z71" s="1060">
        <f>+L71*SERVEIS!$CN$45</f>
        <v>0</v>
      </c>
      <c r="AA71" s="1060">
        <f>+M71*SERVEIS!$CN$45</f>
        <v>0</v>
      </c>
      <c r="AB71" s="1060">
        <f>+N71*SERVEIS!$CN$45</f>
        <v>0</v>
      </c>
    </row>
    <row r="72" spans="1:28" x14ac:dyDescent="0.3">
      <c r="A72" s="920">
        <f t="shared" ref="A72:A80" si="11">A71+30</f>
        <v>60</v>
      </c>
      <c r="B72" s="1043">
        <f>TRESORERIA!F$90</f>
        <v>0</v>
      </c>
      <c r="C72" s="29">
        <f>$M2*$B6</f>
        <v>0</v>
      </c>
      <c r="D72" s="29">
        <f>$N2*$B6</f>
        <v>0</v>
      </c>
      <c r="E72" s="29">
        <f>$C68*$B72</f>
        <v>0</v>
      </c>
      <c r="F72" s="29">
        <f>$D68*$B72</f>
        <v>0</v>
      </c>
      <c r="G72" s="29">
        <f>$E68*$B72</f>
        <v>0</v>
      </c>
      <c r="H72" s="29">
        <f>$F68*$B72</f>
        <v>0</v>
      </c>
      <c r="I72" s="29">
        <f>$G68*$B72</f>
        <v>0</v>
      </c>
      <c r="J72" s="29">
        <f>$H68*$B72</f>
        <v>0</v>
      </c>
      <c r="K72" s="29">
        <f>$I68*$B72</f>
        <v>0</v>
      </c>
      <c r="L72" s="29">
        <f>$J68*$B72</f>
        <v>0</v>
      </c>
      <c r="M72" s="1040">
        <f>$K68*$B72</f>
        <v>0</v>
      </c>
      <c r="N72" s="29">
        <f>$L68*$B72</f>
        <v>0</v>
      </c>
      <c r="O72" s="1044"/>
      <c r="Q72" s="1061">
        <f>+C72*SERVEIS!$CN$25</f>
        <v>0</v>
      </c>
      <c r="R72" s="1061">
        <f>+D72*SERVEIS!$CN$25</f>
        <v>0</v>
      </c>
      <c r="S72" s="1060">
        <f>+E72*SERVEIS!$CN$45</f>
        <v>0</v>
      </c>
      <c r="T72" s="1060">
        <f>+F72*SERVEIS!$CN$45</f>
        <v>0</v>
      </c>
      <c r="U72" s="1060">
        <f>+G72*SERVEIS!$CN$45</f>
        <v>0</v>
      </c>
      <c r="V72" s="1060">
        <f>+H72*SERVEIS!$CN$45</f>
        <v>0</v>
      </c>
      <c r="W72" s="1060">
        <f>+I72*SERVEIS!$CN$45</f>
        <v>0</v>
      </c>
      <c r="X72" s="1060">
        <f>+J72*SERVEIS!$CN$45</f>
        <v>0</v>
      </c>
      <c r="Y72" s="1060">
        <f>+K72*SERVEIS!$CN$45</f>
        <v>0</v>
      </c>
      <c r="Z72" s="1060">
        <f>+L72*SERVEIS!$CN$45</f>
        <v>0</v>
      </c>
      <c r="AA72" s="1060">
        <f>+M72*SERVEIS!$CN$45</f>
        <v>0</v>
      </c>
      <c r="AB72" s="1060">
        <f>+N72*SERVEIS!$CN$45</f>
        <v>0</v>
      </c>
    </row>
    <row r="73" spans="1:28" x14ac:dyDescent="0.3">
      <c r="A73" s="920">
        <f t="shared" si="11"/>
        <v>90</v>
      </c>
      <c r="B73" s="1043">
        <f>TRESORERIA!G$90</f>
        <v>0</v>
      </c>
      <c r="C73" s="29">
        <f>$L2*$B7</f>
        <v>0</v>
      </c>
      <c r="D73" s="29">
        <f>$M2*$B7</f>
        <v>0</v>
      </c>
      <c r="E73" s="29">
        <f>$N2*$B7</f>
        <v>0</v>
      </c>
      <c r="F73" s="29">
        <f>$C68*$B73</f>
        <v>0</v>
      </c>
      <c r="G73" s="29">
        <f>$D68*$B73</f>
        <v>0</v>
      </c>
      <c r="H73" s="29">
        <f>$E68*$B73</f>
        <v>0</v>
      </c>
      <c r="I73" s="29">
        <f>$F68*$B73</f>
        <v>0</v>
      </c>
      <c r="J73" s="29">
        <f>$G68*$B73</f>
        <v>0</v>
      </c>
      <c r="K73" s="29">
        <f>$H68*$B73</f>
        <v>0</v>
      </c>
      <c r="L73" s="29">
        <f>$I68*$B73</f>
        <v>0</v>
      </c>
      <c r="M73" s="1040">
        <f>$J68*$B73</f>
        <v>0</v>
      </c>
      <c r="N73" s="29">
        <f>$K68*$B73</f>
        <v>0</v>
      </c>
      <c r="O73" s="1044"/>
      <c r="Q73" s="1061">
        <f>+C73*SERVEIS!$CN$25</f>
        <v>0</v>
      </c>
      <c r="R73" s="1061">
        <f>+D73*SERVEIS!$CN$25</f>
        <v>0</v>
      </c>
      <c r="S73" s="1061">
        <f>+E73*SERVEIS!$CN$25</f>
        <v>0</v>
      </c>
      <c r="T73" s="1060">
        <f>+F73*SERVEIS!$CN$45</f>
        <v>0</v>
      </c>
      <c r="U73" s="1060">
        <f>+G73*SERVEIS!$CN$45</f>
        <v>0</v>
      </c>
      <c r="V73" s="1060">
        <f>+H73*SERVEIS!$CN$45</f>
        <v>0</v>
      </c>
      <c r="W73" s="1060">
        <f>+I73*SERVEIS!$CN$45</f>
        <v>0</v>
      </c>
      <c r="X73" s="1060">
        <f>+J73*SERVEIS!$CN$45</f>
        <v>0</v>
      </c>
      <c r="Y73" s="1060">
        <f>+K73*SERVEIS!$CN$45</f>
        <v>0</v>
      </c>
      <c r="Z73" s="1060">
        <f>+L73*SERVEIS!$CN$45</f>
        <v>0</v>
      </c>
      <c r="AA73" s="1060">
        <f>+M73*SERVEIS!$CN$45</f>
        <v>0</v>
      </c>
      <c r="AB73" s="1060">
        <f>+N73*SERVEIS!$CN$45</f>
        <v>0</v>
      </c>
    </row>
    <row r="74" spans="1:28" x14ac:dyDescent="0.3">
      <c r="A74" s="920">
        <f t="shared" si="11"/>
        <v>120</v>
      </c>
      <c r="B74" s="1043">
        <f>TRESORERIA!H$90</f>
        <v>0</v>
      </c>
      <c r="C74" s="29">
        <f>$K2*$B8</f>
        <v>0</v>
      </c>
      <c r="D74" s="29">
        <f>$L2*$B8</f>
        <v>0</v>
      </c>
      <c r="E74" s="29">
        <f>$M2*$B8</f>
        <v>0</v>
      </c>
      <c r="F74" s="29">
        <f>$N2*$B8</f>
        <v>0</v>
      </c>
      <c r="G74" s="29">
        <f>$C68*$B74</f>
        <v>0</v>
      </c>
      <c r="H74" s="29">
        <f>$D68*$B74</f>
        <v>0</v>
      </c>
      <c r="I74" s="29">
        <f>$E68*$B74</f>
        <v>0</v>
      </c>
      <c r="J74" s="29">
        <f>$F68*$B74</f>
        <v>0</v>
      </c>
      <c r="K74" s="29">
        <f>$G68*$B74</f>
        <v>0</v>
      </c>
      <c r="L74" s="29">
        <f>$H68*$B74</f>
        <v>0</v>
      </c>
      <c r="M74" s="1040">
        <f>$I68*$B74</f>
        <v>0</v>
      </c>
      <c r="N74" s="29">
        <f>$J68*$B74</f>
        <v>0</v>
      </c>
      <c r="O74" s="1044"/>
      <c r="Q74" s="1061">
        <f>+C74*SERVEIS!$CN$25</f>
        <v>0</v>
      </c>
      <c r="R74" s="1061">
        <f>+D74*SERVEIS!$CN$25</f>
        <v>0</v>
      </c>
      <c r="S74" s="1061">
        <f>+E74*SERVEIS!$CN$25</f>
        <v>0</v>
      </c>
      <c r="T74" s="1061">
        <f>+F74*SERVEIS!$CN$25</f>
        <v>0</v>
      </c>
      <c r="U74" s="1060">
        <f>+G74*SERVEIS!$CN$45</f>
        <v>0</v>
      </c>
      <c r="V74" s="1060">
        <f>+H74*SERVEIS!$CN$45</f>
        <v>0</v>
      </c>
      <c r="W74" s="1060">
        <f>+I74*SERVEIS!$CN$45</f>
        <v>0</v>
      </c>
      <c r="X74" s="1060">
        <f>+J74*SERVEIS!$CN$45</f>
        <v>0</v>
      </c>
      <c r="Y74" s="1060">
        <f>+K74*SERVEIS!$CN$45</f>
        <v>0</v>
      </c>
      <c r="Z74" s="1060">
        <f>+L74*SERVEIS!$CN$45</f>
        <v>0</v>
      </c>
      <c r="AA74" s="1060">
        <f>+M74*SERVEIS!$CN$45</f>
        <v>0</v>
      </c>
      <c r="AB74" s="1060">
        <f>+N74*SERVEIS!$CN$45</f>
        <v>0</v>
      </c>
    </row>
    <row r="75" spans="1:28" x14ac:dyDescent="0.3">
      <c r="A75" s="920">
        <f t="shared" si="11"/>
        <v>150</v>
      </c>
      <c r="B75" s="1043">
        <f>TRESORERIA!I$90</f>
        <v>0</v>
      </c>
      <c r="C75" s="29">
        <f>$J2*$B9</f>
        <v>0</v>
      </c>
      <c r="D75" s="29">
        <f>$K2*$B9</f>
        <v>0</v>
      </c>
      <c r="E75" s="29">
        <f>$L2*$B9</f>
        <v>0</v>
      </c>
      <c r="F75" s="29">
        <f>$M2*$B9</f>
        <v>0</v>
      </c>
      <c r="G75" s="29">
        <f>$N2*$B9</f>
        <v>0</v>
      </c>
      <c r="H75" s="29">
        <f>$C68*$B75</f>
        <v>0</v>
      </c>
      <c r="I75" s="29">
        <f>$D68*$B75</f>
        <v>0</v>
      </c>
      <c r="J75" s="29">
        <f>$E68*$B75</f>
        <v>0</v>
      </c>
      <c r="K75" s="29">
        <f>$F68*$B75</f>
        <v>0</v>
      </c>
      <c r="L75" s="29">
        <f>$G68*$B75</f>
        <v>0</v>
      </c>
      <c r="M75" s="1040">
        <f>$H68*$B75</f>
        <v>0</v>
      </c>
      <c r="N75" s="29">
        <f>$I68*$B75</f>
        <v>0</v>
      </c>
      <c r="O75" s="1044"/>
      <c r="Q75" s="1061">
        <f>+C75*SERVEIS!$CN$25</f>
        <v>0</v>
      </c>
      <c r="R75" s="1061">
        <f>+D75*SERVEIS!$CN$25</f>
        <v>0</v>
      </c>
      <c r="S75" s="1061">
        <f>+E75*SERVEIS!$CN$25</f>
        <v>0</v>
      </c>
      <c r="T75" s="1061">
        <f>+F75*SERVEIS!$CN$25</f>
        <v>0</v>
      </c>
      <c r="U75" s="1061">
        <f>+G75*SERVEIS!$CN$25</f>
        <v>0</v>
      </c>
      <c r="V75" s="1060">
        <f>+H75*SERVEIS!$CN$45</f>
        <v>0</v>
      </c>
      <c r="W75" s="1060">
        <f>+I75*SERVEIS!$CN$45</f>
        <v>0</v>
      </c>
      <c r="X75" s="1060">
        <f>+J75*SERVEIS!$CN$45</f>
        <v>0</v>
      </c>
      <c r="Y75" s="1060">
        <f>+K75*SERVEIS!$CN$45</f>
        <v>0</v>
      </c>
      <c r="Z75" s="1060">
        <f>+L75*SERVEIS!$CN$45</f>
        <v>0</v>
      </c>
      <c r="AA75" s="1060">
        <f>+M75*SERVEIS!$CN$45</f>
        <v>0</v>
      </c>
      <c r="AB75" s="1060">
        <f>+N75*SERVEIS!$CN$45</f>
        <v>0</v>
      </c>
    </row>
    <row r="76" spans="1:28" x14ac:dyDescent="0.3">
      <c r="A76" s="920">
        <f t="shared" si="11"/>
        <v>180</v>
      </c>
      <c r="B76" s="1043">
        <f>TRESORERIA!J$90</f>
        <v>0</v>
      </c>
      <c r="C76" s="29">
        <f>$I2*$B10</f>
        <v>0</v>
      </c>
      <c r="D76" s="29">
        <f>$J2*$B10</f>
        <v>0</v>
      </c>
      <c r="E76" s="29">
        <f>$K2*$B10</f>
        <v>0</v>
      </c>
      <c r="F76" s="29">
        <f>$L2*$B10</f>
        <v>0</v>
      </c>
      <c r="G76" s="29">
        <f>$M2*$B10</f>
        <v>0</v>
      </c>
      <c r="H76" s="29">
        <f>$N2*$B10</f>
        <v>0</v>
      </c>
      <c r="I76" s="29">
        <f>$C68*$B76</f>
        <v>0</v>
      </c>
      <c r="J76" s="29">
        <f>$D68*$B76</f>
        <v>0</v>
      </c>
      <c r="K76" s="29">
        <f>$E68*$B76</f>
        <v>0</v>
      </c>
      <c r="L76" s="29">
        <f>$F68*$B76</f>
        <v>0</v>
      </c>
      <c r="M76" s="1040">
        <f>$G68*$B76</f>
        <v>0</v>
      </c>
      <c r="N76" s="29">
        <f>$H68*$B76</f>
        <v>0</v>
      </c>
      <c r="O76" s="1044"/>
      <c r="Q76" s="1061">
        <f>+C76*SERVEIS!$CN$25</f>
        <v>0</v>
      </c>
      <c r="R76" s="1061">
        <f>+D76*SERVEIS!$CN$25</f>
        <v>0</v>
      </c>
      <c r="S76" s="1061">
        <f>+E76*SERVEIS!$CN$25</f>
        <v>0</v>
      </c>
      <c r="T76" s="1061">
        <f>+F76*SERVEIS!$CN$25</f>
        <v>0</v>
      </c>
      <c r="U76" s="1061">
        <f>+G76*SERVEIS!$CN$25</f>
        <v>0</v>
      </c>
      <c r="V76" s="1061">
        <f>+H76*SERVEIS!$CN$25</f>
        <v>0</v>
      </c>
      <c r="W76" s="1060">
        <f>+I76*SERVEIS!$CN$45</f>
        <v>0</v>
      </c>
      <c r="X76" s="1060">
        <f>+J76*SERVEIS!$CN$45</f>
        <v>0</v>
      </c>
      <c r="Y76" s="1060">
        <f>+K76*SERVEIS!$CN$45</f>
        <v>0</v>
      </c>
      <c r="Z76" s="1060">
        <f>+L76*SERVEIS!$CN$45</f>
        <v>0</v>
      </c>
      <c r="AA76" s="1060">
        <f>+M76*SERVEIS!$CN$45</f>
        <v>0</v>
      </c>
      <c r="AB76" s="1060">
        <f>+N76*SERVEIS!$CN$45</f>
        <v>0</v>
      </c>
    </row>
    <row r="77" spans="1:28" x14ac:dyDescent="0.3">
      <c r="A77" s="920">
        <f t="shared" si="11"/>
        <v>210</v>
      </c>
      <c r="B77" s="1043">
        <f>TRESORERIA!K$90</f>
        <v>0</v>
      </c>
      <c r="C77" s="29">
        <f>$H2*$B11</f>
        <v>0</v>
      </c>
      <c r="D77" s="29">
        <f>$I2*$B11</f>
        <v>0</v>
      </c>
      <c r="E77" s="29">
        <f>$J2*$B11</f>
        <v>0</v>
      </c>
      <c r="F77" s="29">
        <f>$K2*$B11</f>
        <v>0</v>
      </c>
      <c r="G77" s="29">
        <f>$L2*$B11</f>
        <v>0</v>
      </c>
      <c r="H77" s="29">
        <f>$M2*$B11</f>
        <v>0</v>
      </c>
      <c r="I77" s="29">
        <f>$N2*$B11</f>
        <v>0</v>
      </c>
      <c r="J77" s="29">
        <f>$C68*$B77</f>
        <v>0</v>
      </c>
      <c r="K77" s="29">
        <f>$D68*$B77</f>
        <v>0</v>
      </c>
      <c r="L77" s="29">
        <f>$E68*$B77</f>
        <v>0</v>
      </c>
      <c r="M77" s="1040">
        <f>$F68*$B77</f>
        <v>0</v>
      </c>
      <c r="N77" s="29">
        <f>$G68*$B77</f>
        <v>0</v>
      </c>
      <c r="O77" s="1044"/>
      <c r="Q77" s="1061">
        <f>+C77*SERVEIS!$CN$25</f>
        <v>0</v>
      </c>
      <c r="R77" s="1061">
        <f>+D77*SERVEIS!$CN$25</f>
        <v>0</v>
      </c>
      <c r="S77" s="1061">
        <f>+E77*SERVEIS!$CN$25</f>
        <v>0</v>
      </c>
      <c r="T77" s="1061">
        <f>+F77*SERVEIS!$CN$25</f>
        <v>0</v>
      </c>
      <c r="U77" s="1061">
        <f>+G77*SERVEIS!$CN$25</f>
        <v>0</v>
      </c>
      <c r="V77" s="1061">
        <f>+H77*SERVEIS!$CN$25</f>
        <v>0</v>
      </c>
      <c r="W77" s="1061">
        <f>+I77*SERVEIS!$CN$25</f>
        <v>0</v>
      </c>
      <c r="X77" s="1060">
        <f>+J77*SERVEIS!$CN$45</f>
        <v>0</v>
      </c>
      <c r="Y77" s="1060">
        <f>+K77*SERVEIS!$CN$45</f>
        <v>0</v>
      </c>
      <c r="Z77" s="1060">
        <f>+L77*SERVEIS!$CN$45</f>
        <v>0</v>
      </c>
      <c r="AA77" s="1060">
        <f>+M77*SERVEIS!$CN$45</f>
        <v>0</v>
      </c>
      <c r="AB77" s="1060">
        <f>+N77*SERVEIS!$CN$45</f>
        <v>0</v>
      </c>
    </row>
    <row r="78" spans="1:28" x14ac:dyDescent="0.3">
      <c r="A78" s="920">
        <f t="shared" si="11"/>
        <v>240</v>
      </c>
      <c r="B78" s="1043">
        <f>TRESORERIA!L$90</f>
        <v>0</v>
      </c>
      <c r="C78" s="29">
        <f>$G2*$B12</f>
        <v>0</v>
      </c>
      <c r="D78" s="29">
        <f>$H2*$B12</f>
        <v>0</v>
      </c>
      <c r="E78" s="29">
        <f>$I2*$B12</f>
        <v>0</v>
      </c>
      <c r="F78" s="29">
        <f>$J2*$B12</f>
        <v>0</v>
      </c>
      <c r="G78" s="29">
        <f>$K2*$B12</f>
        <v>0</v>
      </c>
      <c r="H78" s="29">
        <f>$L2*$B12</f>
        <v>0</v>
      </c>
      <c r="I78" s="29">
        <f>$M2*$B12</f>
        <v>0</v>
      </c>
      <c r="J78" s="29">
        <f>$N2*$B12</f>
        <v>0</v>
      </c>
      <c r="K78" s="29">
        <f>$C68*$B78</f>
        <v>0</v>
      </c>
      <c r="L78" s="29">
        <f>$D68*$B78</f>
        <v>0</v>
      </c>
      <c r="M78" s="1040">
        <f>$E68*$B78</f>
        <v>0</v>
      </c>
      <c r="N78" s="29">
        <f>$F68*$B78</f>
        <v>0</v>
      </c>
      <c r="O78" s="1044"/>
      <c r="Q78" s="1061">
        <f>+C78*SERVEIS!$CN$25</f>
        <v>0</v>
      </c>
      <c r="R78" s="1061">
        <f>+D78*SERVEIS!$CN$25</f>
        <v>0</v>
      </c>
      <c r="S78" s="1061">
        <f>+E78*SERVEIS!$CN$25</f>
        <v>0</v>
      </c>
      <c r="T78" s="1061">
        <f>+F78*SERVEIS!$CN$25</f>
        <v>0</v>
      </c>
      <c r="U78" s="1061">
        <f>+G78*SERVEIS!$CN$25</f>
        <v>0</v>
      </c>
      <c r="V78" s="1061">
        <f>+H78*SERVEIS!$CN$25</f>
        <v>0</v>
      </c>
      <c r="W78" s="1061">
        <f>+I78*SERVEIS!$CN$25</f>
        <v>0</v>
      </c>
      <c r="X78" s="1061">
        <f>+J78*SERVEIS!$CN$25</f>
        <v>0</v>
      </c>
      <c r="Y78" s="1060">
        <f>+K78*SERVEIS!$CN$45</f>
        <v>0</v>
      </c>
      <c r="Z78" s="1060">
        <f>+L78*SERVEIS!$CN$45</f>
        <v>0</v>
      </c>
      <c r="AA78" s="1060">
        <f>+M78*SERVEIS!$CN$45</f>
        <v>0</v>
      </c>
      <c r="AB78" s="1060">
        <f>+N78*SERVEIS!$CN$45</f>
        <v>0</v>
      </c>
    </row>
    <row r="79" spans="1:28" x14ac:dyDescent="0.3">
      <c r="A79" s="920">
        <f t="shared" si="11"/>
        <v>270</v>
      </c>
      <c r="B79" s="1043">
        <f>TRESORERIA!M$90</f>
        <v>0</v>
      </c>
      <c r="C79" s="29">
        <f>$F2*$B13</f>
        <v>0</v>
      </c>
      <c r="D79" s="29">
        <f>$G2*$B13</f>
        <v>0</v>
      </c>
      <c r="E79" s="29">
        <f>$H2*$B13</f>
        <v>0</v>
      </c>
      <c r="F79" s="29">
        <f>$I2*$B13</f>
        <v>0</v>
      </c>
      <c r="G79" s="29">
        <f>$J2*$B13</f>
        <v>0</v>
      </c>
      <c r="H79" s="29">
        <f>$K2*$B13</f>
        <v>0</v>
      </c>
      <c r="I79" s="29">
        <f>$L2*$B13</f>
        <v>0</v>
      </c>
      <c r="J79" s="29">
        <f>$M2*$B13</f>
        <v>0</v>
      </c>
      <c r="K79" s="29">
        <f>$N2*$B13</f>
        <v>0</v>
      </c>
      <c r="L79" s="29">
        <f>$C68*$B79</f>
        <v>0</v>
      </c>
      <c r="M79" s="1040">
        <f>$D68*$B79</f>
        <v>0</v>
      </c>
      <c r="N79" s="29">
        <f>$E68*$B79</f>
        <v>0</v>
      </c>
      <c r="O79" s="1044"/>
      <c r="Q79" s="1061">
        <f>+C79*SERVEIS!$CN$25</f>
        <v>0</v>
      </c>
      <c r="R79" s="1061">
        <f>+D79*SERVEIS!$CN$25</f>
        <v>0</v>
      </c>
      <c r="S79" s="1061">
        <f>+E79*SERVEIS!$CN$25</f>
        <v>0</v>
      </c>
      <c r="T79" s="1061">
        <f>+F79*SERVEIS!$CN$25</f>
        <v>0</v>
      </c>
      <c r="U79" s="1061">
        <f>+G79*SERVEIS!$CN$25</f>
        <v>0</v>
      </c>
      <c r="V79" s="1061">
        <f>+H79*SERVEIS!$CN$25</f>
        <v>0</v>
      </c>
      <c r="W79" s="1061">
        <f>+I79*SERVEIS!$CN$25</f>
        <v>0</v>
      </c>
      <c r="X79" s="1061">
        <f>+J79*SERVEIS!$CN$25</f>
        <v>0</v>
      </c>
      <c r="Y79" s="1061">
        <f>+K79*SERVEIS!$CN$25</f>
        <v>0</v>
      </c>
      <c r="Z79" s="1060">
        <f>+L79*SERVEIS!$CN$45</f>
        <v>0</v>
      </c>
      <c r="AA79" s="1060">
        <f>+M79*SERVEIS!$CN$45</f>
        <v>0</v>
      </c>
      <c r="AB79" s="1060">
        <f>+N79*SERVEIS!$CN$45</f>
        <v>0</v>
      </c>
    </row>
    <row r="80" spans="1:28" x14ac:dyDescent="0.3">
      <c r="A80" s="920">
        <f t="shared" si="11"/>
        <v>300</v>
      </c>
      <c r="B80" s="1043">
        <f>TRESORERIA!N$90</f>
        <v>0</v>
      </c>
      <c r="C80" s="29">
        <f>$E2*$B14</f>
        <v>0</v>
      </c>
      <c r="D80" s="29">
        <f>$F2*$B14</f>
        <v>0</v>
      </c>
      <c r="E80" s="29">
        <f>$G2*$B14</f>
        <v>0</v>
      </c>
      <c r="F80" s="29">
        <f>$H2*$B14</f>
        <v>0</v>
      </c>
      <c r="G80" s="29">
        <f>$I2*$B14</f>
        <v>0</v>
      </c>
      <c r="H80" s="29">
        <f>$J2*$B14</f>
        <v>0</v>
      </c>
      <c r="I80" s="29">
        <f>$K2*$B14</f>
        <v>0</v>
      </c>
      <c r="J80" s="29">
        <f>$L2*$B14</f>
        <v>0</v>
      </c>
      <c r="K80" s="29">
        <f>$M2*$B14</f>
        <v>0</v>
      </c>
      <c r="L80" s="29">
        <f>$N2*$B14</f>
        <v>0</v>
      </c>
      <c r="M80" s="1040">
        <f>$C68*$B80</f>
        <v>0</v>
      </c>
      <c r="N80" s="29">
        <f>$D68*$B80</f>
        <v>0</v>
      </c>
      <c r="O80" s="1044"/>
      <c r="Q80" s="1061">
        <f>+C80*SERVEIS!$CN$25</f>
        <v>0</v>
      </c>
      <c r="R80" s="1061">
        <f>+D80*SERVEIS!$CN$25</f>
        <v>0</v>
      </c>
      <c r="S80" s="1061">
        <f>+E80*SERVEIS!$CN$25</f>
        <v>0</v>
      </c>
      <c r="T80" s="1061">
        <f>+F80*SERVEIS!$CN$25</f>
        <v>0</v>
      </c>
      <c r="U80" s="1061">
        <f>+G80*SERVEIS!$CN$25</f>
        <v>0</v>
      </c>
      <c r="V80" s="1061">
        <f>+H80*SERVEIS!$CN$25</f>
        <v>0</v>
      </c>
      <c r="W80" s="1061">
        <f>+I80*SERVEIS!$CN$25</f>
        <v>0</v>
      </c>
      <c r="X80" s="1061">
        <f>+J80*SERVEIS!$CN$25</f>
        <v>0</v>
      </c>
      <c r="Y80" s="1061">
        <f>+K80*SERVEIS!$CN$25</f>
        <v>0</v>
      </c>
      <c r="Z80" s="1061">
        <f>+L80*SERVEIS!$CN$25</f>
        <v>0</v>
      </c>
      <c r="AA80" s="1060">
        <f>+M80*SERVEIS!$CN$45</f>
        <v>0</v>
      </c>
      <c r="AB80" s="1060">
        <f>+N80*SERVEIS!$CN$45</f>
        <v>0</v>
      </c>
    </row>
    <row r="81" spans="1:28" x14ac:dyDescent="0.3">
      <c r="A81" s="920">
        <f>A80+30</f>
        <v>330</v>
      </c>
      <c r="B81" s="1043">
        <f>TRESORERIA!O$90</f>
        <v>0</v>
      </c>
      <c r="C81" s="29">
        <f>$D2*$B15</f>
        <v>0</v>
      </c>
      <c r="D81" s="29">
        <f>$E2*$B15</f>
        <v>0</v>
      </c>
      <c r="E81" s="29">
        <f>$F2*$B15</f>
        <v>0</v>
      </c>
      <c r="F81" s="29">
        <f>$G2*$B15</f>
        <v>0</v>
      </c>
      <c r="G81" s="29">
        <f>$H2*$B15</f>
        <v>0</v>
      </c>
      <c r="H81" s="29">
        <f>$I2*$B15</f>
        <v>0</v>
      </c>
      <c r="I81" s="29">
        <f>$J2*$B15</f>
        <v>0</v>
      </c>
      <c r="J81" s="29">
        <f>$K2*$B15</f>
        <v>0</v>
      </c>
      <c r="K81" s="29">
        <f>$L2*$B15</f>
        <v>0</v>
      </c>
      <c r="L81" s="29">
        <f>$M2*$B15</f>
        <v>0</v>
      </c>
      <c r="M81" s="1040">
        <f>$N2*$B15</f>
        <v>0</v>
      </c>
      <c r="N81" s="29">
        <f>$C68*$B81</f>
        <v>0</v>
      </c>
      <c r="O81" s="1044"/>
      <c r="Q81" s="1061">
        <f>+C81*SERVEIS!$CN$25</f>
        <v>0</v>
      </c>
      <c r="R81" s="1061">
        <f>+D81*SERVEIS!$CN$25</f>
        <v>0</v>
      </c>
      <c r="S81" s="1061">
        <f>+E81*SERVEIS!$CN$25</f>
        <v>0</v>
      </c>
      <c r="T81" s="1061">
        <f>+F81*SERVEIS!$CN$25</f>
        <v>0</v>
      </c>
      <c r="U81" s="1061">
        <f>+G81*SERVEIS!$CN$25</f>
        <v>0</v>
      </c>
      <c r="V81" s="1061">
        <f>+H81*SERVEIS!$CN$25</f>
        <v>0</v>
      </c>
      <c r="W81" s="1061">
        <f>+I81*SERVEIS!$CN$25</f>
        <v>0</v>
      </c>
      <c r="X81" s="1061">
        <f>+J81*SERVEIS!$CN$25</f>
        <v>0</v>
      </c>
      <c r="Y81" s="1061">
        <f>+K81*SERVEIS!$CN$25</f>
        <v>0</v>
      </c>
      <c r="Z81" s="1061">
        <f>+L81*SERVEIS!$CN$25</f>
        <v>0</v>
      </c>
      <c r="AA81" s="1061">
        <f>+M81*SERVEIS!$CN$25</f>
        <v>0</v>
      </c>
      <c r="AB81" s="1060">
        <f>+N81*SERVEIS!$CN$45</f>
        <v>0</v>
      </c>
    </row>
    <row r="82" spans="1:28" x14ac:dyDescent="0.3">
      <c r="A82" s="1045" t="s">
        <v>342</v>
      </c>
      <c r="B82" s="1043">
        <f t="shared" ref="B82:N82" si="12">SUM(B70:B81)</f>
        <v>1</v>
      </c>
      <c r="C82" s="29">
        <f t="shared" si="12"/>
        <v>0</v>
      </c>
      <c r="D82" s="29">
        <f t="shared" si="12"/>
        <v>0</v>
      </c>
      <c r="E82" s="29">
        <f t="shared" si="12"/>
        <v>0</v>
      </c>
      <c r="F82" s="29">
        <f t="shared" si="12"/>
        <v>0</v>
      </c>
      <c r="G82" s="29">
        <f t="shared" si="12"/>
        <v>0</v>
      </c>
      <c r="H82" s="29">
        <f t="shared" si="12"/>
        <v>0</v>
      </c>
      <c r="I82" s="29">
        <f t="shared" si="12"/>
        <v>0</v>
      </c>
      <c r="J82" s="29">
        <f t="shared" si="12"/>
        <v>0</v>
      </c>
      <c r="K82" s="29">
        <f t="shared" si="12"/>
        <v>0</v>
      </c>
      <c r="L82" s="29">
        <f t="shared" si="12"/>
        <v>0</v>
      </c>
      <c r="M82" s="1040">
        <f t="shared" si="12"/>
        <v>0</v>
      </c>
      <c r="N82" s="29">
        <f t="shared" si="12"/>
        <v>0</v>
      </c>
      <c r="O82" s="1046"/>
      <c r="Q82" s="1062">
        <f>SUM(Q70:Q81)</f>
        <v>0</v>
      </c>
      <c r="R82" s="1062">
        <f t="shared" ref="R82:AB82" si="13">SUM(R70:R81)</f>
        <v>0</v>
      </c>
      <c r="S82" s="1062">
        <f t="shared" si="13"/>
        <v>0</v>
      </c>
      <c r="T82" s="1062">
        <f t="shared" si="13"/>
        <v>0</v>
      </c>
      <c r="U82" s="1062">
        <f t="shared" si="13"/>
        <v>0</v>
      </c>
      <c r="V82" s="1062">
        <f t="shared" si="13"/>
        <v>0</v>
      </c>
      <c r="W82" s="1062">
        <f t="shared" si="13"/>
        <v>0</v>
      </c>
      <c r="X82" s="1062">
        <f t="shared" si="13"/>
        <v>0</v>
      </c>
      <c r="Y82" s="1062">
        <f t="shared" si="13"/>
        <v>0</v>
      </c>
      <c r="Z82" s="1062">
        <f t="shared" si="13"/>
        <v>0</v>
      </c>
      <c r="AA82" s="1062">
        <f t="shared" si="13"/>
        <v>0</v>
      </c>
      <c r="AB82" s="1062">
        <f t="shared" si="13"/>
        <v>0</v>
      </c>
    </row>
    <row r="83" spans="1:28" x14ac:dyDescent="0.3">
      <c r="A83" s="1867" t="s">
        <v>343</v>
      </c>
      <c r="B83" s="1867"/>
      <c r="C83" s="799">
        <f>SERVEIS!CB42</f>
        <v>0</v>
      </c>
      <c r="D83" s="799">
        <f>SERVEIS!CC42</f>
        <v>0</v>
      </c>
      <c r="E83" s="799">
        <f>SERVEIS!CD42</f>
        <v>0</v>
      </c>
      <c r="F83" s="799">
        <f>SERVEIS!CE42</f>
        <v>0</v>
      </c>
      <c r="G83" s="799">
        <f>SERVEIS!CF42</f>
        <v>0</v>
      </c>
      <c r="H83" s="799">
        <f>SERVEIS!CG42</f>
        <v>0</v>
      </c>
      <c r="I83" s="799">
        <f>SERVEIS!CH42</f>
        <v>0</v>
      </c>
      <c r="J83" s="799">
        <f>SERVEIS!CI42</f>
        <v>0</v>
      </c>
      <c r="K83" s="799">
        <f>SERVEIS!CJ42</f>
        <v>0</v>
      </c>
      <c r="L83" s="799">
        <f>SERVEIS!CK42</f>
        <v>0</v>
      </c>
      <c r="M83" s="1047">
        <f>SERVEIS!CL42</f>
        <v>0</v>
      </c>
      <c r="N83" s="799">
        <f>SERVEIS!CM42</f>
        <v>0</v>
      </c>
      <c r="O83" s="1041">
        <f>SUM(C83:N83)</f>
        <v>0</v>
      </c>
      <c r="Q83" s="7"/>
      <c r="U83" s="7"/>
      <c r="V83" s="7"/>
      <c r="W83" s="7"/>
      <c r="X83" s="7"/>
      <c r="Y83" s="7"/>
      <c r="Z83" s="7"/>
      <c r="AA83" s="7"/>
      <c r="AB83" s="7"/>
    </row>
    <row r="84" spans="1:28" x14ac:dyDescent="0.3">
      <c r="A84" s="1867" t="s">
        <v>341</v>
      </c>
      <c r="B84" s="1867"/>
      <c r="C84" s="799"/>
      <c r="D84" s="799"/>
      <c r="E84" s="799"/>
      <c r="F84" s="799"/>
      <c r="G84" s="799"/>
      <c r="H84" s="799"/>
      <c r="I84" s="799"/>
      <c r="J84" s="799"/>
      <c r="K84" s="799"/>
      <c r="L84" s="799"/>
      <c r="M84" s="1047"/>
      <c r="N84" s="799"/>
      <c r="O84" s="1042"/>
      <c r="Q84" s="794" t="str">
        <f t="shared" ref="Q84:AB84" si="14">+C67</f>
        <v>GENER</v>
      </c>
      <c r="R84" s="794" t="str">
        <f t="shared" si="14"/>
        <v>FEBRER</v>
      </c>
      <c r="S84" s="794" t="str">
        <f t="shared" si="14"/>
        <v>MARÇ</v>
      </c>
      <c r="T84" s="794" t="str">
        <f t="shared" si="14"/>
        <v>ABRIL</v>
      </c>
      <c r="U84" s="794" t="str">
        <f t="shared" si="14"/>
        <v>MAIG</v>
      </c>
      <c r="V84" s="794" t="str">
        <f t="shared" si="14"/>
        <v>JUNY</v>
      </c>
      <c r="W84" s="794" t="str">
        <f t="shared" si="14"/>
        <v>JULIOL</v>
      </c>
      <c r="X84" s="794" t="str">
        <f t="shared" si="14"/>
        <v>AGOST</v>
      </c>
      <c r="Y84" s="794" t="str">
        <f t="shared" si="14"/>
        <v>SETEMBRE</v>
      </c>
      <c r="Z84" s="794" t="str">
        <f t="shared" si="14"/>
        <v>OCTUBRE</v>
      </c>
      <c r="AA84" s="794" t="str">
        <f t="shared" si="14"/>
        <v>NOVEMBRE</v>
      </c>
      <c r="AB84" s="794" t="str">
        <f t="shared" si="14"/>
        <v>DESEMBRE</v>
      </c>
    </row>
    <row r="85" spans="1:28" x14ac:dyDescent="0.3">
      <c r="A85" s="633">
        <v>0</v>
      </c>
      <c r="B85" s="72">
        <f>TRESORERIA!D$91</f>
        <v>1</v>
      </c>
      <c r="C85" s="799">
        <f>$C83*$B85</f>
        <v>0</v>
      </c>
      <c r="D85" s="799">
        <f>$D83*$B85</f>
        <v>0</v>
      </c>
      <c r="E85" s="799">
        <f>$E83*$B85</f>
        <v>0</v>
      </c>
      <c r="F85" s="799">
        <f>$F83*$B85</f>
        <v>0</v>
      </c>
      <c r="G85" s="799">
        <f>$G83*$B85</f>
        <v>0</v>
      </c>
      <c r="H85" s="799">
        <f>$H83*$B85</f>
        <v>0</v>
      </c>
      <c r="I85" s="799">
        <f>$I83*$B85</f>
        <v>0</v>
      </c>
      <c r="J85" s="799">
        <f>$J83*$B85</f>
        <v>0</v>
      </c>
      <c r="K85" s="799">
        <f>$K83*$B85</f>
        <v>0</v>
      </c>
      <c r="L85" s="799">
        <f>$L83*$B85</f>
        <v>0</v>
      </c>
      <c r="M85" s="1047">
        <f>$M83*$B85</f>
        <v>0</v>
      </c>
      <c r="N85" s="799">
        <f>$N83*$B85</f>
        <v>0</v>
      </c>
      <c r="O85" s="1044"/>
      <c r="Q85" s="1060">
        <f>+C85*SERVEIS!$CN$45</f>
        <v>0</v>
      </c>
      <c r="R85" s="1060">
        <f>+D85*SERVEIS!$CN$45</f>
        <v>0</v>
      </c>
      <c r="S85" s="1060">
        <f>+E85*SERVEIS!$CN$45</f>
        <v>0</v>
      </c>
      <c r="T85" s="1060">
        <f>+F85*SERVEIS!$CN$45</f>
        <v>0</v>
      </c>
      <c r="U85" s="1060">
        <f>+G85*SERVEIS!$CN$45</f>
        <v>0</v>
      </c>
      <c r="V85" s="1060">
        <f>+H85*SERVEIS!$CN$45</f>
        <v>0</v>
      </c>
      <c r="W85" s="1060">
        <f>+I85*SERVEIS!$CN$45</f>
        <v>0</v>
      </c>
      <c r="X85" s="1060">
        <f>+J85*SERVEIS!$CN$45</f>
        <v>0</v>
      </c>
      <c r="Y85" s="1060">
        <f>+K85*SERVEIS!$CN$45</f>
        <v>0</v>
      </c>
      <c r="Z85" s="1060">
        <f>+L85*SERVEIS!$CN$45</f>
        <v>0</v>
      </c>
      <c r="AA85" s="1060">
        <f>+M85*SERVEIS!$CN$45</f>
        <v>0</v>
      </c>
      <c r="AB85" s="1060">
        <f>+N85*SERVEIS!$CN$45</f>
        <v>0</v>
      </c>
    </row>
    <row r="86" spans="1:28" x14ac:dyDescent="0.3">
      <c r="A86" s="633">
        <f>A85+30</f>
        <v>30</v>
      </c>
      <c r="B86" s="72">
        <f>TRESORERIA!E$91</f>
        <v>0</v>
      </c>
      <c r="C86" s="799">
        <f>$N17*$B20</f>
        <v>0</v>
      </c>
      <c r="D86" s="799">
        <f>$C83*$B86</f>
        <v>0</v>
      </c>
      <c r="E86" s="799">
        <f>$D83*$B86</f>
        <v>0</v>
      </c>
      <c r="F86" s="799">
        <f>$E83*$B86</f>
        <v>0</v>
      </c>
      <c r="G86" s="799">
        <f>$F83*$B86</f>
        <v>0</v>
      </c>
      <c r="H86" s="799">
        <f>$G83*$B86</f>
        <v>0</v>
      </c>
      <c r="I86" s="799">
        <f>$H83*$B86</f>
        <v>0</v>
      </c>
      <c r="J86" s="799">
        <f>$I83*$B86</f>
        <v>0</v>
      </c>
      <c r="K86" s="799">
        <f>$J83*$B86</f>
        <v>0</v>
      </c>
      <c r="L86" s="799">
        <f>$K83*$B86</f>
        <v>0</v>
      </c>
      <c r="M86" s="1047">
        <f>$L83*$B86</f>
        <v>0</v>
      </c>
      <c r="N86" s="799">
        <f>$M83*$B86</f>
        <v>0</v>
      </c>
      <c r="O86" s="1044"/>
      <c r="Q86" s="1061">
        <f>+C86*SERVEIS!$CN$25</f>
        <v>0</v>
      </c>
      <c r="R86" s="1060">
        <f>+D86*SERVEIS!$CN$45</f>
        <v>0</v>
      </c>
      <c r="S86" s="1060">
        <f>+E86*SERVEIS!$CN$45</f>
        <v>0</v>
      </c>
      <c r="T86" s="1060">
        <f>+F86*SERVEIS!$CN$45</f>
        <v>0</v>
      </c>
      <c r="U86" s="1060">
        <f>+G86*SERVEIS!$CN$45</f>
        <v>0</v>
      </c>
      <c r="V86" s="1060">
        <f>+H86*SERVEIS!$CN$45</f>
        <v>0</v>
      </c>
      <c r="W86" s="1060">
        <f>+I86*SERVEIS!$CN$45</f>
        <v>0</v>
      </c>
      <c r="X86" s="1060">
        <f>+J86*SERVEIS!$CN$45</f>
        <v>0</v>
      </c>
      <c r="Y86" s="1060">
        <f>+K86*SERVEIS!$CN$45</f>
        <v>0</v>
      </c>
      <c r="Z86" s="1060">
        <f>+L86*SERVEIS!$CN$45</f>
        <v>0</v>
      </c>
      <c r="AA86" s="1060">
        <f>+M86*SERVEIS!$CN$45</f>
        <v>0</v>
      </c>
      <c r="AB86" s="1060">
        <f>+N86*SERVEIS!$CN$45</f>
        <v>0</v>
      </c>
    </row>
    <row r="87" spans="1:28" x14ac:dyDescent="0.3">
      <c r="A87" s="633">
        <f t="shared" ref="A87:A95" si="15">A86+30</f>
        <v>60</v>
      </c>
      <c r="B87" s="72">
        <f>TRESORERIA!F$91</f>
        <v>0</v>
      </c>
      <c r="C87" s="799">
        <f>$M17*$B21</f>
        <v>0</v>
      </c>
      <c r="D87" s="799">
        <f>$N17*$B21</f>
        <v>0</v>
      </c>
      <c r="E87" s="799">
        <f>$C83*$B87</f>
        <v>0</v>
      </c>
      <c r="F87" s="799">
        <f>$D83*$B87</f>
        <v>0</v>
      </c>
      <c r="G87" s="799">
        <f>$E83*$B87</f>
        <v>0</v>
      </c>
      <c r="H87" s="799">
        <f>$F83*$B87</f>
        <v>0</v>
      </c>
      <c r="I87" s="799">
        <f>$G83*$B87</f>
        <v>0</v>
      </c>
      <c r="J87" s="799">
        <f>$H83*$B87</f>
        <v>0</v>
      </c>
      <c r="K87" s="799">
        <f>$I83*$B87</f>
        <v>0</v>
      </c>
      <c r="L87" s="799">
        <f>$J83*$B87</f>
        <v>0</v>
      </c>
      <c r="M87" s="1047">
        <f>$K83*$B87</f>
        <v>0</v>
      </c>
      <c r="N87" s="799">
        <f>$L83*$B87</f>
        <v>0</v>
      </c>
      <c r="O87" s="1044"/>
      <c r="Q87" s="1061">
        <f>+C87*SERVEIS!$CN$25</f>
        <v>0</v>
      </c>
      <c r="R87" s="1061">
        <f>+D87*SERVEIS!$CN$25</f>
        <v>0</v>
      </c>
      <c r="S87" s="1060">
        <f>+E87*SERVEIS!$CN$45</f>
        <v>0</v>
      </c>
      <c r="T87" s="1060">
        <f>+F87*SERVEIS!$CN$45</f>
        <v>0</v>
      </c>
      <c r="U87" s="1060">
        <f>+G87*SERVEIS!$CN$45</f>
        <v>0</v>
      </c>
      <c r="V87" s="1060">
        <f>+H87*SERVEIS!$CN$45</f>
        <v>0</v>
      </c>
      <c r="W87" s="1060">
        <f>+I87*SERVEIS!$CN$45</f>
        <v>0</v>
      </c>
      <c r="X87" s="1060">
        <f>+J87*SERVEIS!$CN$45</f>
        <v>0</v>
      </c>
      <c r="Y87" s="1060">
        <f>+K87*SERVEIS!$CN$45</f>
        <v>0</v>
      </c>
      <c r="Z87" s="1060">
        <f>+L87*SERVEIS!$CN$45</f>
        <v>0</v>
      </c>
      <c r="AA87" s="1060">
        <f>+M87*SERVEIS!$CN$45</f>
        <v>0</v>
      </c>
      <c r="AB87" s="1060">
        <f>+N87*SERVEIS!$CN$45</f>
        <v>0</v>
      </c>
    </row>
    <row r="88" spans="1:28" x14ac:dyDescent="0.3">
      <c r="A88" s="633">
        <f t="shared" si="15"/>
        <v>90</v>
      </c>
      <c r="B88" s="72">
        <f>TRESORERIA!G$91</f>
        <v>0</v>
      </c>
      <c r="C88" s="799">
        <f>$L17*$B22</f>
        <v>0</v>
      </c>
      <c r="D88" s="799">
        <f>$M17*$B22</f>
        <v>0</v>
      </c>
      <c r="E88" s="799">
        <f>$N17*$B22</f>
        <v>0</v>
      </c>
      <c r="F88" s="799">
        <f>$C83*$B88</f>
        <v>0</v>
      </c>
      <c r="G88" s="799">
        <f>$D83*$B88</f>
        <v>0</v>
      </c>
      <c r="H88" s="799">
        <f>$E83*$B88</f>
        <v>0</v>
      </c>
      <c r="I88" s="799">
        <f>$F83*$B88</f>
        <v>0</v>
      </c>
      <c r="J88" s="799">
        <f>$G83*$B88</f>
        <v>0</v>
      </c>
      <c r="K88" s="799">
        <f>$H83*$B88</f>
        <v>0</v>
      </c>
      <c r="L88" s="799">
        <f>$I83*$B88</f>
        <v>0</v>
      </c>
      <c r="M88" s="1047">
        <f>$J83*$B88</f>
        <v>0</v>
      </c>
      <c r="N88" s="799">
        <f>$K83*$B88</f>
        <v>0</v>
      </c>
      <c r="O88" s="1044"/>
      <c r="Q88" s="1061">
        <f>+C88*SERVEIS!$CN$25</f>
        <v>0</v>
      </c>
      <c r="R88" s="1061">
        <f>+D88*SERVEIS!$CN$25</f>
        <v>0</v>
      </c>
      <c r="S88" s="1061">
        <f>+E88*SERVEIS!$CN$25</f>
        <v>0</v>
      </c>
      <c r="T88" s="1060">
        <f>+F88*SERVEIS!$CN$45</f>
        <v>0</v>
      </c>
      <c r="U88" s="1060">
        <f>+G88*SERVEIS!$CN$45</f>
        <v>0</v>
      </c>
      <c r="V88" s="1060">
        <f>+H88*SERVEIS!$CN$45</f>
        <v>0</v>
      </c>
      <c r="W88" s="1060">
        <f>+I88*SERVEIS!$CN$45</f>
        <v>0</v>
      </c>
      <c r="X88" s="1060">
        <f>+J88*SERVEIS!$CN$45</f>
        <v>0</v>
      </c>
      <c r="Y88" s="1060">
        <f>+K88*SERVEIS!$CN$45</f>
        <v>0</v>
      </c>
      <c r="Z88" s="1060">
        <f>+L88*SERVEIS!$CN$45</f>
        <v>0</v>
      </c>
      <c r="AA88" s="1060">
        <f>+M88*SERVEIS!$CN$45</f>
        <v>0</v>
      </c>
      <c r="AB88" s="1060">
        <f>+N88*SERVEIS!$CN$45</f>
        <v>0</v>
      </c>
    </row>
    <row r="89" spans="1:28" x14ac:dyDescent="0.3">
      <c r="A89" s="633">
        <f t="shared" si="15"/>
        <v>120</v>
      </c>
      <c r="B89" s="72">
        <f>TRESORERIA!H$91</f>
        <v>0</v>
      </c>
      <c r="C89" s="799">
        <f>$K17*$B23</f>
        <v>0</v>
      </c>
      <c r="D89" s="799">
        <f>$L17*$B23</f>
        <v>0</v>
      </c>
      <c r="E89" s="799">
        <f>$M17*$B23</f>
        <v>0</v>
      </c>
      <c r="F89" s="799">
        <f>$N17*$B23</f>
        <v>0</v>
      </c>
      <c r="G89" s="799">
        <f>$C83*$B89</f>
        <v>0</v>
      </c>
      <c r="H89" s="799">
        <f>$D83*$B89</f>
        <v>0</v>
      </c>
      <c r="I89" s="799">
        <f>$E83*$B89</f>
        <v>0</v>
      </c>
      <c r="J89" s="799">
        <f>$F83*$B89</f>
        <v>0</v>
      </c>
      <c r="K89" s="799">
        <f>$G83*$B89</f>
        <v>0</v>
      </c>
      <c r="L89" s="799">
        <f>$H83*$B89</f>
        <v>0</v>
      </c>
      <c r="M89" s="1047">
        <f>$I83*$B89</f>
        <v>0</v>
      </c>
      <c r="N89" s="799">
        <f>$J83*$B89</f>
        <v>0</v>
      </c>
      <c r="O89" s="1044"/>
      <c r="Q89" s="1061">
        <f>+C89*SERVEIS!$CN$25</f>
        <v>0</v>
      </c>
      <c r="R89" s="1061">
        <f>+D89*SERVEIS!$CN$25</f>
        <v>0</v>
      </c>
      <c r="S89" s="1061">
        <f>+E89*SERVEIS!$CN$25</f>
        <v>0</v>
      </c>
      <c r="T89" s="1061">
        <f>+F89*SERVEIS!$CN$25</f>
        <v>0</v>
      </c>
      <c r="U89" s="1060">
        <f>+G89*SERVEIS!$CN$45</f>
        <v>0</v>
      </c>
      <c r="V89" s="1060">
        <f>+H89*SERVEIS!$CN$45</f>
        <v>0</v>
      </c>
      <c r="W89" s="1060">
        <f>+I89*SERVEIS!$CN$45</f>
        <v>0</v>
      </c>
      <c r="X89" s="1060">
        <f>+J89*SERVEIS!$CN$45</f>
        <v>0</v>
      </c>
      <c r="Y89" s="1060">
        <f>+K89*SERVEIS!$CN$45</f>
        <v>0</v>
      </c>
      <c r="Z89" s="1060">
        <f>+L89*SERVEIS!$CN$45</f>
        <v>0</v>
      </c>
      <c r="AA89" s="1060">
        <f>+M89*SERVEIS!$CN$45</f>
        <v>0</v>
      </c>
      <c r="AB89" s="1060">
        <f>+N89*SERVEIS!$CN$45</f>
        <v>0</v>
      </c>
    </row>
    <row r="90" spans="1:28" x14ac:dyDescent="0.3">
      <c r="A90" s="633">
        <f t="shared" si="15"/>
        <v>150</v>
      </c>
      <c r="B90" s="72">
        <f>TRESORERIA!I$91</f>
        <v>0</v>
      </c>
      <c r="C90" s="799">
        <f>$J17*$B24</f>
        <v>0</v>
      </c>
      <c r="D90" s="799">
        <f>$K17*$B24</f>
        <v>0</v>
      </c>
      <c r="E90" s="799">
        <f>$L17*$B24</f>
        <v>0</v>
      </c>
      <c r="F90" s="799">
        <f>$M17*$B24</f>
        <v>0</v>
      </c>
      <c r="G90" s="799">
        <f>$N17*$B24</f>
        <v>0</v>
      </c>
      <c r="H90" s="799">
        <f>$C83*$B90</f>
        <v>0</v>
      </c>
      <c r="I90" s="799">
        <f>$D83*$B90</f>
        <v>0</v>
      </c>
      <c r="J90" s="799">
        <f>$E83*$B90</f>
        <v>0</v>
      </c>
      <c r="K90" s="799">
        <f>$F83*$B90</f>
        <v>0</v>
      </c>
      <c r="L90" s="799">
        <f>$G83*$B90</f>
        <v>0</v>
      </c>
      <c r="M90" s="1047">
        <f>$H83*$B90</f>
        <v>0</v>
      </c>
      <c r="N90" s="799">
        <f>$I83*$B90</f>
        <v>0</v>
      </c>
      <c r="O90" s="1044"/>
      <c r="Q90" s="1061">
        <f>+C90*SERVEIS!$CN$25</f>
        <v>0</v>
      </c>
      <c r="R90" s="1061">
        <f>+D90*SERVEIS!$CN$25</f>
        <v>0</v>
      </c>
      <c r="S90" s="1061">
        <f>+E90*SERVEIS!$CN$25</f>
        <v>0</v>
      </c>
      <c r="T90" s="1061">
        <f>+F90*SERVEIS!$CN$25</f>
        <v>0</v>
      </c>
      <c r="U90" s="1061">
        <f>+G90*SERVEIS!$CN$25</f>
        <v>0</v>
      </c>
      <c r="V90" s="1060">
        <f>+H90*SERVEIS!$CN$45</f>
        <v>0</v>
      </c>
      <c r="W90" s="1060">
        <f>+I90*SERVEIS!$CN$45</f>
        <v>0</v>
      </c>
      <c r="X90" s="1060">
        <f>+J90*SERVEIS!$CN$45</f>
        <v>0</v>
      </c>
      <c r="Y90" s="1060">
        <f>+K90*SERVEIS!$CN$45</f>
        <v>0</v>
      </c>
      <c r="Z90" s="1060">
        <f>+L90*SERVEIS!$CN$45</f>
        <v>0</v>
      </c>
      <c r="AA90" s="1060">
        <f>+M90*SERVEIS!$CN$45</f>
        <v>0</v>
      </c>
      <c r="AB90" s="1060">
        <f>+N90*SERVEIS!$CN$45</f>
        <v>0</v>
      </c>
    </row>
    <row r="91" spans="1:28" x14ac:dyDescent="0.3">
      <c r="A91" s="633">
        <f t="shared" si="15"/>
        <v>180</v>
      </c>
      <c r="B91" s="72">
        <f>TRESORERIA!J$91</f>
        <v>0</v>
      </c>
      <c r="C91" s="799">
        <f>$I17*$B25</f>
        <v>0</v>
      </c>
      <c r="D91" s="799">
        <f>$J17*$B25</f>
        <v>0</v>
      </c>
      <c r="E91" s="799">
        <f>$K17*$B25</f>
        <v>0</v>
      </c>
      <c r="F91" s="799">
        <f>$L17*$B25</f>
        <v>0</v>
      </c>
      <c r="G91" s="799">
        <f>$M17*$B25</f>
        <v>0</v>
      </c>
      <c r="H91" s="799">
        <f>$N17*$B25</f>
        <v>0</v>
      </c>
      <c r="I91" s="799">
        <f>$C83*$B91</f>
        <v>0</v>
      </c>
      <c r="J91" s="799">
        <f>$D83*$B91</f>
        <v>0</v>
      </c>
      <c r="K91" s="799">
        <f>$E83*$B91</f>
        <v>0</v>
      </c>
      <c r="L91" s="799">
        <f>$F83*$B91</f>
        <v>0</v>
      </c>
      <c r="M91" s="1047">
        <f>$G83*$B91</f>
        <v>0</v>
      </c>
      <c r="N91" s="799">
        <f>$H83*$B91</f>
        <v>0</v>
      </c>
      <c r="O91" s="1044"/>
      <c r="Q91" s="1061">
        <f>+C91*SERVEIS!$CN$25</f>
        <v>0</v>
      </c>
      <c r="R91" s="1061">
        <f>+D91*SERVEIS!$CN$25</f>
        <v>0</v>
      </c>
      <c r="S91" s="1061">
        <f>+E91*SERVEIS!$CN$25</f>
        <v>0</v>
      </c>
      <c r="T91" s="1061">
        <f>+F91*SERVEIS!$CN$25</f>
        <v>0</v>
      </c>
      <c r="U91" s="1061">
        <f>+G91*SERVEIS!$CN$25</f>
        <v>0</v>
      </c>
      <c r="V91" s="1061">
        <f>+H91*SERVEIS!$CN$25</f>
        <v>0</v>
      </c>
      <c r="W91" s="1060">
        <f>+I91*SERVEIS!$CN$45</f>
        <v>0</v>
      </c>
      <c r="X91" s="1060">
        <f>+J91*SERVEIS!$CN$45</f>
        <v>0</v>
      </c>
      <c r="Y91" s="1060">
        <f>+K91*SERVEIS!$CN$45</f>
        <v>0</v>
      </c>
      <c r="Z91" s="1060">
        <f>+L91*SERVEIS!$CN$45</f>
        <v>0</v>
      </c>
      <c r="AA91" s="1060">
        <f>+M91*SERVEIS!$CN$45</f>
        <v>0</v>
      </c>
      <c r="AB91" s="1060">
        <f>+N91*SERVEIS!$CN$45</f>
        <v>0</v>
      </c>
    </row>
    <row r="92" spans="1:28" x14ac:dyDescent="0.3">
      <c r="A92" s="633">
        <f t="shared" si="15"/>
        <v>210</v>
      </c>
      <c r="B92" s="72">
        <f>TRESORERIA!K$91</f>
        <v>0</v>
      </c>
      <c r="C92" s="799">
        <f>$H17*$B26</f>
        <v>0</v>
      </c>
      <c r="D92" s="799">
        <f>$I17*$B26</f>
        <v>0</v>
      </c>
      <c r="E92" s="799">
        <f>$J17*$B26</f>
        <v>0</v>
      </c>
      <c r="F92" s="799">
        <f>$K17*$B26</f>
        <v>0</v>
      </c>
      <c r="G92" s="799">
        <f>$L17*$B26</f>
        <v>0</v>
      </c>
      <c r="H92" s="799">
        <f>$M17*$B26</f>
        <v>0</v>
      </c>
      <c r="I92" s="799">
        <f>$N17*$B26</f>
        <v>0</v>
      </c>
      <c r="J92" s="799">
        <f>$C83*$B92</f>
        <v>0</v>
      </c>
      <c r="K92" s="799">
        <f>$D83*$B92</f>
        <v>0</v>
      </c>
      <c r="L92" s="799">
        <f>$E83*$B92</f>
        <v>0</v>
      </c>
      <c r="M92" s="1047">
        <f>$F83*$B92</f>
        <v>0</v>
      </c>
      <c r="N92" s="799">
        <f>$G83*$B92</f>
        <v>0</v>
      </c>
      <c r="O92" s="1044"/>
      <c r="Q92" s="1061">
        <f>+C92*SERVEIS!$CN$25</f>
        <v>0</v>
      </c>
      <c r="R92" s="1061">
        <f>+D92*SERVEIS!$CN$25</f>
        <v>0</v>
      </c>
      <c r="S92" s="1061">
        <f>+E92*SERVEIS!$CN$25</f>
        <v>0</v>
      </c>
      <c r="T92" s="1061">
        <f>+F92*SERVEIS!$CN$25</f>
        <v>0</v>
      </c>
      <c r="U92" s="1061">
        <f>+G92*SERVEIS!$CN$25</f>
        <v>0</v>
      </c>
      <c r="V92" s="1061">
        <f>+H92*SERVEIS!$CN$25</f>
        <v>0</v>
      </c>
      <c r="W92" s="1061">
        <f>+I92*SERVEIS!$CN$25</f>
        <v>0</v>
      </c>
      <c r="X92" s="1060">
        <f>+J92*SERVEIS!$CN$45</f>
        <v>0</v>
      </c>
      <c r="Y92" s="1060">
        <f>+K92*SERVEIS!$CN$45</f>
        <v>0</v>
      </c>
      <c r="Z92" s="1060">
        <f>+L92*SERVEIS!$CN$45</f>
        <v>0</v>
      </c>
      <c r="AA92" s="1060">
        <f>+M92*SERVEIS!$CN$45</f>
        <v>0</v>
      </c>
      <c r="AB92" s="1060">
        <f>+N92*SERVEIS!$CN$45</f>
        <v>0</v>
      </c>
    </row>
    <row r="93" spans="1:28" x14ac:dyDescent="0.3">
      <c r="A93" s="633">
        <f t="shared" si="15"/>
        <v>240</v>
      </c>
      <c r="B93" s="72">
        <f>TRESORERIA!L$91</f>
        <v>0</v>
      </c>
      <c r="C93" s="799">
        <f>$G17*$B27</f>
        <v>0</v>
      </c>
      <c r="D93" s="799">
        <f>$H17*$B27</f>
        <v>0</v>
      </c>
      <c r="E93" s="799">
        <f>$I17*$B27</f>
        <v>0</v>
      </c>
      <c r="F93" s="799">
        <f>$J17*$B27</f>
        <v>0</v>
      </c>
      <c r="G93" s="799">
        <f>$K17*$B27</f>
        <v>0</v>
      </c>
      <c r="H93" s="799">
        <f>$L17*$B27</f>
        <v>0</v>
      </c>
      <c r="I93" s="799">
        <f>$M17*$B27</f>
        <v>0</v>
      </c>
      <c r="J93" s="799">
        <f>$N17*$B27</f>
        <v>0</v>
      </c>
      <c r="K93" s="799">
        <f>$C83*$B93</f>
        <v>0</v>
      </c>
      <c r="L93" s="799">
        <f>$D83*$B93</f>
        <v>0</v>
      </c>
      <c r="M93" s="1047">
        <f>$E83*$B93</f>
        <v>0</v>
      </c>
      <c r="N93" s="799">
        <f>$F83*$B93</f>
        <v>0</v>
      </c>
      <c r="O93" s="1044"/>
      <c r="Q93" s="1061">
        <f>+C93*SERVEIS!$CN$25</f>
        <v>0</v>
      </c>
      <c r="R93" s="1061">
        <f>+D93*SERVEIS!$CN$25</f>
        <v>0</v>
      </c>
      <c r="S93" s="1061">
        <f>+E93*SERVEIS!$CN$25</f>
        <v>0</v>
      </c>
      <c r="T93" s="1061">
        <f>+F93*SERVEIS!$CN$25</f>
        <v>0</v>
      </c>
      <c r="U93" s="1061">
        <f>+G93*SERVEIS!$CN$25</f>
        <v>0</v>
      </c>
      <c r="V93" s="1061">
        <f>+H93*SERVEIS!$CN$25</f>
        <v>0</v>
      </c>
      <c r="W93" s="1061">
        <f>+I93*SERVEIS!$CN$25</f>
        <v>0</v>
      </c>
      <c r="X93" s="1061">
        <f>+J93*SERVEIS!$CN$25</f>
        <v>0</v>
      </c>
      <c r="Y93" s="1060">
        <f>+K93*SERVEIS!$CN$45</f>
        <v>0</v>
      </c>
      <c r="Z93" s="1060">
        <f>+L93*SERVEIS!$CN$45</f>
        <v>0</v>
      </c>
      <c r="AA93" s="1060">
        <f>+M93*SERVEIS!$CN$45</f>
        <v>0</v>
      </c>
      <c r="AB93" s="1060">
        <f>+N93*SERVEIS!$CN$45</f>
        <v>0</v>
      </c>
    </row>
    <row r="94" spans="1:28" x14ac:dyDescent="0.3">
      <c r="A94" s="633">
        <f t="shared" si="15"/>
        <v>270</v>
      </c>
      <c r="B94" s="72">
        <f>TRESORERIA!M$91</f>
        <v>0</v>
      </c>
      <c r="C94" s="799">
        <f>$F17*$B28</f>
        <v>0</v>
      </c>
      <c r="D94" s="799">
        <f>$G17*$B28</f>
        <v>0</v>
      </c>
      <c r="E94" s="799">
        <f>$H17*$B28</f>
        <v>0</v>
      </c>
      <c r="F94" s="799">
        <f>$I17*$B28</f>
        <v>0</v>
      </c>
      <c r="G94" s="799">
        <f>$J17*$B28</f>
        <v>0</v>
      </c>
      <c r="H94" s="799">
        <f>$K17*$B28</f>
        <v>0</v>
      </c>
      <c r="I94" s="799">
        <f>$L17*$B28</f>
        <v>0</v>
      </c>
      <c r="J94" s="799">
        <f>$M17*$B28</f>
        <v>0</v>
      </c>
      <c r="K94" s="799">
        <f>$N17*$B28</f>
        <v>0</v>
      </c>
      <c r="L94" s="799">
        <f>$C83*$B94</f>
        <v>0</v>
      </c>
      <c r="M94" s="1047">
        <f>$D83*$B94</f>
        <v>0</v>
      </c>
      <c r="N94" s="799">
        <f>$E83*$B94</f>
        <v>0</v>
      </c>
      <c r="O94" s="1044"/>
      <c r="Q94" s="1061">
        <f>+C94*SERVEIS!$CN$25</f>
        <v>0</v>
      </c>
      <c r="R94" s="1061">
        <f>+D94*SERVEIS!$CN$25</f>
        <v>0</v>
      </c>
      <c r="S94" s="1061">
        <f>+E94*SERVEIS!$CN$25</f>
        <v>0</v>
      </c>
      <c r="T94" s="1061">
        <f>+F94*SERVEIS!$CN$25</f>
        <v>0</v>
      </c>
      <c r="U94" s="1061">
        <f>+G94*SERVEIS!$CN$25</f>
        <v>0</v>
      </c>
      <c r="V94" s="1061">
        <f>+H94*SERVEIS!$CN$25</f>
        <v>0</v>
      </c>
      <c r="W94" s="1061">
        <f>+I94*SERVEIS!$CN$25</f>
        <v>0</v>
      </c>
      <c r="X94" s="1061">
        <f>+J94*SERVEIS!$CN$25</f>
        <v>0</v>
      </c>
      <c r="Y94" s="1061">
        <f>+K94*SERVEIS!$CN$25</f>
        <v>0</v>
      </c>
      <c r="Z94" s="1060">
        <f>+L94*SERVEIS!$CN$45</f>
        <v>0</v>
      </c>
      <c r="AA94" s="1060">
        <f>+M94*SERVEIS!$CN$45</f>
        <v>0</v>
      </c>
      <c r="AB94" s="1060">
        <f>+N94*SERVEIS!$CN$45</f>
        <v>0</v>
      </c>
    </row>
    <row r="95" spans="1:28" x14ac:dyDescent="0.3">
      <c r="A95" s="633">
        <f t="shared" si="15"/>
        <v>300</v>
      </c>
      <c r="B95" s="72">
        <f>TRESORERIA!N$91</f>
        <v>0</v>
      </c>
      <c r="C95" s="799">
        <f>$E17*$B29</f>
        <v>0</v>
      </c>
      <c r="D95" s="799">
        <f>$F17*$B29</f>
        <v>0</v>
      </c>
      <c r="E95" s="799">
        <f>$G17*$B29</f>
        <v>0</v>
      </c>
      <c r="F95" s="799">
        <f>$H17*$B29</f>
        <v>0</v>
      </c>
      <c r="G95" s="799">
        <f>$I17*$B29</f>
        <v>0</v>
      </c>
      <c r="H95" s="799">
        <f>$J17*$B29</f>
        <v>0</v>
      </c>
      <c r="I95" s="799">
        <f>$K17*$B29</f>
        <v>0</v>
      </c>
      <c r="J95" s="799">
        <f>$L17*$B29</f>
        <v>0</v>
      </c>
      <c r="K95" s="799">
        <f>$M17*$B29</f>
        <v>0</v>
      </c>
      <c r="L95" s="799">
        <f>$N17*$B29</f>
        <v>0</v>
      </c>
      <c r="M95" s="1047">
        <f>$C83*$B95</f>
        <v>0</v>
      </c>
      <c r="N95" s="799">
        <f>$D83*$B95</f>
        <v>0</v>
      </c>
      <c r="O95" s="1044"/>
      <c r="Q95" s="1061">
        <f>+C95*SERVEIS!$CN$25</f>
        <v>0</v>
      </c>
      <c r="R95" s="1061">
        <f>+D95*SERVEIS!$CN$25</f>
        <v>0</v>
      </c>
      <c r="S95" s="1061">
        <f>+E95*SERVEIS!$CN$25</f>
        <v>0</v>
      </c>
      <c r="T95" s="1061">
        <f>+F95*SERVEIS!$CN$25</f>
        <v>0</v>
      </c>
      <c r="U95" s="1061">
        <f>+G95*SERVEIS!$CN$25</f>
        <v>0</v>
      </c>
      <c r="V95" s="1061">
        <f>+H95*SERVEIS!$CN$25</f>
        <v>0</v>
      </c>
      <c r="W95" s="1061">
        <f>+I95*SERVEIS!$CN$25</f>
        <v>0</v>
      </c>
      <c r="X95" s="1061">
        <f>+J95*SERVEIS!$CN$25</f>
        <v>0</v>
      </c>
      <c r="Y95" s="1061">
        <f>+K95*SERVEIS!$CN$25</f>
        <v>0</v>
      </c>
      <c r="Z95" s="1061">
        <f>+L95*SERVEIS!$CN$25</f>
        <v>0</v>
      </c>
      <c r="AA95" s="1060">
        <f>+M95*SERVEIS!$CN$45</f>
        <v>0</v>
      </c>
      <c r="AB95" s="1060">
        <f>+N95*SERVEIS!$CN$45</f>
        <v>0</v>
      </c>
    </row>
    <row r="96" spans="1:28" x14ac:dyDescent="0.3">
      <c r="A96" s="633">
        <f>A95+30</f>
        <v>330</v>
      </c>
      <c r="B96" s="72">
        <f>TRESORERIA!O$91</f>
        <v>0</v>
      </c>
      <c r="C96" s="799">
        <f>$D17*$B30</f>
        <v>0</v>
      </c>
      <c r="D96" s="799">
        <f>$E17*$B30</f>
        <v>0</v>
      </c>
      <c r="E96" s="799">
        <f>$F17*$B30</f>
        <v>0</v>
      </c>
      <c r="F96" s="799">
        <f>$G17*$B30</f>
        <v>0</v>
      </c>
      <c r="G96" s="799">
        <f>$H17*$B30</f>
        <v>0</v>
      </c>
      <c r="H96" s="799">
        <f>$I17*$B30</f>
        <v>0</v>
      </c>
      <c r="I96" s="799">
        <f>$J17*$B30</f>
        <v>0</v>
      </c>
      <c r="J96" s="799">
        <f>$K17*$B30</f>
        <v>0</v>
      </c>
      <c r="K96" s="799">
        <f>$L17*$B30</f>
        <v>0</v>
      </c>
      <c r="L96" s="799">
        <f>$M17*$B30</f>
        <v>0</v>
      </c>
      <c r="M96" s="799">
        <f>$N17*$B30</f>
        <v>0</v>
      </c>
      <c r="N96" s="799">
        <f>$C83*$B96</f>
        <v>0</v>
      </c>
      <c r="O96" s="1044"/>
      <c r="Q96" s="1061">
        <f>+C96*SERVEIS!$CN$25</f>
        <v>0</v>
      </c>
      <c r="R96" s="1061">
        <f>+D96*SERVEIS!$CN$25</f>
        <v>0</v>
      </c>
      <c r="S96" s="1061">
        <f>+E96*SERVEIS!$CN$25</f>
        <v>0</v>
      </c>
      <c r="T96" s="1061">
        <f>+F96*SERVEIS!$CN$25</f>
        <v>0</v>
      </c>
      <c r="U96" s="1061">
        <f>+G96*SERVEIS!$CN$25</f>
        <v>0</v>
      </c>
      <c r="V96" s="1061">
        <f>+H96*SERVEIS!$CN$25</f>
        <v>0</v>
      </c>
      <c r="W96" s="1061">
        <f>+I96*SERVEIS!$CN$25</f>
        <v>0</v>
      </c>
      <c r="X96" s="1061">
        <f>+J96*SERVEIS!$CN$25</f>
        <v>0</v>
      </c>
      <c r="Y96" s="1061">
        <f>+K96*SERVEIS!$CN$25</f>
        <v>0</v>
      </c>
      <c r="Z96" s="1061">
        <f>+L96*SERVEIS!$CN$25</f>
        <v>0</v>
      </c>
      <c r="AA96" s="1061">
        <f>+M96*SERVEIS!$CN$25</f>
        <v>0</v>
      </c>
      <c r="AB96" s="1060">
        <f>+N96*SERVEIS!$CN$45</f>
        <v>0</v>
      </c>
    </row>
    <row r="97" spans="1:28" x14ac:dyDescent="0.3">
      <c r="A97" s="1048" t="s">
        <v>342</v>
      </c>
      <c r="B97" s="72">
        <f t="shared" ref="B97:N97" si="16">SUM(B85:B96)</f>
        <v>1</v>
      </c>
      <c r="C97" s="799">
        <f t="shared" si="16"/>
        <v>0</v>
      </c>
      <c r="D97" s="799">
        <f t="shared" si="16"/>
        <v>0</v>
      </c>
      <c r="E97" s="799">
        <f t="shared" si="16"/>
        <v>0</v>
      </c>
      <c r="F97" s="799">
        <f t="shared" si="16"/>
        <v>0</v>
      </c>
      <c r="G97" s="799">
        <f t="shared" si="16"/>
        <v>0</v>
      </c>
      <c r="H97" s="799">
        <f t="shared" si="16"/>
        <v>0</v>
      </c>
      <c r="I97" s="799">
        <f t="shared" si="16"/>
        <v>0</v>
      </c>
      <c r="J97" s="799">
        <f t="shared" si="16"/>
        <v>0</v>
      </c>
      <c r="K97" s="799">
        <f t="shared" si="16"/>
        <v>0</v>
      </c>
      <c r="L97" s="799">
        <f t="shared" si="16"/>
        <v>0</v>
      </c>
      <c r="M97" s="1047">
        <f t="shared" si="16"/>
        <v>0</v>
      </c>
      <c r="N97" s="799">
        <f t="shared" si="16"/>
        <v>0</v>
      </c>
      <c r="O97" s="1046"/>
      <c r="Q97" s="1062">
        <f t="shared" ref="Q97:AB97" si="17">SUM(Q85:Q96)</f>
        <v>0</v>
      </c>
      <c r="R97" s="1062">
        <f t="shared" si="17"/>
        <v>0</v>
      </c>
      <c r="S97" s="1062">
        <f t="shared" si="17"/>
        <v>0</v>
      </c>
      <c r="T97" s="1062">
        <f t="shared" si="17"/>
        <v>0</v>
      </c>
      <c r="U97" s="1062">
        <f t="shared" si="17"/>
        <v>0</v>
      </c>
      <c r="V97" s="1062">
        <f t="shared" si="17"/>
        <v>0</v>
      </c>
      <c r="W97" s="1062">
        <f t="shared" si="17"/>
        <v>0</v>
      </c>
      <c r="X97" s="1062">
        <f t="shared" si="17"/>
        <v>0</v>
      </c>
      <c r="Y97" s="1062">
        <f t="shared" si="17"/>
        <v>0</v>
      </c>
      <c r="Z97" s="1062">
        <f t="shared" si="17"/>
        <v>0</v>
      </c>
      <c r="AA97" s="1062">
        <f t="shared" si="17"/>
        <v>0</v>
      </c>
      <c r="AB97" s="1062">
        <f t="shared" si="17"/>
        <v>0</v>
      </c>
    </row>
    <row r="98" spans="1:28" s="7" customFormat="1" x14ac:dyDescent="0.3">
      <c r="A98" s="1868" t="s">
        <v>344</v>
      </c>
      <c r="B98" s="1868"/>
      <c r="C98" s="1049">
        <f>C68+C83</f>
        <v>0</v>
      </c>
      <c r="D98" s="1049">
        <f t="shared" ref="D98:N98" si="18">D68+D83</f>
        <v>0</v>
      </c>
      <c r="E98" s="1049">
        <f t="shared" si="18"/>
        <v>0</v>
      </c>
      <c r="F98" s="1049">
        <f t="shared" si="18"/>
        <v>0</v>
      </c>
      <c r="G98" s="1049">
        <f t="shared" si="18"/>
        <v>0</v>
      </c>
      <c r="H98" s="1049">
        <f t="shared" si="18"/>
        <v>0</v>
      </c>
      <c r="I98" s="1049">
        <f t="shared" si="18"/>
        <v>0</v>
      </c>
      <c r="J98" s="1049">
        <f t="shared" si="18"/>
        <v>0</v>
      </c>
      <c r="K98" s="1049">
        <f t="shared" si="18"/>
        <v>0</v>
      </c>
      <c r="L98" s="1049">
        <f t="shared" si="18"/>
        <v>0</v>
      </c>
      <c r="M98" s="1049">
        <f t="shared" si="18"/>
        <v>0</v>
      </c>
      <c r="N98" s="1049">
        <f t="shared" si="18"/>
        <v>0</v>
      </c>
      <c r="O98" s="1041">
        <f>SUM(C98:N98)</f>
        <v>0</v>
      </c>
    </row>
    <row r="99" spans="1:28" s="7" customFormat="1" ht="8.25" customHeight="1" x14ac:dyDescent="0.3">
      <c r="A99" s="26"/>
      <c r="B99"/>
      <c r="C99" s="18"/>
      <c r="D99" s="18"/>
      <c r="E99" s="18"/>
      <c r="F99" s="18"/>
      <c r="G99" s="18"/>
      <c r="H99" s="18"/>
      <c r="I99" s="18"/>
      <c r="J99" s="18"/>
      <c r="K99" s="18"/>
      <c r="L99" s="18"/>
      <c r="M99" s="18"/>
      <c r="N99" s="1050"/>
      <c r="O99" s="18"/>
    </row>
    <row r="100" spans="1:28" x14ac:dyDescent="0.3">
      <c r="A100" s="1866" t="s">
        <v>345</v>
      </c>
      <c r="B100" s="1866"/>
      <c r="C100" s="29">
        <f>MERCADERIES!DC90</f>
        <v>0</v>
      </c>
      <c r="D100" s="29">
        <f>MERCADERIES!DD90</f>
        <v>0</v>
      </c>
      <c r="E100" s="29">
        <f>MERCADERIES!DE90</f>
        <v>0</v>
      </c>
      <c r="F100" s="29">
        <f>MERCADERIES!DF90</f>
        <v>0</v>
      </c>
      <c r="G100" s="29">
        <f>MERCADERIES!DG90</f>
        <v>0</v>
      </c>
      <c r="H100" s="29">
        <f>MERCADERIES!DH90</f>
        <v>0</v>
      </c>
      <c r="I100" s="29">
        <f>MERCADERIES!DI90</f>
        <v>0</v>
      </c>
      <c r="J100" s="29">
        <f>MERCADERIES!DJ90</f>
        <v>0</v>
      </c>
      <c r="K100" s="29">
        <f>MERCADERIES!DK90</f>
        <v>0</v>
      </c>
      <c r="L100" s="29">
        <f>MERCADERIES!DL90</f>
        <v>0</v>
      </c>
      <c r="M100" s="1040">
        <f>MERCADERIES!DM90</f>
        <v>0</v>
      </c>
      <c r="N100" s="29">
        <f>MERCADERIES!DN90</f>
        <v>0</v>
      </c>
      <c r="O100" s="1041">
        <f>SUM(C100:N100)</f>
        <v>0</v>
      </c>
    </row>
    <row r="101" spans="1:28" x14ac:dyDescent="0.3">
      <c r="A101" s="1869" t="s">
        <v>346</v>
      </c>
      <c r="B101" s="1869"/>
      <c r="C101" s="1051"/>
      <c r="D101" s="1051"/>
      <c r="E101" s="1051"/>
      <c r="F101" s="1051"/>
      <c r="G101" s="1051"/>
      <c r="H101" s="1051"/>
      <c r="I101" s="1051"/>
      <c r="J101" s="1051"/>
      <c r="K101" s="1051"/>
      <c r="L101" s="1051"/>
      <c r="M101" s="1052"/>
      <c r="N101" s="29"/>
      <c r="O101" s="1042"/>
    </row>
    <row r="102" spans="1:28" x14ac:dyDescent="0.3">
      <c r="A102" s="920">
        <v>0</v>
      </c>
      <c r="B102" s="1043">
        <f>TRESORERIA!D$92</f>
        <v>1</v>
      </c>
      <c r="C102" s="29">
        <f>$C100*$B102</f>
        <v>0</v>
      </c>
      <c r="D102" s="29">
        <f>$D100*$B102</f>
        <v>0</v>
      </c>
      <c r="E102" s="29">
        <f>$E100*$B102</f>
        <v>0</v>
      </c>
      <c r="F102" s="29">
        <f>$F100*$B102</f>
        <v>0</v>
      </c>
      <c r="G102" s="29">
        <f>$G100*$B102</f>
        <v>0</v>
      </c>
      <c r="H102" s="29">
        <f>$H100*$B102</f>
        <v>0</v>
      </c>
      <c r="I102" s="29">
        <f>$I100*$B102</f>
        <v>0</v>
      </c>
      <c r="J102" s="29">
        <f>$J100*$B102</f>
        <v>0</v>
      </c>
      <c r="K102" s="29">
        <f>$K100*$B102</f>
        <v>0</v>
      </c>
      <c r="L102" s="29">
        <f>$L100*$B102</f>
        <v>0</v>
      </c>
      <c r="M102" s="1040">
        <f>$M100*$B102</f>
        <v>0</v>
      </c>
      <c r="N102" s="29">
        <f>$N100*$B102</f>
        <v>0</v>
      </c>
      <c r="O102" s="1044"/>
    </row>
    <row r="103" spans="1:28" x14ac:dyDescent="0.3">
      <c r="A103" s="920">
        <f>A102+30</f>
        <v>30</v>
      </c>
      <c r="B103" s="1043">
        <f>TRESORERIA!E$92</f>
        <v>0</v>
      </c>
      <c r="C103" s="29">
        <f>$N34*$B37</f>
        <v>0</v>
      </c>
      <c r="D103" s="29">
        <f>$C100*$B103</f>
        <v>0</v>
      </c>
      <c r="E103" s="29">
        <f>$D100*$B103</f>
        <v>0</v>
      </c>
      <c r="F103" s="29">
        <f>$E100*$B103</f>
        <v>0</v>
      </c>
      <c r="G103" s="29">
        <f>$F100*$B103</f>
        <v>0</v>
      </c>
      <c r="H103" s="29">
        <f>$G100*$B103</f>
        <v>0</v>
      </c>
      <c r="I103" s="29">
        <f>$H100*$B103</f>
        <v>0</v>
      </c>
      <c r="J103" s="29">
        <f>$I100*$B103</f>
        <v>0</v>
      </c>
      <c r="K103" s="29">
        <f>$J100*$B103</f>
        <v>0</v>
      </c>
      <c r="L103" s="29">
        <f>$K100*$B103</f>
        <v>0</v>
      </c>
      <c r="M103" s="1040">
        <f>$L100*$B103</f>
        <v>0</v>
      </c>
      <c r="N103" s="29">
        <f>$M100*$B103</f>
        <v>0</v>
      </c>
      <c r="O103" s="1044"/>
    </row>
    <row r="104" spans="1:28" x14ac:dyDescent="0.3">
      <c r="A104" s="920">
        <f t="shared" ref="A104:A112" si="19">A103+30</f>
        <v>60</v>
      </c>
      <c r="B104" s="1043">
        <f>TRESORERIA!F$92</f>
        <v>0</v>
      </c>
      <c r="C104" s="29">
        <f>$M34*$B38</f>
        <v>0</v>
      </c>
      <c r="D104" s="29">
        <f>$N34*$B38</f>
        <v>0</v>
      </c>
      <c r="E104" s="29">
        <f>$C100*$B104</f>
        <v>0</v>
      </c>
      <c r="F104" s="29">
        <f>$D100*$B104</f>
        <v>0</v>
      </c>
      <c r="G104" s="29">
        <f>$E100*$B104</f>
        <v>0</v>
      </c>
      <c r="H104" s="29">
        <f>$F100*$B104</f>
        <v>0</v>
      </c>
      <c r="I104" s="29">
        <f>$G100*$B104</f>
        <v>0</v>
      </c>
      <c r="J104" s="29">
        <f>$H100*$B104</f>
        <v>0</v>
      </c>
      <c r="K104" s="29">
        <f>$I100*$B104</f>
        <v>0</v>
      </c>
      <c r="L104" s="29">
        <f>$J100*$B104</f>
        <v>0</v>
      </c>
      <c r="M104" s="1040">
        <f>$K100*$B104</f>
        <v>0</v>
      </c>
      <c r="N104" s="29">
        <f>$L100*$B104</f>
        <v>0</v>
      </c>
      <c r="O104" s="1044"/>
    </row>
    <row r="105" spans="1:28" x14ac:dyDescent="0.3">
      <c r="A105" s="920">
        <f t="shared" si="19"/>
        <v>90</v>
      </c>
      <c r="B105" s="1043">
        <f>TRESORERIA!G$92</f>
        <v>0</v>
      </c>
      <c r="C105" s="29">
        <f>$L34*$B39</f>
        <v>0</v>
      </c>
      <c r="D105" s="29">
        <f>$M34*$B39</f>
        <v>0</v>
      </c>
      <c r="E105" s="29">
        <f>$N34*$B39</f>
        <v>0</v>
      </c>
      <c r="F105" s="29">
        <f>$C100*$B105</f>
        <v>0</v>
      </c>
      <c r="G105" s="29">
        <f>$D100*$B105</f>
        <v>0</v>
      </c>
      <c r="H105" s="29">
        <f>$E100*$B105</f>
        <v>0</v>
      </c>
      <c r="I105" s="29">
        <f>$F100*$B105</f>
        <v>0</v>
      </c>
      <c r="J105" s="29">
        <f>$G100*$B105</f>
        <v>0</v>
      </c>
      <c r="K105" s="29">
        <f>$H100*$B105</f>
        <v>0</v>
      </c>
      <c r="L105" s="29">
        <f>$I100*$B105</f>
        <v>0</v>
      </c>
      <c r="M105" s="1040">
        <f>$J100*$B105</f>
        <v>0</v>
      </c>
      <c r="N105" s="29">
        <f>$K100*$B105</f>
        <v>0</v>
      </c>
      <c r="O105" s="1044"/>
    </row>
    <row r="106" spans="1:28" x14ac:dyDescent="0.3">
      <c r="A106" s="920">
        <f t="shared" si="19"/>
        <v>120</v>
      </c>
      <c r="B106" s="1043">
        <f>TRESORERIA!H$92</f>
        <v>0</v>
      </c>
      <c r="C106" s="29">
        <f>$K34*$B40</f>
        <v>0</v>
      </c>
      <c r="D106" s="29">
        <f>$L34*$B40</f>
        <v>0</v>
      </c>
      <c r="E106" s="29">
        <f>$M34*$B40</f>
        <v>0</v>
      </c>
      <c r="F106" s="29">
        <f>$N34*$B40</f>
        <v>0</v>
      </c>
      <c r="G106" s="29">
        <f>$C100*$B106</f>
        <v>0</v>
      </c>
      <c r="H106" s="29">
        <f>$D100*$B106</f>
        <v>0</v>
      </c>
      <c r="I106" s="29">
        <f>$E100*$B106</f>
        <v>0</v>
      </c>
      <c r="J106" s="29">
        <f>$F100*$B106</f>
        <v>0</v>
      </c>
      <c r="K106" s="29">
        <f>$G100*$B106</f>
        <v>0</v>
      </c>
      <c r="L106" s="29">
        <f>$H100*$B106</f>
        <v>0</v>
      </c>
      <c r="M106" s="1040">
        <f>$I100*$B106</f>
        <v>0</v>
      </c>
      <c r="N106" s="29">
        <f>$J100*$B106</f>
        <v>0</v>
      </c>
      <c r="O106" s="1044"/>
    </row>
    <row r="107" spans="1:28" x14ac:dyDescent="0.3">
      <c r="A107" s="920">
        <f t="shared" si="19"/>
        <v>150</v>
      </c>
      <c r="B107" s="1043">
        <f>TRESORERIA!I$92</f>
        <v>0</v>
      </c>
      <c r="C107" s="29">
        <f>$J34*$B41</f>
        <v>0</v>
      </c>
      <c r="D107" s="29">
        <f>$K34*$B41</f>
        <v>0</v>
      </c>
      <c r="E107" s="29">
        <f>$L34*$B41</f>
        <v>0</v>
      </c>
      <c r="F107" s="29">
        <f>$M34*$B41</f>
        <v>0</v>
      </c>
      <c r="G107" s="29">
        <f>$N34*$B41</f>
        <v>0</v>
      </c>
      <c r="H107" s="29">
        <f>$C100*$B107</f>
        <v>0</v>
      </c>
      <c r="I107" s="29">
        <f>$D100*$B107</f>
        <v>0</v>
      </c>
      <c r="J107" s="29">
        <f>$E100*$B107</f>
        <v>0</v>
      </c>
      <c r="K107" s="29">
        <f>$F100*$B107</f>
        <v>0</v>
      </c>
      <c r="L107" s="29">
        <f>$G100*$B107</f>
        <v>0</v>
      </c>
      <c r="M107" s="1040">
        <f>$H100*$B107</f>
        <v>0</v>
      </c>
      <c r="N107" s="29">
        <f>$I100*$B107</f>
        <v>0</v>
      </c>
      <c r="O107" s="1044"/>
    </row>
    <row r="108" spans="1:28" x14ac:dyDescent="0.3">
      <c r="A108" s="920">
        <f t="shared" si="19"/>
        <v>180</v>
      </c>
      <c r="B108" s="1043">
        <f>TRESORERIA!J$92</f>
        <v>0</v>
      </c>
      <c r="C108" s="29">
        <f>$I34*$B42</f>
        <v>0</v>
      </c>
      <c r="D108" s="29">
        <f>$J34*$B42</f>
        <v>0</v>
      </c>
      <c r="E108" s="29">
        <f>$K34*$B42</f>
        <v>0</v>
      </c>
      <c r="F108" s="29">
        <f>$L34*$B42</f>
        <v>0</v>
      </c>
      <c r="G108" s="29">
        <f>$M34*$B42</f>
        <v>0</v>
      </c>
      <c r="H108" s="29">
        <f>$N34*$B42</f>
        <v>0</v>
      </c>
      <c r="I108" s="29">
        <f>$C100*$B108</f>
        <v>0</v>
      </c>
      <c r="J108" s="29">
        <f>$D100*$B108</f>
        <v>0</v>
      </c>
      <c r="K108" s="29">
        <f>$E100*$B108</f>
        <v>0</v>
      </c>
      <c r="L108" s="29">
        <f>$F100*$B108</f>
        <v>0</v>
      </c>
      <c r="M108" s="1040">
        <f>$G100*$B108</f>
        <v>0</v>
      </c>
      <c r="N108" s="29">
        <f>$H100*$B108</f>
        <v>0</v>
      </c>
      <c r="O108" s="1044"/>
    </row>
    <row r="109" spans="1:28" x14ac:dyDescent="0.3">
      <c r="A109" s="920">
        <f t="shared" si="19"/>
        <v>210</v>
      </c>
      <c r="B109" s="1043">
        <f>TRESORERIA!K$92</f>
        <v>0</v>
      </c>
      <c r="C109" s="29">
        <f>$H34*$B43</f>
        <v>0</v>
      </c>
      <c r="D109" s="29">
        <f>$I34*$B43</f>
        <v>0</v>
      </c>
      <c r="E109" s="29">
        <f>$J34*$B43</f>
        <v>0</v>
      </c>
      <c r="F109" s="29">
        <f>$K34*$B43</f>
        <v>0</v>
      </c>
      <c r="G109" s="29">
        <f>$L34*$B43</f>
        <v>0</v>
      </c>
      <c r="H109" s="29">
        <f>$M34*$B43</f>
        <v>0</v>
      </c>
      <c r="I109" s="29">
        <f>$N34*$B43</f>
        <v>0</v>
      </c>
      <c r="J109" s="29">
        <f>$C100*$B109</f>
        <v>0</v>
      </c>
      <c r="K109" s="29">
        <f>$D100*$B109</f>
        <v>0</v>
      </c>
      <c r="L109" s="29">
        <f>$E100*$B109</f>
        <v>0</v>
      </c>
      <c r="M109" s="1040">
        <f>$F100*$B109</f>
        <v>0</v>
      </c>
      <c r="N109" s="29">
        <f>$G100*$B109</f>
        <v>0</v>
      </c>
      <c r="O109" s="1044"/>
    </row>
    <row r="110" spans="1:28" x14ac:dyDescent="0.3">
      <c r="A110" s="920">
        <f t="shared" si="19"/>
        <v>240</v>
      </c>
      <c r="B110" s="1043">
        <f>TRESORERIA!L$92</f>
        <v>0</v>
      </c>
      <c r="C110" s="29">
        <f>$G34*$B44</f>
        <v>0</v>
      </c>
      <c r="D110" s="29">
        <f>$H34*$B44</f>
        <v>0</v>
      </c>
      <c r="E110" s="29">
        <f>$I34*$B44</f>
        <v>0</v>
      </c>
      <c r="F110" s="29">
        <f>$J34*$B44</f>
        <v>0</v>
      </c>
      <c r="G110" s="29">
        <f>$K34*$B44</f>
        <v>0</v>
      </c>
      <c r="H110" s="29">
        <f>$L34*$B44</f>
        <v>0</v>
      </c>
      <c r="I110" s="29">
        <f>$M34*$B44</f>
        <v>0</v>
      </c>
      <c r="J110" s="29">
        <f>$N34*$B44</f>
        <v>0</v>
      </c>
      <c r="K110" s="29">
        <f>$C100*$B110</f>
        <v>0</v>
      </c>
      <c r="L110" s="29">
        <f>$D100*$B110</f>
        <v>0</v>
      </c>
      <c r="M110" s="1040">
        <f>$E100*$B110</f>
        <v>0</v>
      </c>
      <c r="N110" s="29">
        <f>$F100*$B110</f>
        <v>0</v>
      </c>
      <c r="O110" s="1044"/>
    </row>
    <row r="111" spans="1:28" x14ac:dyDescent="0.3">
      <c r="A111" s="920">
        <f t="shared" si="19"/>
        <v>270</v>
      </c>
      <c r="B111" s="1043">
        <f>TRESORERIA!M$92</f>
        <v>0</v>
      </c>
      <c r="C111" s="29">
        <f>$F34*$B45</f>
        <v>0</v>
      </c>
      <c r="D111" s="29">
        <f>$G34*$B45</f>
        <v>0</v>
      </c>
      <c r="E111" s="29">
        <f>$H34*$B45</f>
        <v>0</v>
      </c>
      <c r="F111" s="29">
        <f>$I34*$B45</f>
        <v>0</v>
      </c>
      <c r="G111" s="29">
        <f>$J34*$B45</f>
        <v>0</v>
      </c>
      <c r="H111" s="29">
        <f>$K34*$B45</f>
        <v>0</v>
      </c>
      <c r="I111" s="29">
        <f>$L34*$B45</f>
        <v>0</v>
      </c>
      <c r="J111" s="29">
        <f>$M34*$B45</f>
        <v>0</v>
      </c>
      <c r="K111" s="29">
        <f>$N34*$B45</f>
        <v>0</v>
      </c>
      <c r="L111" s="29">
        <f>$C100*$B111</f>
        <v>0</v>
      </c>
      <c r="M111" s="1040">
        <f>$D100*$B111</f>
        <v>0</v>
      </c>
      <c r="N111" s="29">
        <f>$E100*$B111</f>
        <v>0</v>
      </c>
      <c r="O111" s="1044"/>
    </row>
    <row r="112" spans="1:28" x14ac:dyDescent="0.3">
      <c r="A112" s="920">
        <f t="shared" si="19"/>
        <v>300</v>
      </c>
      <c r="B112" s="1043">
        <f>TRESORERIA!N$92</f>
        <v>0</v>
      </c>
      <c r="C112" s="29">
        <f>$E34*$B46</f>
        <v>0</v>
      </c>
      <c r="D112" s="29">
        <f>$F34*$B46</f>
        <v>0</v>
      </c>
      <c r="E112" s="29">
        <f>$G34*$B46</f>
        <v>0</v>
      </c>
      <c r="F112" s="29">
        <f>$H34*$B46</f>
        <v>0</v>
      </c>
      <c r="G112" s="29">
        <f>$I34*$B46</f>
        <v>0</v>
      </c>
      <c r="H112" s="29">
        <f>$J34*$B46</f>
        <v>0</v>
      </c>
      <c r="I112" s="29">
        <f>$K34*$B46</f>
        <v>0</v>
      </c>
      <c r="J112" s="29">
        <f>$L34*$B46</f>
        <v>0</v>
      </c>
      <c r="K112" s="29">
        <f>$M34*$B46</f>
        <v>0</v>
      </c>
      <c r="L112" s="29">
        <f>$N34*$B46</f>
        <v>0</v>
      </c>
      <c r="M112" s="1040">
        <f>$C100*$B112</f>
        <v>0</v>
      </c>
      <c r="N112" s="29">
        <f>$D100*$B112</f>
        <v>0</v>
      </c>
      <c r="O112" s="1044"/>
    </row>
    <row r="113" spans="1:28" x14ac:dyDescent="0.3">
      <c r="A113" s="920">
        <f>A112+30</f>
        <v>330</v>
      </c>
      <c r="B113" s="1043">
        <f>TRESORERIA!O$92</f>
        <v>0</v>
      </c>
      <c r="C113" s="29">
        <f>$D34*$B47</f>
        <v>0</v>
      </c>
      <c r="D113" s="29">
        <f>$E34*$B47</f>
        <v>0</v>
      </c>
      <c r="E113" s="29">
        <f>$F34*$B47</f>
        <v>0</v>
      </c>
      <c r="F113" s="29">
        <f>$G34*$B47</f>
        <v>0</v>
      </c>
      <c r="G113" s="29">
        <f>$H34*$B47</f>
        <v>0</v>
      </c>
      <c r="H113" s="29">
        <f>$I34*$B47</f>
        <v>0</v>
      </c>
      <c r="I113" s="29">
        <f>$J34*$B47</f>
        <v>0</v>
      </c>
      <c r="J113" s="29">
        <f>$K34*$B47</f>
        <v>0</v>
      </c>
      <c r="K113" s="29">
        <f>$L34*$B47</f>
        <v>0</v>
      </c>
      <c r="L113" s="29">
        <f>$M34*$B47</f>
        <v>0</v>
      </c>
      <c r="M113" s="1040">
        <f>$N34*$B47</f>
        <v>0</v>
      </c>
      <c r="N113" s="29">
        <f>$C100*$B113</f>
        <v>0</v>
      </c>
      <c r="O113" s="1044"/>
    </row>
    <row r="114" spans="1:28" x14ac:dyDescent="0.3">
      <c r="A114" s="1045" t="s">
        <v>347</v>
      </c>
      <c r="B114" s="1043">
        <f t="shared" ref="B114:N114" si="20">SUM(B102:B113)</f>
        <v>1</v>
      </c>
      <c r="C114" s="29">
        <f t="shared" si="20"/>
        <v>0</v>
      </c>
      <c r="D114" s="29">
        <f t="shared" si="20"/>
        <v>0</v>
      </c>
      <c r="E114" s="29">
        <f t="shared" si="20"/>
        <v>0</v>
      </c>
      <c r="F114" s="29">
        <f t="shared" si="20"/>
        <v>0</v>
      </c>
      <c r="G114" s="29">
        <f t="shared" si="20"/>
        <v>0</v>
      </c>
      <c r="H114" s="29">
        <f t="shared" si="20"/>
        <v>0</v>
      </c>
      <c r="I114" s="29">
        <f t="shared" si="20"/>
        <v>0</v>
      </c>
      <c r="J114" s="29">
        <f t="shared" si="20"/>
        <v>0</v>
      </c>
      <c r="K114" s="29">
        <f t="shared" si="20"/>
        <v>0</v>
      </c>
      <c r="L114" s="29">
        <f t="shared" si="20"/>
        <v>0</v>
      </c>
      <c r="M114" s="1040">
        <f t="shared" si="20"/>
        <v>0</v>
      </c>
      <c r="N114" s="29">
        <f t="shared" si="20"/>
        <v>0</v>
      </c>
      <c r="O114" s="1046"/>
    </row>
    <row r="115" spans="1:28" x14ac:dyDescent="0.3">
      <c r="A115" s="1867" t="s">
        <v>348</v>
      </c>
      <c r="B115" s="1867"/>
      <c r="C115" s="799">
        <f>SERVEIS!CB43</f>
        <v>0</v>
      </c>
      <c r="D115" s="799">
        <f>SERVEIS!CC43</f>
        <v>0</v>
      </c>
      <c r="E115" s="799">
        <f>SERVEIS!CD43</f>
        <v>0</v>
      </c>
      <c r="F115" s="799">
        <f>SERVEIS!CE43</f>
        <v>0</v>
      </c>
      <c r="G115" s="799">
        <f>SERVEIS!CF43</f>
        <v>0</v>
      </c>
      <c r="H115" s="799">
        <f>SERVEIS!CG43</f>
        <v>0</v>
      </c>
      <c r="I115" s="799">
        <f>SERVEIS!CH43</f>
        <v>0</v>
      </c>
      <c r="J115" s="799">
        <f>SERVEIS!CI43</f>
        <v>0</v>
      </c>
      <c r="K115" s="799">
        <f>SERVEIS!CJ43</f>
        <v>0</v>
      </c>
      <c r="L115" s="799">
        <f>SERVEIS!CK43</f>
        <v>0</v>
      </c>
      <c r="M115" s="1047">
        <f>SERVEIS!CL43</f>
        <v>0</v>
      </c>
      <c r="N115" s="799">
        <f>SERVEIS!CM43</f>
        <v>0</v>
      </c>
      <c r="O115" s="1041">
        <f>SUM(C115:N115)</f>
        <v>0</v>
      </c>
      <c r="Q115" s="756" t="s">
        <v>355</v>
      </c>
      <c r="R115" s="1057"/>
      <c r="S115" s="1057"/>
      <c r="T115" s="1057"/>
      <c r="U115" s="1057"/>
      <c r="V115" s="1057"/>
      <c r="W115" s="1057"/>
      <c r="X115" s="1057"/>
      <c r="Y115" s="1057"/>
      <c r="Z115" s="1057"/>
      <c r="AA115" s="1057"/>
      <c r="AB115" s="1058"/>
    </row>
    <row r="116" spans="1:28" x14ac:dyDescent="0.3">
      <c r="A116" s="1870" t="s">
        <v>346</v>
      </c>
      <c r="B116" s="1870"/>
      <c r="C116" s="1053"/>
      <c r="D116" s="1053"/>
      <c r="E116" s="1053"/>
      <c r="F116" s="1053"/>
      <c r="G116" s="1053"/>
      <c r="H116" s="1053"/>
      <c r="I116" s="1053"/>
      <c r="J116" s="1053"/>
      <c r="K116" s="1053"/>
      <c r="L116" s="1053"/>
      <c r="M116" s="1054"/>
      <c r="N116" s="799"/>
      <c r="O116" s="1042"/>
    </row>
    <row r="117" spans="1:28" x14ac:dyDescent="0.3">
      <c r="A117" s="633">
        <v>0</v>
      </c>
      <c r="B117" s="72">
        <f>TRESORERIA!D$93</f>
        <v>1</v>
      </c>
      <c r="C117" s="799">
        <f>$C115*$B117</f>
        <v>0</v>
      </c>
      <c r="D117" s="799">
        <f>$D115*$B117</f>
        <v>0</v>
      </c>
      <c r="E117" s="799">
        <f>$E115*$B117</f>
        <v>0</v>
      </c>
      <c r="F117" s="799">
        <f>$F115*$B117</f>
        <v>0</v>
      </c>
      <c r="G117" s="799">
        <f>$G115*$B117</f>
        <v>0</v>
      </c>
      <c r="H117" s="799">
        <f>$H115*$B117</f>
        <v>0</v>
      </c>
      <c r="I117" s="799">
        <f>$I115*$B117</f>
        <v>0</v>
      </c>
      <c r="J117" s="799">
        <f>$J115*$B117</f>
        <v>0</v>
      </c>
      <c r="K117" s="799">
        <f>$K115*$B117</f>
        <v>0</v>
      </c>
      <c r="L117" s="799">
        <f>$L115*$B117</f>
        <v>0</v>
      </c>
      <c r="M117" s="1047">
        <f>$M115*$B117</f>
        <v>0</v>
      </c>
      <c r="N117" s="799">
        <f>$N115*$B117</f>
        <v>0</v>
      </c>
      <c r="O117" s="1044"/>
      <c r="Q117" s="1060">
        <f>+C117*SERVEIS!$CN$47</f>
        <v>0</v>
      </c>
      <c r="R117" s="1060">
        <f>+D117*SERVEIS!$CN$47</f>
        <v>0</v>
      </c>
      <c r="S117" s="1060">
        <f>+E117*SERVEIS!$CN$47</f>
        <v>0</v>
      </c>
      <c r="T117" s="1060">
        <f>+F117*SERVEIS!$CN$47</f>
        <v>0</v>
      </c>
      <c r="U117" s="1060">
        <f>+G117*SERVEIS!$CN$47</f>
        <v>0</v>
      </c>
      <c r="V117" s="1060">
        <f>+H117*SERVEIS!$CN$47</f>
        <v>0</v>
      </c>
      <c r="W117" s="1060">
        <f>+I117*SERVEIS!$CN$47</f>
        <v>0</v>
      </c>
      <c r="X117" s="1060">
        <f>+J117*SERVEIS!$CN$47</f>
        <v>0</v>
      </c>
      <c r="Y117" s="1060">
        <f>+K117*SERVEIS!$CN$47</f>
        <v>0</v>
      </c>
      <c r="Z117" s="1060">
        <f>+L117*SERVEIS!$CN$47</f>
        <v>0</v>
      </c>
      <c r="AA117" s="1060">
        <f>+M117*SERVEIS!$CN$47</f>
        <v>0</v>
      </c>
      <c r="AB117" s="1060">
        <f>+N117*SERVEIS!$CN$47</f>
        <v>0</v>
      </c>
    </row>
    <row r="118" spans="1:28" x14ac:dyDescent="0.3">
      <c r="A118" s="633">
        <f>A117+30</f>
        <v>30</v>
      </c>
      <c r="B118" s="72">
        <f>TRESORERIA!E$93</f>
        <v>0</v>
      </c>
      <c r="C118" s="799">
        <f>$N49*$B52</f>
        <v>0</v>
      </c>
      <c r="D118" s="799">
        <f>$C115*$B118</f>
        <v>0</v>
      </c>
      <c r="E118" s="799">
        <f>$D115*$B118</f>
        <v>0</v>
      </c>
      <c r="F118" s="799">
        <f>$E115*$B118</f>
        <v>0</v>
      </c>
      <c r="G118" s="799">
        <f>$F115*$B118</f>
        <v>0</v>
      </c>
      <c r="H118" s="799">
        <f>$G115*$B118</f>
        <v>0</v>
      </c>
      <c r="I118" s="799">
        <f>$H115*$B118</f>
        <v>0</v>
      </c>
      <c r="J118" s="799">
        <f>$I115*$B118</f>
        <v>0</v>
      </c>
      <c r="K118" s="799">
        <f>$J115*$B118</f>
        <v>0</v>
      </c>
      <c r="L118" s="799">
        <f>$K115*$B118</f>
        <v>0</v>
      </c>
      <c r="M118" s="1047">
        <f>$L115*$B118</f>
        <v>0</v>
      </c>
      <c r="N118" s="799">
        <f>$M115*$B118</f>
        <v>0</v>
      </c>
      <c r="O118" s="1044"/>
      <c r="Q118" s="1061">
        <f>+C118*SERVEIS!$CN$27</f>
        <v>0</v>
      </c>
      <c r="R118" s="1060">
        <f>+D118*SERVEIS!$CN$47</f>
        <v>0</v>
      </c>
      <c r="S118" s="1060">
        <f>+E118*SERVEIS!$CN$47</f>
        <v>0</v>
      </c>
      <c r="T118" s="1060">
        <f>+F118*SERVEIS!$CN$47</f>
        <v>0</v>
      </c>
      <c r="U118" s="1060">
        <f>+G118*SERVEIS!$CN$47</f>
        <v>0</v>
      </c>
      <c r="V118" s="1060">
        <f>+H118*SERVEIS!$CN$47</f>
        <v>0</v>
      </c>
      <c r="W118" s="1060">
        <f>+I118*SERVEIS!$CN$47</f>
        <v>0</v>
      </c>
      <c r="X118" s="1060">
        <f>+J118*SERVEIS!$CN$47</f>
        <v>0</v>
      </c>
      <c r="Y118" s="1060">
        <f>+K118*SERVEIS!$CN$47</f>
        <v>0</v>
      </c>
      <c r="Z118" s="1060">
        <f>+L118*SERVEIS!$CN$47</f>
        <v>0</v>
      </c>
      <c r="AA118" s="1060">
        <f>+M118*SERVEIS!$CN$47</f>
        <v>0</v>
      </c>
      <c r="AB118" s="1060">
        <f>+N118*SERVEIS!$CN$47</f>
        <v>0</v>
      </c>
    </row>
    <row r="119" spans="1:28" x14ac:dyDescent="0.3">
      <c r="A119" s="633">
        <f t="shared" ref="A119:A127" si="21">A118+30</f>
        <v>60</v>
      </c>
      <c r="B119" s="72">
        <f>TRESORERIA!F$93</f>
        <v>0</v>
      </c>
      <c r="C119" s="799">
        <f>$M49*$B53</f>
        <v>0</v>
      </c>
      <c r="D119" s="799">
        <f>$N49*$B53</f>
        <v>0</v>
      </c>
      <c r="E119" s="799">
        <f>$C115*$B119</f>
        <v>0</v>
      </c>
      <c r="F119" s="799">
        <f>$D115*$B119</f>
        <v>0</v>
      </c>
      <c r="G119" s="799">
        <f>$E115*$B119</f>
        <v>0</v>
      </c>
      <c r="H119" s="799">
        <f>$F115*$B119</f>
        <v>0</v>
      </c>
      <c r="I119" s="799">
        <f>$G115*$B119</f>
        <v>0</v>
      </c>
      <c r="J119" s="799">
        <f>$H115*$B119</f>
        <v>0</v>
      </c>
      <c r="K119" s="799">
        <f>$I115*$B119</f>
        <v>0</v>
      </c>
      <c r="L119" s="799">
        <f>$J115*$B119</f>
        <v>0</v>
      </c>
      <c r="M119" s="1047">
        <f>$K115*$B119</f>
        <v>0</v>
      </c>
      <c r="N119" s="799">
        <f>$L115*$B119</f>
        <v>0</v>
      </c>
      <c r="O119" s="1044"/>
      <c r="Q119" s="1061">
        <f>+C119*SERVEIS!$CN$27</f>
        <v>0</v>
      </c>
      <c r="R119" s="1061">
        <f>+D119*SERVEIS!$CN$27</f>
        <v>0</v>
      </c>
      <c r="S119" s="1060">
        <f>+E119*SERVEIS!$CN$47</f>
        <v>0</v>
      </c>
      <c r="T119" s="1060">
        <f>+F119*SERVEIS!$CN$47</f>
        <v>0</v>
      </c>
      <c r="U119" s="1060">
        <f>+G119*SERVEIS!$CN$47</f>
        <v>0</v>
      </c>
      <c r="V119" s="1060">
        <f>+H119*SERVEIS!$CN$47</f>
        <v>0</v>
      </c>
      <c r="W119" s="1060">
        <f>+I119*SERVEIS!$CN$47</f>
        <v>0</v>
      </c>
      <c r="X119" s="1060">
        <f>+J119*SERVEIS!$CN$47</f>
        <v>0</v>
      </c>
      <c r="Y119" s="1060">
        <f>+K119*SERVEIS!$CN$47</f>
        <v>0</v>
      </c>
      <c r="Z119" s="1060">
        <f>+L119*SERVEIS!$CN$47</f>
        <v>0</v>
      </c>
      <c r="AA119" s="1060">
        <f>+M119*SERVEIS!$CN$47</f>
        <v>0</v>
      </c>
      <c r="AB119" s="1060">
        <f>+N119*SERVEIS!$CN$47</f>
        <v>0</v>
      </c>
    </row>
    <row r="120" spans="1:28" x14ac:dyDescent="0.3">
      <c r="A120" s="633">
        <f t="shared" si="21"/>
        <v>90</v>
      </c>
      <c r="B120" s="72">
        <f>TRESORERIA!G$93</f>
        <v>0</v>
      </c>
      <c r="C120" s="799">
        <f>$L49*$B54</f>
        <v>0</v>
      </c>
      <c r="D120" s="799">
        <f>$M49*$B54</f>
        <v>0</v>
      </c>
      <c r="E120" s="799">
        <f>$N49*$B54</f>
        <v>0</v>
      </c>
      <c r="F120" s="799">
        <f>$C115*$B120</f>
        <v>0</v>
      </c>
      <c r="G120" s="799">
        <f>$D115*$B120</f>
        <v>0</v>
      </c>
      <c r="H120" s="799">
        <f>$E115*$B120</f>
        <v>0</v>
      </c>
      <c r="I120" s="799">
        <f>$F115*$B120</f>
        <v>0</v>
      </c>
      <c r="J120" s="799">
        <f>$G115*$B120</f>
        <v>0</v>
      </c>
      <c r="K120" s="799">
        <f>$H115*$B120</f>
        <v>0</v>
      </c>
      <c r="L120" s="799">
        <f>$I115*$B120</f>
        <v>0</v>
      </c>
      <c r="M120" s="1047">
        <f>$J115*$B120</f>
        <v>0</v>
      </c>
      <c r="N120" s="799">
        <f>$K115*$B120</f>
        <v>0</v>
      </c>
      <c r="O120" s="1044"/>
      <c r="Q120" s="1061">
        <f>+C120*SERVEIS!$CN$27</f>
        <v>0</v>
      </c>
      <c r="R120" s="1061">
        <f>+D120*SERVEIS!$CN$27</f>
        <v>0</v>
      </c>
      <c r="S120" s="1061">
        <f>+E120*SERVEIS!$CN$27</f>
        <v>0</v>
      </c>
      <c r="T120" s="1060">
        <f>+F120*SERVEIS!$CN$47</f>
        <v>0</v>
      </c>
      <c r="U120" s="1060">
        <f>+G120*SERVEIS!$CN$47</f>
        <v>0</v>
      </c>
      <c r="V120" s="1060">
        <f>+H120*SERVEIS!$CN$47</f>
        <v>0</v>
      </c>
      <c r="W120" s="1060">
        <f>+I120*SERVEIS!$CN$47</f>
        <v>0</v>
      </c>
      <c r="X120" s="1060">
        <f>+J120*SERVEIS!$CN$47</f>
        <v>0</v>
      </c>
      <c r="Y120" s="1060">
        <f>+K120*SERVEIS!$CN$47</f>
        <v>0</v>
      </c>
      <c r="Z120" s="1060">
        <f>+L120*SERVEIS!$CN$47</f>
        <v>0</v>
      </c>
      <c r="AA120" s="1060">
        <f>+M120*SERVEIS!$CN$47</f>
        <v>0</v>
      </c>
      <c r="AB120" s="1060">
        <f>+N120*SERVEIS!$CN$47</f>
        <v>0</v>
      </c>
    </row>
    <row r="121" spans="1:28" x14ac:dyDescent="0.3">
      <c r="A121" s="633">
        <f t="shared" si="21"/>
        <v>120</v>
      </c>
      <c r="B121" s="72">
        <f>TRESORERIA!H$93</f>
        <v>0</v>
      </c>
      <c r="C121" s="799">
        <f>$K49*$B55</f>
        <v>0</v>
      </c>
      <c r="D121" s="799">
        <f>$L49*$B55</f>
        <v>0</v>
      </c>
      <c r="E121" s="799">
        <f>$M49*$B55</f>
        <v>0</v>
      </c>
      <c r="F121" s="799">
        <f>$N49*$B55</f>
        <v>0</v>
      </c>
      <c r="G121" s="799">
        <f>$C115*$B121</f>
        <v>0</v>
      </c>
      <c r="H121" s="799">
        <f>$D115*$B121</f>
        <v>0</v>
      </c>
      <c r="I121" s="799">
        <f>$E115*$B121</f>
        <v>0</v>
      </c>
      <c r="J121" s="799">
        <f>$F115*$B121</f>
        <v>0</v>
      </c>
      <c r="K121" s="799">
        <f>$G115*$B121</f>
        <v>0</v>
      </c>
      <c r="L121" s="799">
        <f>$H115*$B121</f>
        <v>0</v>
      </c>
      <c r="M121" s="1047">
        <f>$I115*$B121</f>
        <v>0</v>
      </c>
      <c r="N121" s="799">
        <f>$J115*$B121</f>
        <v>0</v>
      </c>
      <c r="O121" s="1044"/>
      <c r="Q121" s="1061">
        <f>+C121*SERVEIS!$CN$27</f>
        <v>0</v>
      </c>
      <c r="R121" s="1061">
        <f>+D121*SERVEIS!$CN$27</f>
        <v>0</v>
      </c>
      <c r="S121" s="1061">
        <f>+E121*SERVEIS!$CN$27</f>
        <v>0</v>
      </c>
      <c r="T121" s="1061">
        <f>+F121*SERVEIS!$CN$27</f>
        <v>0</v>
      </c>
      <c r="U121" s="1060">
        <f>+G121*SERVEIS!$CN$47</f>
        <v>0</v>
      </c>
      <c r="V121" s="1060">
        <f>+H121*SERVEIS!$CN$47</f>
        <v>0</v>
      </c>
      <c r="W121" s="1060">
        <f>+I121*SERVEIS!$CN$47</f>
        <v>0</v>
      </c>
      <c r="X121" s="1060">
        <f>+J121*SERVEIS!$CN$47</f>
        <v>0</v>
      </c>
      <c r="Y121" s="1060">
        <f>+K121*SERVEIS!$CN$47</f>
        <v>0</v>
      </c>
      <c r="Z121" s="1060">
        <f>+L121*SERVEIS!$CN$47</f>
        <v>0</v>
      </c>
      <c r="AA121" s="1060">
        <f>+M121*SERVEIS!$CN$47</f>
        <v>0</v>
      </c>
      <c r="AB121" s="1060">
        <f>+N121*SERVEIS!$CN$47</f>
        <v>0</v>
      </c>
    </row>
    <row r="122" spans="1:28" x14ac:dyDescent="0.3">
      <c r="A122" s="633">
        <f t="shared" si="21"/>
        <v>150</v>
      </c>
      <c r="B122" s="72">
        <f>TRESORERIA!I$93</f>
        <v>0</v>
      </c>
      <c r="C122" s="799">
        <f>$J49*$B56</f>
        <v>0</v>
      </c>
      <c r="D122" s="799">
        <f>$K49*$B56</f>
        <v>0</v>
      </c>
      <c r="E122" s="799">
        <f>$L49*$B56</f>
        <v>0</v>
      </c>
      <c r="F122" s="799">
        <f>$M49*$B56</f>
        <v>0</v>
      </c>
      <c r="G122" s="799">
        <f>$N49*$B56</f>
        <v>0</v>
      </c>
      <c r="H122" s="799">
        <f>$C115*$B122</f>
        <v>0</v>
      </c>
      <c r="I122" s="799">
        <f>$D115*$B122</f>
        <v>0</v>
      </c>
      <c r="J122" s="799">
        <f>$E115*$B122</f>
        <v>0</v>
      </c>
      <c r="K122" s="799">
        <f>$F115*$B122</f>
        <v>0</v>
      </c>
      <c r="L122" s="799">
        <f>$G115*$B122</f>
        <v>0</v>
      </c>
      <c r="M122" s="1047">
        <f>$H115*$B122</f>
        <v>0</v>
      </c>
      <c r="N122" s="799">
        <f>$I115*$B122</f>
        <v>0</v>
      </c>
      <c r="O122" s="1044"/>
      <c r="Q122" s="1061">
        <f>+C122*SERVEIS!$CN$27</f>
        <v>0</v>
      </c>
      <c r="R122" s="1061">
        <f>+D122*SERVEIS!$CN$27</f>
        <v>0</v>
      </c>
      <c r="S122" s="1061">
        <f>+E122*SERVEIS!$CN$27</f>
        <v>0</v>
      </c>
      <c r="T122" s="1061">
        <f>+F122*SERVEIS!$CN$27</f>
        <v>0</v>
      </c>
      <c r="U122" s="1061">
        <f>+G122*SERVEIS!$CN$27</f>
        <v>0</v>
      </c>
      <c r="V122" s="1060">
        <f>+H122*SERVEIS!$CN$47</f>
        <v>0</v>
      </c>
      <c r="W122" s="1060">
        <f>+I122*SERVEIS!$CN$47</f>
        <v>0</v>
      </c>
      <c r="X122" s="1060">
        <f>+J122*SERVEIS!$CN$47</f>
        <v>0</v>
      </c>
      <c r="Y122" s="1060">
        <f>+K122*SERVEIS!$CN$47</f>
        <v>0</v>
      </c>
      <c r="Z122" s="1060">
        <f>+L122*SERVEIS!$CN$47</f>
        <v>0</v>
      </c>
      <c r="AA122" s="1060">
        <f>+M122*SERVEIS!$CN$47</f>
        <v>0</v>
      </c>
      <c r="AB122" s="1060">
        <f>+N122*SERVEIS!$CN$47</f>
        <v>0</v>
      </c>
    </row>
    <row r="123" spans="1:28" x14ac:dyDescent="0.3">
      <c r="A123" s="633">
        <f t="shared" si="21"/>
        <v>180</v>
      </c>
      <c r="B123" s="72">
        <f>TRESORERIA!J$93</f>
        <v>0</v>
      </c>
      <c r="C123" s="799">
        <f>$I49*$B57</f>
        <v>0</v>
      </c>
      <c r="D123" s="799">
        <f>$J49*$B57</f>
        <v>0</v>
      </c>
      <c r="E123" s="799">
        <f>$K49*$B57</f>
        <v>0</v>
      </c>
      <c r="F123" s="799">
        <f>$L49*$B57</f>
        <v>0</v>
      </c>
      <c r="G123" s="799">
        <f>$M49*$B57</f>
        <v>0</v>
      </c>
      <c r="H123" s="799">
        <f>$N49*$B57</f>
        <v>0</v>
      </c>
      <c r="I123" s="799">
        <f>$C115*$B123</f>
        <v>0</v>
      </c>
      <c r="J123" s="799">
        <f>$D115*$B123</f>
        <v>0</v>
      </c>
      <c r="K123" s="799">
        <f>$E115*$B123</f>
        <v>0</v>
      </c>
      <c r="L123" s="799">
        <f>$F115*$B123</f>
        <v>0</v>
      </c>
      <c r="M123" s="1047">
        <f>$G115*$B123</f>
        <v>0</v>
      </c>
      <c r="N123" s="799">
        <f>$H115*$B123</f>
        <v>0</v>
      </c>
      <c r="O123" s="1044"/>
      <c r="Q123" s="1061">
        <f>+C123*SERVEIS!$CN$27</f>
        <v>0</v>
      </c>
      <c r="R123" s="1061">
        <f>+D123*SERVEIS!$CN$27</f>
        <v>0</v>
      </c>
      <c r="S123" s="1061">
        <f>+E123*SERVEIS!$CN$27</f>
        <v>0</v>
      </c>
      <c r="T123" s="1061">
        <f>+F123*SERVEIS!$CN$27</f>
        <v>0</v>
      </c>
      <c r="U123" s="1061">
        <f>+G123*SERVEIS!$CN$27</f>
        <v>0</v>
      </c>
      <c r="V123" s="1061">
        <f>+H123*SERVEIS!$CN$27</f>
        <v>0</v>
      </c>
      <c r="W123" s="1060">
        <f>+I123*SERVEIS!$CN$47</f>
        <v>0</v>
      </c>
      <c r="X123" s="1060">
        <f>+J123*SERVEIS!$CN$47</f>
        <v>0</v>
      </c>
      <c r="Y123" s="1060">
        <f>+K123*SERVEIS!$CN$47</f>
        <v>0</v>
      </c>
      <c r="Z123" s="1060">
        <f>+L123*SERVEIS!$CN$47</f>
        <v>0</v>
      </c>
      <c r="AA123" s="1060">
        <f>+M123*SERVEIS!$CN$47</f>
        <v>0</v>
      </c>
      <c r="AB123" s="1060">
        <f>+N123*SERVEIS!$CN$47</f>
        <v>0</v>
      </c>
    </row>
    <row r="124" spans="1:28" x14ac:dyDescent="0.3">
      <c r="A124" s="633">
        <f t="shared" si="21"/>
        <v>210</v>
      </c>
      <c r="B124" s="72">
        <f>TRESORERIA!K$93</f>
        <v>0</v>
      </c>
      <c r="C124" s="799">
        <f>$H49*$B58</f>
        <v>0</v>
      </c>
      <c r="D124" s="799">
        <f>$I49*$B58</f>
        <v>0</v>
      </c>
      <c r="E124" s="799">
        <f>$J49*$B58</f>
        <v>0</v>
      </c>
      <c r="F124" s="799">
        <f>$K49*$B58</f>
        <v>0</v>
      </c>
      <c r="G124" s="799">
        <f>$L49*$B58</f>
        <v>0</v>
      </c>
      <c r="H124" s="799">
        <f>$M49*$B58</f>
        <v>0</v>
      </c>
      <c r="I124" s="799">
        <f>$N49*$B58</f>
        <v>0</v>
      </c>
      <c r="J124" s="799">
        <f>$C115*$B124</f>
        <v>0</v>
      </c>
      <c r="K124" s="799">
        <f>$D115*$B124</f>
        <v>0</v>
      </c>
      <c r="L124" s="799">
        <f>$E115*$B124</f>
        <v>0</v>
      </c>
      <c r="M124" s="1047">
        <f>$F115*$B124</f>
        <v>0</v>
      </c>
      <c r="N124" s="799">
        <f>$G115*$B124</f>
        <v>0</v>
      </c>
      <c r="O124" s="1044"/>
      <c r="Q124" s="1061">
        <f>+C124*SERVEIS!$CN$27</f>
        <v>0</v>
      </c>
      <c r="R124" s="1061">
        <f>+D124*SERVEIS!$CN$27</f>
        <v>0</v>
      </c>
      <c r="S124" s="1061">
        <f>+E124*SERVEIS!$CN$27</f>
        <v>0</v>
      </c>
      <c r="T124" s="1061">
        <f>+F124*SERVEIS!$CN$27</f>
        <v>0</v>
      </c>
      <c r="U124" s="1061">
        <f>+G124*SERVEIS!$CN$27</f>
        <v>0</v>
      </c>
      <c r="V124" s="1061">
        <f>+H124*SERVEIS!$CN$27</f>
        <v>0</v>
      </c>
      <c r="W124" s="1061">
        <f>+I124*SERVEIS!$CN$27</f>
        <v>0</v>
      </c>
      <c r="X124" s="1060">
        <f>+J124*SERVEIS!$CN$47</f>
        <v>0</v>
      </c>
      <c r="Y124" s="1060">
        <f>+K124*SERVEIS!$CN$47</f>
        <v>0</v>
      </c>
      <c r="Z124" s="1060">
        <f>+L124*SERVEIS!$CN$47</f>
        <v>0</v>
      </c>
      <c r="AA124" s="1060">
        <f>+M124*SERVEIS!$CN$47</f>
        <v>0</v>
      </c>
      <c r="AB124" s="1060">
        <f>+N124*SERVEIS!$CN$47</f>
        <v>0</v>
      </c>
    </row>
    <row r="125" spans="1:28" x14ac:dyDescent="0.3">
      <c r="A125" s="633">
        <f t="shared" si="21"/>
        <v>240</v>
      </c>
      <c r="B125" s="72">
        <f>TRESORERIA!L$93</f>
        <v>0</v>
      </c>
      <c r="C125" s="799">
        <f>$G49*$B59</f>
        <v>0</v>
      </c>
      <c r="D125" s="799">
        <f>$H49*$B59</f>
        <v>0</v>
      </c>
      <c r="E125" s="799">
        <f>$I49*$B59</f>
        <v>0</v>
      </c>
      <c r="F125" s="799">
        <f>$J49*$B59</f>
        <v>0</v>
      </c>
      <c r="G125" s="799">
        <f>$K49*$B59</f>
        <v>0</v>
      </c>
      <c r="H125" s="799">
        <f>$L49*$B59</f>
        <v>0</v>
      </c>
      <c r="I125" s="799">
        <f>$M49*$B59</f>
        <v>0</v>
      </c>
      <c r="J125" s="799">
        <f>$N49*$B59</f>
        <v>0</v>
      </c>
      <c r="K125" s="799">
        <f>$C115*$B125</f>
        <v>0</v>
      </c>
      <c r="L125" s="799">
        <f>$D115*$B125</f>
        <v>0</v>
      </c>
      <c r="M125" s="1047">
        <f>$E115*$B125</f>
        <v>0</v>
      </c>
      <c r="N125" s="799">
        <f>$F115*$B125</f>
        <v>0</v>
      </c>
      <c r="O125" s="1044"/>
      <c r="Q125" s="1061">
        <f>+C125*SERVEIS!$CN$27</f>
        <v>0</v>
      </c>
      <c r="R125" s="1061">
        <f>+D125*SERVEIS!$CN$27</f>
        <v>0</v>
      </c>
      <c r="S125" s="1061">
        <f>+E125*SERVEIS!$CN$27</f>
        <v>0</v>
      </c>
      <c r="T125" s="1061">
        <f>+F125*SERVEIS!$CN$27</f>
        <v>0</v>
      </c>
      <c r="U125" s="1061">
        <f>+G125*SERVEIS!$CN$27</f>
        <v>0</v>
      </c>
      <c r="V125" s="1061">
        <f>+H125*SERVEIS!$CN$27</f>
        <v>0</v>
      </c>
      <c r="W125" s="1061">
        <f>+I125*SERVEIS!$CN$27</f>
        <v>0</v>
      </c>
      <c r="X125" s="1061">
        <f>+J125*SERVEIS!$CN$27</f>
        <v>0</v>
      </c>
      <c r="Y125" s="1060">
        <f>+K125*SERVEIS!$CN$47</f>
        <v>0</v>
      </c>
      <c r="Z125" s="1060">
        <f>+L125*SERVEIS!$CN$47</f>
        <v>0</v>
      </c>
      <c r="AA125" s="1060">
        <f>+M125*SERVEIS!$CN$47</f>
        <v>0</v>
      </c>
      <c r="AB125" s="1060">
        <f>+N125*SERVEIS!$CN$47</f>
        <v>0</v>
      </c>
    </row>
    <row r="126" spans="1:28" x14ac:dyDescent="0.3">
      <c r="A126" s="633">
        <f t="shared" si="21"/>
        <v>270</v>
      </c>
      <c r="B126" s="72">
        <f>TRESORERIA!M$93</f>
        <v>0</v>
      </c>
      <c r="C126" s="799">
        <f>$F49*$B60</f>
        <v>0</v>
      </c>
      <c r="D126" s="799">
        <f>$G49*$B60</f>
        <v>0</v>
      </c>
      <c r="E126" s="799">
        <f>$H49*$B60</f>
        <v>0</v>
      </c>
      <c r="F126" s="799">
        <f>$I49*$B60</f>
        <v>0</v>
      </c>
      <c r="G126" s="799">
        <f>$J49*$B60</f>
        <v>0</v>
      </c>
      <c r="H126" s="799">
        <f>$K49*$B60</f>
        <v>0</v>
      </c>
      <c r="I126" s="799">
        <f>$L49*$B60</f>
        <v>0</v>
      </c>
      <c r="J126" s="799">
        <f>$M49*$B60</f>
        <v>0</v>
      </c>
      <c r="K126" s="799">
        <f>$N49*$B60</f>
        <v>0</v>
      </c>
      <c r="L126" s="799">
        <f>$C115*$B126</f>
        <v>0</v>
      </c>
      <c r="M126" s="1047">
        <f>$D115*$B126</f>
        <v>0</v>
      </c>
      <c r="N126" s="799">
        <f>$E115*$B126</f>
        <v>0</v>
      </c>
      <c r="O126" s="1044"/>
      <c r="Q126" s="1061">
        <f>+C126*SERVEIS!$CN$27</f>
        <v>0</v>
      </c>
      <c r="R126" s="1061">
        <f>+D126*SERVEIS!$CN$27</f>
        <v>0</v>
      </c>
      <c r="S126" s="1061">
        <f>+E126*SERVEIS!$CN$27</f>
        <v>0</v>
      </c>
      <c r="T126" s="1061">
        <f>+F126*SERVEIS!$CN$27</f>
        <v>0</v>
      </c>
      <c r="U126" s="1061">
        <f>+G126*SERVEIS!$CN$27</f>
        <v>0</v>
      </c>
      <c r="V126" s="1061">
        <f>+H126*SERVEIS!$CN$27</f>
        <v>0</v>
      </c>
      <c r="W126" s="1061">
        <f>+I126*SERVEIS!$CN$27</f>
        <v>0</v>
      </c>
      <c r="X126" s="1061">
        <f>+J126*SERVEIS!$CN$27</f>
        <v>0</v>
      </c>
      <c r="Y126" s="1061">
        <f>+K126*SERVEIS!$CN$27</f>
        <v>0</v>
      </c>
      <c r="Z126" s="1060">
        <f>+L126*SERVEIS!$CN$47</f>
        <v>0</v>
      </c>
      <c r="AA126" s="1060">
        <f>+M126*SERVEIS!$CN$47</f>
        <v>0</v>
      </c>
      <c r="AB126" s="1060">
        <f>+N126*SERVEIS!$CN$47</f>
        <v>0</v>
      </c>
    </row>
    <row r="127" spans="1:28" x14ac:dyDescent="0.3">
      <c r="A127" s="633">
        <f t="shared" si="21"/>
        <v>300</v>
      </c>
      <c r="B127" s="72">
        <f>TRESORERIA!N$93</f>
        <v>0</v>
      </c>
      <c r="C127" s="799">
        <f>$E49*$B61</f>
        <v>0</v>
      </c>
      <c r="D127" s="799">
        <f>$F49*$B61</f>
        <v>0</v>
      </c>
      <c r="E127" s="799">
        <f>$G49*$B61</f>
        <v>0</v>
      </c>
      <c r="F127" s="799">
        <f>$H49*$B61</f>
        <v>0</v>
      </c>
      <c r="G127" s="799">
        <f>$I49*$B61</f>
        <v>0</v>
      </c>
      <c r="H127" s="799">
        <f>$J49*$B61</f>
        <v>0</v>
      </c>
      <c r="I127" s="799">
        <f>$K49*$B61</f>
        <v>0</v>
      </c>
      <c r="J127" s="799">
        <f>$L49*$B61</f>
        <v>0</v>
      </c>
      <c r="K127" s="799">
        <f>$M49*$B61</f>
        <v>0</v>
      </c>
      <c r="L127" s="799">
        <f>$N49*$B61</f>
        <v>0</v>
      </c>
      <c r="M127" s="1047">
        <f>$C115*$B127</f>
        <v>0</v>
      </c>
      <c r="N127" s="799">
        <f>$D115*$B127</f>
        <v>0</v>
      </c>
      <c r="O127" s="1044"/>
      <c r="Q127" s="1061">
        <f>+C127*SERVEIS!$CN$27</f>
        <v>0</v>
      </c>
      <c r="R127" s="1061">
        <f>+D127*SERVEIS!$CN$27</f>
        <v>0</v>
      </c>
      <c r="S127" s="1061">
        <f>+E127*SERVEIS!$CN$27</f>
        <v>0</v>
      </c>
      <c r="T127" s="1061">
        <f>+F127*SERVEIS!$CN$27</f>
        <v>0</v>
      </c>
      <c r="U127" s="1061">
        <f>+G127*SERVEIS!$CN$27</f>
        <v>0</v>
      </c>
      <c r="V127" s="1061">
        <f>+H127*SERVEIS!$CN$27</f>
        <v>0</v>
      </c>
      <c r="W127" s="1061">
        <f>+I127*SERVEIS!$CN$27</f>
        <v>0</v>
      </c>
      <c r="X127" s="1061">
        <f>+J127*SERVEIS!$CN$27</f>
        <v>0</v>
      </c>
      <c r="Y127" s="1061">
        <f>+K127*SERVEIS!$CN$27</f>
        <v>0</v>
      </c>
      <c r="Z127" s="1061">
        <f>+L127*SERVEIS!$CN$27</f>
        <v>0</v>
      </c>
      <c r="AA127" s="1060">
        <f>+M127*SERVEIS!$CN$47</f>
        <v>0</v>
      </c>
      <c r="AB127" s="1060">
        <f>+N127*SERVEIS!$CN$47</f>
        <v>0</v>
      </c>
    </row>
    <row r="128" spans="1:28" x14ac:dyDescent="0.3">
      <c r="A128" s="633">
        <f>A127+30</f>
        <v>330</v>
      </c>
      <c r="B128" s="72">
        <f>TRESORERIA!O$93</f>
        <v>0</v>
      </c>
      <c r="C128" s="799">
        <f>$D49*$B62</f>
        <v>0</v>
      </c>
      <c r="D128" s="799">
        <f>$E49*$B62</f>
        <v>0</v>
      </c>
      <c r="E128" s="799">
        <f>$F49*$B62</f>
        <v>0</v>
      </c>
      <c r="F128" s="799">
        <f>$G49*$B62</f>
        <v>0</v>
      </c>
      <c r="G128" s="799">
        <f>$H49*$B62</f>
        <v>0</v>
      </c>
      <c r="H128" s="799">
        <f>$I49*$B62</f>
        <v>0</v>
      </c>
      <c r="I128" s="799">
        <f>$J49*$B62</f>
        <v>0</v>
      </c>
      <c r="J128" s="799">
        <f>$K49*$B62</f>
        <v>0</v>
      </c>
      <c r="K128" s="799">
        <f>$L49*$B62</f>
        <v>0</v>
      </c>
      <c r="L128" s="799">
        <f>$M49*$B62</f>
        <v>0</v>
      </c>
      <c r="M128" s="1047">
        <f>$N49*$B62</f>
        <v>0</v>
      </c>
      <c r="N128" s="799">
        <f>$C115*$B128</f>
        <v>0</v>
      </c>
      <c r="O128" s="1044"/>
      <c r="Q128" s="1061">
        <f>+C128*SERVEIS!$CN$27</f>
        <v>0</v>
      </c>
      <c r="R128" s="1061">
        <f>+D128*SERVEIS!$CN$27</f>
        <v>0</v>
      </c>
      <c r="S128" s="1061">
        <f>+E128*SERVEIS!$CN$27</f>
        <v>0</v>
      </c>
      <c r="T128" s="1061">
        <f>+F128*SERVEIS!$CN$27</f>
        <v>0</v>
      </c>
      <c r="U128" s="1061">
        <f>+G128*SERVEIS!$CN$27</f>
        <v>0</v>
      </c>
      <c r="V128" s="1061">
        <f>+H128*SERVEIS!$CN$27</f>
        <v>0</v>
      </c>
      <c r="W128" s="1061">
        <f>+I128*SERVEIS!$CN$27</f>
        <v>0</v>
      </c>
      <c r="X128" s="1061">
        <f>+J128*SERVEIS!$CN$27</f>
        <v>0</v>
      </c>
      <c r="Y128" s="1061">
        <f>+K128*SERVEIS!$CN$27</f>
        <v>0</v>
      </c>
      <c r="Z128" s="1061">
        <f>+L128*SERVEIS!$CN$27</f>
        <v>0</v>
      </c>
      <c r="AA128" s="1061">
        <f>+M128*SERVEIS!$CN$27</f>
        <v>0</v>
      </c>
      <c r="AB128" s="1060">
        <f>+N128*SERVEIS!$CN$47</f>
        <v>0</v>
      </c>
    </row>
    <row r="129" spans="1:28" x14ac:dyDescent="0.3">
      <c r="A129" s="1048" t="s">
        <v>347</v>
      </c>
      <c r="B129" s="72">
        <f t="shared" ref="B129:N129" si="22">SUM(B117:B128)</f>
        <v>1</v>
      </c>
      <c r="C129" s="799">
        <f t="shared" si="22"/>
        <v>0</v>
      </c>
      <c r="D129" s="799">
        <f t="shared" si="22"/>
        <v>0</v>
      </c>
      <c r="E129" s="799">
        <f t="shared" si="22"/>
        <v>0</v>
      </c>
      <c r="F129" s="799">
        <f t="shared" si="22"/>
        <v>0</v>
      </c>
      <c r="G129" s="799">
        <f t="shared" si="22"/>
        <v>0</v>
      </c>
      <c r="H129" s="799">
        <f t="shared" si="22"/>
        <v>0</v>
      </c>
      <c r="I129" s="799">
        <f t="shared" si="22"/>
        <v>0</v>
      </c>
      <c r="J129" s="799">
        <f t="shared" si="22"/>
        <v>0</v>
      </c>
      <c r="K129" s="799">
        <f t="shared" si="22"/>
        <v>0</v>
      </c>
      <c r="L129" s="799">
        <f t="shared" si="22"/>
        <v>0</v>
      </c>
      <c r="M129" s="1047">
        <f t="shared" si="22"/>
        <v>0</v>
      </c>
      <c r="N129" s="799">
        <f t="shared" si="22"/>
        <v>0</v>
      </c>
      <c r="O129" s="1046"/>
      <c r="Q129" s="1062">
        <f t="shared" ref="Q129:AB129" si="23">SUM(Q117:Q128)</f>
        <v>0</v>
      </c>
      <c r="R129" s="1062">
        <f t="shared" si="23"/>
        <v>0</v>
      </c>
      <c r="S129" s="1062">
        <f t="shared" si="23"/>
        <v>0</v>
      </c>
      <c r="T129" s="1062">
        <f t="shared" si="23"/>
        <v>0</v>
      </c>
      <c r="U129" s="1062">
        <f t="shared" si="23"/>
        <v>0</v>
      </c>
      <c r="V129" s="1062">
        <f t="shared" si="23"/>
        <v>0</v>
      </c>
      <c r="W129" s="1062">
        <f t="shared" si="23"/>
        <v>0</v>
      </c>
      <c r="X129" s="1062">
        <f t="shared" si="23"/>
        <v>0</v>
      </c>
      <c r="Y129" s="1062">
        <f t="shared" si="23"/>
        <v>0</v>
      </c>
      <c r="Z129" s="1062">
        <f t="shared" si="23"/>
        <v>0</v>
      </c>
      <c r="AA129" s="1062">
        <f t="shared" si="23"/>
        <v>0</v>
      </c>
      <c r="AB129" s="1062">
        <f t="shared" si="23"/>
        <v>0</v>
      </c>
    </row>
    <row r="130" spans="1:28" x14ac:dyDescent="0.3">
      <c r="A130" s="1868" t="s">
        <v>349</v>
      </c>
      <c r="B130" s="1868"/>
      <c r="C130" s="1049">
        <f>C100+C115</f>
        <v>0</v>
      </c>
      <c r="D130" s="1049">
        <f t="shared" ref="D130:N130" si="24">D100+D115</f>
        <v>0</v>
      </c>
      <c r="E130" s="1049">
        <f t="shared" si="24"/>
        <v>0</v>
      </c>
      <c r="F130" s="1049">
        <f t="shared" si="24"/>
        <v>0</v>
      </c>
      <c r="G130" s="1049">
        <f t="shared" si="24"/>
        <v>0</v>
      </c>
      <c r="H130" s="1049">
        <f t="shared" si="24"/>
        <v>0</v>
      </c>
      <c r="I130" s="1049">
        <f t="shared" si="24"/>
        <v>0</v>
      </c>
      <c r="J130" s="1049">
        <f t="shared" si="24"/>
        <v>0</v>
      </c>
      <c r="K130" s="1049">
        <f t="shared" si="24"/>
        <v>0</v>
      </c>
      <c r="L130" s="1049">
        <f t="shared" si="24"/>
        <v>0</v>
      </c>
      <c r="M130" s="1049">
        <f t="shared" si="24"/>
        <v>0</v>
      </c>
      <c r="N130" s="1049">
        <f t="shared" si="24"/>
        <v>0</v>
      </c>
      <c r="O130" s="1041">
        <f>SUM(C130:N130)</f>
        <v>0</v>
      </c>
    </row>
    <row r="131" spans="1:28" x14ac:dyDescent="0.3">
      <c r="A131" s="1872"/>
      <c r="B131" s="1872"/>
      <c r="N131" s="1056"/>
    </row>
    <row r="132" spans="1:28" x14ac:dyDescent="0.3">
      <c r="A132" s="26"/>
      <c r="N132" s="990"/>
    </row>
    <row r="133" spans="1:28" ht="15.5" x14ac:dyDescent="0.35">
      <c r="A133" s="1871" t="s">
        <v>57</v>
      </c>
      <c r="B133" s="1871"/>
      <c r="C133" s="801" t="str">
        <f>C67</f>
        <v>GENER</v>
      </c>
      <c r="D133" s="801" t="str">
        <f t="shared" ref="D133:N133" si="25">D67</f>
        <v>FEBRER</v>
      </c>
      <c r="E133" s="801" t="str">
        <f t="shared" si="25"/>
        <v>MARÇ</v>
      </c>
      <c r="F133" s="801" t="str">
        <f t="shared" si="25"/>
        <v>ABRIL</v>
      </c>
      <c r="G133" s="801" t="str">
        <f t="shared" si="25"/>
        <v>MAIG</v>
      </c>
      <c r="H133" s="801" t="str">
        <f t="shared" si="25"/>
        <v>JUNY</v>
      </c>
      <c r="I133" s="801" t="str">
        <f t="shared" si="25"/>
        <v>JULIOL</v>
      </c>
      <c r="J133" s="801" t="str">
        <f t="shared" si="25"/>
        <v>AGOST</v>
      </c>
      <c r="K133" s="801" t="str">
        <f t="shared" si="25"/>
        <v>SETEMBRE</v>
      </c>
      <c r="L133" s="801" t="str">
        <f t="shared" si="25"/>
        <v>OCTUBRE</v>
      </c>
      <c r="M133" s="1038" t="str">
        <f t="shared" si="25"/>
        <v>NOVEMBRE</v>
      </c>
      <c r="N133" s="1063" t="str">
        <f t="shared" si="25"/>
        <v>DESEMBRE</v>
      </c>
      <c r="O133" s="1039" t="s">
        <v>245</v>
      </c>
      <c r="Q133" s="756" t="s">
        <v>356</v>
      </c>
      <c r="R133" s="1057"/>
      <c r="S133" s="1057"/>
      <c r="T133" s="1057"/>
      <c r="U133" s="1057"/>
      <c r="V133" s="1057"/>
      <c r="W133" s="1057"/>
      <c r="X133" s="1057"/>
      <c r="Y133" s="1057"/>
      <c r="Z133" s="1057"/>
      <c r="AA133" s="1057"/>
      <c r="AB133" s="1058"/>
    </row>
    <row r="134" spans="1:28" s="7" customFormat="1" x14ac:dyDescent="0.3">
      <c r="A134" s="1866" t="s">
        <v>354</v>
      </c>
      <c r="B134" s="1866"/>
      <c r="C134" s="29">
        <f>MERCADERIES!DC158</f>
        <v>0</v>
      </c>
      <c r="D134" s="29">
        <f>MERCADERIES!DD158</f>
        <v>0</v>
      </c>
      <c r="E134" s="29">
        <f>MERCADERIES!DE158</f>
        <v>0</v>
      </c>
      <c r="F134" s="29">
        <f>MERCADERIES!DF158</f>
        <v>0</v>
      </c>
      <c r="G134" s="29">
        <f>MERCADERIES!DG158</f>
        <v>0</v>
      </c>
      <c r="H134" s="29">
        <f>MERCADERIES!DH158</f>
        <v>0</v>
      </c>
      <c r="I134" s="29">
        <f>MERCADERIES!DI158</f>
        <v>0</v>
      </c>
      <c r="J134" s="29">
        <f>MERCADERIES!DJ158</f>
        <v>0</v>
      </c>
      <c r="K134" s="29">
        <f>MERCADERIES!DK158</f>
        <v>0</v>
      </c>
      <c r="L134" s="29">
        <f>MERCADERIES!DL158</f>
        <v>0</v>
      </c>
      <c r="M134" s="1040">
        <f>MERCADERIES!DM158</f>
        <v>0</v>
      </c>
      <c r="N134" s="29">
        <f>MERCADERIES!DN158</f>
        <v>0</v>
      </c>
      <c r="O134" s="1041">
        <f>SUM(C134:N134)</f>
        <v>0</v>
      </c>
    </row>
    <row r="135" spans="1:28" x14ac:dyDescent="0.3">
      <c r="A135" s="1866" t="s">
        <v>341</v>
      </c>
      <c r="B135" s="1866"/>
      <c r="C135" s="29"/>
      <c r="D135" s="29"/>
      <c r="E135" s="29"/>
      <c r="F135" s="29"/>
      <c r="G135" s="29"/>
      <c r="H135" s="29"/>
      <c r="I135" s="29"/>
      <c r="J135" s="29"/>
      <c r="K135" s="29"/>
      <c r="L135" s="29"/>
      <c r="M135" s="1040"/>
      <c r="N135" s="29"/>
      <c r="O135" s="1042"/>
    </row>
    <row r="136" spans="1:28" x14ac:dyDescent="0.3">
      <c r="A136" s="920">
        <v>0</v>
      </c>
      <c r="B136" s="1043">
        <f>TRESORERIA!D$175</f>
        <v>1</v>
      </c>
      <c r="C136" s="29">
        <f>$C134*$B136</f>
        <v>0</v>
      </c>
      <c r="D136" s="29">
        <f>$D134*$B136</f>
        <v>0</v>
      </c>
      <c r="E136" s="29">
        <f>$E134*$B136</f>
        <v>0</v>
      </c>
      <c r="F136" s="29">
        <f>$F134*$B136</f>
        <v>0</v>
      </c>
      <c r="G136" s="29">
        <f>$G134*$B136</f>
        <v>0</v>
      </c>
      <c r="H136" s="29">
        <f>$H134*$B136</f>
        <v>0</v>
      </c>
      <c r="I136" s="29">
        <f>$I134*$B136</f>
        <v>0</v>
      </c>
      <c r="J136" s="29">
        <f>$J134*$B136</f>
        <v>0</v>
      </c>
      <c r="K136" s="29">
        <f>$K134*$B136</f>
        <v>0</v>
      </c>
      <c r="L136" s="29">
        <f>$L134*$B136</f>
        <v>0</v>
      </c>
      <c r="M136" s="1040">
        <f>$M134*$B136</f>
        <v>0</v>
      </c>
      <c r="N136" s="29">
        <f>$N134*$B136</f>
        <v>0</v>
      </c>
      <c r="O136" s="1044"/>
    </row>
    <row r="137" spans="1:28" x14ac:dyDescent="0.3">
      <c r="A137" s="920">
        <f>A136+30</f>
        <v>30</v>
      </c>
      <c r="B137" s="1043">
        <f>TRESORERIA!E$175</f>
        <v>0</v>
      </c>
      <c r="C137" s="29">
        <f>$N68*$B71</f>
        <v>0</v>
      </c>
      <c r="D137" s="29">
        <f>$C134*$B137</f>
        <v>0</v>
      </c>
      <c r="E137" s="29">
        <f>$D134*$B137</f>
        <v>0</v>
      </c>
      <c r="F137" s="29">
        <f>$E134*$B137</f>
        <v>0</v>
      </c>
      <c r="G137" s="29">
        <f>$F134*$B137</f>
        <v>0</v>
      </c>
      <c r="H137" s="29">
        <f>$G134*$B137</f>
        <v>0</v>
      </c>
      <c r="I137" s="29">
        <f>$H134*$B137</f>
        <v>0</v>
      </c>
      <c r="J137" s="29">
        <f>$I134*$B137</f>
        <v>0</v>
      </c>
      <c r="K137" s="29">
        <f>$J134*$B137</f>
        <v>0</v>
      </c>
      <c r="L137" s="29">
        <f>$K134*$B137</f>
        <v>0</v>
      </c>
      <c r="M137" s="1040">
        <f>$L134*$B137</f>
        <v>0</v>
      </c>
      <c r="N137" s="29">
        <f>$M134*$B137</f>
        <v>0</v>
      </c>
      <c r="O137" s="1044"/>
    </row>
    <row r="138" spans="1:28" x14ac:dyDescent="0.3">
      <c r="A138" s="920">
        <f t="shared" ref="A138:A146" si="26">A137+30</f>
        <v>60</v>
      </c>
      <c r="B138" s="1043">
        <f>TRESORERIA!F$175</f>
        <v>0</v>
      </c>
      <c r="C138" s="29">
        <f>$M68*$B72</f>
        <v>0</v>
      </c>
      <c r="D138" s="29">
        <f>$N68*$B72</f>
        <v>0</v>
      </c>
      <c r="E138" s="29">
        <f>$C134*$B138</f>
        <v>0</v>
      </c>
      <c r="F138" s="29">
        <f>$D134*$B138</f>
        <v>0</v>
      </c>
      <c r="G138" s="29">
        <f>$E134*$B138</f>
        <v>0</v>
      </c>
      <c r="H138" s="29">
        <f>$F134*$B138</f>
        <v>0</v>
      </c>
      <c r="I138" s="29">
        <f>$G134*$B138</f>
        <v>0</v>
      </c>
      <c r="J138" s="29">
        <f>$H134*$B138</f>
        <v>0</v>
      </c>
      <c r="K138" s="29">
        <f>$I134*$B138</f>
        <v>0</v>
      </c>
      <c r="L138" s="29">
        <f>$J134*$B138</f>
        <v>0</v>
      </c>
      <c r="M138" s="1040">
        <f>$K134*$B138</f>
        <v>0</v>
      </c>
      <c r="N138" s="29">
        <f>$L134*$B138</f>
        <v>0</v>
      </c>
      <c r="O138" s="1044"/>
    </row>
    <row r="139" spans="1:28" x14ac:dyDescent="0.3">
      <c r="A139" s="920">
        <f t="shared" si="26"/>
        <v>90</v>
      </c>
      <c r="B139" s="1043">
        <f>TRESORERIA!G$175</f>
        <v>0</v>
      </c>
      <c r="C139" s="29">
        <f>$L68*$B73</f>
        <v>0</v>
      </c>
      <c r="D139" s="29">
        <f>$M68*$B73</f>
        <v>0</v>
      </c>
      <c r="E139" s="29">
        <f>$N68*$B73</f>
        <v>0</v>
      </c>
      <c r="F139" s="29">
        <f>$C134*$B139</f>
        <v>0</v>
      </c>
      <c r="G139" s="29">
        <f>$D134*$B139</f>
        <v>0</v>
      </c>
      <c r="H139" s="29">
        <f>$E134*$B139</f>
        <v>0</v>
      </c>
      <c r="I139" s="29">
        <f>$F134*$B139</f>
        <v>0</v>
      </c>
      <c r="J139" s="29">
        <f>$G134*$B139</f>
        <v>0</v>
      </c>
      <c r="K139" s="29">
        <f>$H134*$B139</f>
        <v>0</v>
      </c>
      <c r="L139" s="29">
        <f>$I134*$B139</f>
        <v>0</v>
      </c>
      <c r="M139" s="1040">
        <f>$J134*$B139</f>
        <v>0</v>
      </c>
      <c r="N139" s="29">
        <f>$K134*$B139</f>
        <v>0</v>
      </c>
      <c r="O139" s="1044"/>
    </row>
    <row r="140" spans="1:28" x14ac:dyDescent="0.3">
      <c r="A140" s="920">
        <f t="shared" si="26"/>
        <v>120</v>
      </c>
      <c r="B140" s="1043">
        <f>TRESORERIA!H$175</f>
        <v>0</v>
      </c>
      <c r="C140" s="29">
        <f>$K68*$B74</f>
        <v>0</v>
      </c>
      <c r="D140" s="29">
        <f>$L68*$B74</f>
        <v>0</v>
      </c>
      <c r="E140" s="29">
        <f>$M68*$B74</f>
        <v>0</v>
      </c>
      <c r="F140" s="29">
        <f>$N68*$B74</f>
        <v>0</v>
      </c>
      <c r="G140" s="29">
        <f>$C134*$B140</f>
        <v>0</v>
      </c>
      <c r="H140" s="29">
        <f>$D134*$B140</f>
        <v>0</v>
      </c>
      <c r="I140" s="29">
        <f>$E134*$B140</f>
        <v>0</v>
      </c>
      <c r="J140" s="29">
        <f>$F134*$B140</f>
        <v>0</v>
      </c>
      <c r="K140" s="29">
        <f>$G134*$B140</f>
        <v>0</v>
      </c>
      <c r="L140" s="29">
        <f>$H134*$B140</f>
        <v>0</v>
      </c>
      <c r="M140" s="1040">
        <f>$I134*$B140</f>
        <v>0</v>
      </c>
      <c r="N140" s="29">
        <f>$J134*$B140</f>
        <v>0</v>
      </c>
      <c r="O140" s="1044"/>
    </row>
    <row r="141" spans="1:28" x14ac:dyDescent="0.3">
      <c r="A141" s="920">
        <f t="shared" si="26"/>
        <v>150</v>
      </c>
      <c r="B141" s="1043">
        <f>TRESORERIA!I$175</f>
        <v>0</v>
      </c>
      <c r="C141" s="29">
        <f>$J68*$B75</f>
        <v>0</v>
      </c>
      <c r="D141" s="29">
        <f>$K68*$B75</f>
        <v>0</v>
      </c>
      <c r="E141" s="29">
        <f>$L68*$B75</f>
        <v>0</v>
      </c>
      <c r="F141" s="29">
        <f>$M68*$B75</f>
        <v>0</v>
      </c>
      <c r="G141" s="29">
        <f>$N68*$B75</f>
        <v>0</v>
      </c>
      <c r="H141" s="29">
        <f>$C134*$B141</f>
        <v>0</v>
      </c>
      <c r="I141" s="29">
        <f>$D134*$B141</f>
        <v>0</v>
      </c>
      <c r="J141" s="29">
        <f>$E134*$B141</f>
        <v>0</v>
      </c>
      <c r="K141" s="29">
        <f>$F134*$B141</f>
        <v>0</v>
      </c>
      <c r="L141" s="29">
        <f>$G134*$B141</f>
        <v>0</v>
      </c>
      <c r="M141" s="1040">
        <f>$H134*$B141</f>
        <v>0</v>
      </c>
      <c r="N141" s="29">
        <f>$I134*$B141</f>
        <v>0</v>
      </c>
      <c r="O141" s="1044"/>
    </row>
    <row r="142" spans="1:28" x14ac:dyDescent="0.3">
      <c r="A142" s="920">
        <f t="shared" si="26"/>
        <v>180</v>
      </c>
      <c r="B142" s="1043">
        <f>TRESORERIA!J$175</f>
        <v>0</v>
      </c>
      <c r="C142" s="29">
        <f>$I68*$B76</f>
        <v>0</v>
      </c>
      <c r="D142" s="29">
        <f>$J68*$B76</f>
        <v>0</v>
      </c>
      <c r="E142" s="29">
        <f>$K68*$B76</f>
        <v>0</v>
      </c>
      <c r="F142" s="29">
        <f>$L68*$B76</f>
        <v>0</v>
      </c>
      <c r="G142" s="29">
        <f>$M68*$B76</f>
        <v>0</v>
      </c>
      <c r="H142" s="29">
        <f>$N68*$B76</f>
        <v>0</v>
      </c>
      <c r="I142" s="29">
        <f>$C134*$B142</f>
        <v>0</v>
      </c>
      <c r="J142" s="29">
        <f>$D134*$B142</f>
        <v>0</v>
      </c>
      <c r="K142" s="29">
        <f>$E134*$B142</f>
        <v>0</v>
      </c>
      <c r="L142" s="29">
        <f>$F134*$B142</f>
        <v>0</v>
      </c>
      <c r="M142" s="1040">
        <f>$G134*$B142</f>
        <v>0</v>
      </c>
      <c r="N142" s="29">
        <f>$H134*$B142</f>
        <v>0</v>
      </c>
      <c r="O142" s="1044"/>
    </row>
    <row r="143" spans="1:28" x14ac:dyDescent="0.3">
      <c r="A143" s="920">
        <f t="shared" si="26"/>
        <v>210</v>
      </c>
      <c r="B143" s="1043">
        <f>TRESORERIA!K$175</f>
        <v>0</v>
      </c>
      <c r="C143" s="29">
        <f>$H68*$B77</f>
        <v>0</v>
      </c>
      <c r="D143" s="29">
        <f>$I68*$B77</f>
        <v>0</v>
      </c>
      <c r="E143" s="29">
        <f>$J68*$B77</f>
        <v>0</v>
      </c>
      <c r="F143" s="29">
        <f>$K68*$B77</f>
        <v>0</v>
      </c>
      <c r="G143" s="29">
        <f>$L68*$B77</f>
        <v>0</v>
      </c>
      <c r="H143" s="29">
        <f>$M68*$B77</f>
        <v>0</v>
      </c>
      <c r="I143" s="29">
        <f>$N68*$B77</f>
        <v>0</v>
      </c>
      <c r="J143" s="29">
        <f>$C134*$B143</f>
        <v>0</v>
      </c>
      <c r="K143" s="29">
        <f>$D134*$B143</f>
        <v>0</v>
      </c>
      <c r="L143" s="29">
        <f>$E134*$B143</f>
        <v>0</v>
      </c>
      <c r="M143" s="1040">
        <f>$F134*$B143</f>
        <v>0</v>
      </c>
      <c r="N143" s="29">
        <f>$G134*$B143</f>
        <v>0</v>
      </c>
      <c r="O143" s="1044"/>
    </row>
    <row r="144" spans="1:28" x14ac:dyDescent="0.3">
      <c r="A144" s="920">
        <f t="shared" si="26"/>
        <v>240</v>
      </c>
      <c r="B144" s="1043">
        <f>TRESORERIA!L$175</f>
        <v>0</v>
      </c>
      <c r="C144" s="29">
        <f>$G68*$B78</f>
        <v>0</v>
      </c>
      <c r="D144" s="29">
        <f>$H68*$B78</f>
        <v>0</v>
      </c>
      <c r="E144" s="29">
        <f>$I68*$B78</f>
        <v>0</v>
      </c>
      <c r="F144" s="29">
        <f>$J68*$B78</f>
        <v>0</v>
      </c>
      <c r="G144" s="29">
        <f>$K68*$B78</f>
        <v>0</v>
      </c>
      <c r="H144" s="29">
        <f>$L68*$B78</f>
        <v>0</v>
      </c>
      <c r="I144" s="29">
        <f>$M68*$B78</f>
        <v>0</v>
      </c>
      <c r="J144" s="29">
        <f>$N68*$B78</f>
        <v>0</v>
      </c>
      <c r="K144" s="29">
        <f>$C134*$B144</f>
        <v>0</v>
      </c>
      <c r="L144" s="29">
        <f>$D134*$B144</f>
        <v>0</v>
      </c>
      <c r="M144" s="1040">
        <f>$E134*$B144</f>
        <v>0</v>
      </c>
      <c r="N144" s="29">
        <f>$F134*$B144</f>
        <v>0</v>
      </c>
      <c r="O144" s="1044"/>
    </row>
    <row r="145" spans="1:28" x14ac:dyDescent="0.3">
      <c r="A145" s="920">
        <f t="shared" si="26"/>
        <v>270</v>
      </c>
      <c r="B145" s="1043">
        <f>TRESORERIA!M$175</f>
        <v>0</v>
      </c>
      <c r="C145" s="29">
        <f>$F68*$B79</f>
        <v>0</v>
      </c>
      <c r="D145" s="29">
        <f>$G68*$B79</f>
        <v>0</v>
      </c>
      <c r="E145" s="29">
        <f>$H68*$B79</f>
        <v>0</v>
      </c>
      <c r="F145" s="29">
        <f>$I68*$B79</f>
        <v>0</v>
      </c>
      <c r="G145" s="29">
        <f>$J68*$B79</f>
        <v>0</v>
      </c>
      <c r="H145" s="29">
        <f>$K68*$B79</f>
        <v>0</v>
      </c>
      <c r="I145" s="29">
        <f>$L68*$B79</f>
        <v>0</v>
      </c>
      <c r="J145" s="29">
        <f>$M68*$B79</f>
        <v>0</v>
      </c>
      <c r="K145" s="29">
        <f>$N68*$B79</f>
        <v>0</v>
      </c>
      <c r="L145" s="29">
        <f>$C134*$B145</f>
        <v>0</v>
      </c>
      <c r="M145" s="1040">
        <f>$D134*$B145</f>
        <v>0</v>
      </c>
      <c r="N145" s="29">
        <f>$E134*$B145</f>
        <v>0</v>
      </c>
      <c r="O145" s="1044"/>
    </row>
    <row r="146" spans="1:28" x14ac:dyDescent="0.3">
      <c r="A146" s="920">
        <f t="shared" si="26"/>
        <v>300</v>
      </c>
      <c r="B146" s="1043">
        <f>TRESORERIA!N$175</f>
        <v>0</v>
      </c>
      <c r="C146" s="29">
        <f>$E68*$B80</f>
        <v>0</v>
      </c>
      <c r="D146" s="29">
        <f>$F68*$B80</f>
        <v>0</v>
      </c>
      <c r="E146" s="29">
        <f>$G68*$B80</f>
        <v>0</v>
      </c>
      <c r="F146" s="29">
        <f>$H68*$B80</f>
        <v>0</v>
      </c>
      <c r="G146" s="29">
        <f>$I68*$B80</f>
        <v>0</v>
      </c>
      <c r="H146" s="29">
        <f>$J68*$B80</f>
        <v>0</v>
      </c>
      <c r="I146" s="29">
        <f>$K68*$B80</f>
        <v>0</v>
      </c>
      <c r="J146" s="29">
        <f>$L68*$B80</f>
        <v>0</v>
      </c>
      <c r="K146" s="29">
        <f>$M68*$B80</f>
        <v>0</v>
      </c>
      <c r="L146" s="29">
        <f>$N68*$B80</f>
        <v>0</v>
      </c>
      <c r="M146" s="1040">
        <f>$C134*$B146</f>
        <v>0</v>
      </c>
      <c r="N146" s="29">
        <f>$D134*$B146</f>
        <v>0</v>
      </c>
      <c r="O146" s="1044"/>
    </row>
    <row r="147" spans="1:28" x14ac:dyDescent="0.3">
      <c r="A147" s="920">
        <f>A146+30</f>
        <v>330</v>
      </c>
      <c r="B147" s="1043">
        <f>TRESORERIA!O$175</f>
        <v>0</v>
      </c>
      <c r="C147" s="29">
        <f>$D68*$B81</f>
        <v>0</v>
      </c>
      <c r="D147" s="29">
        <f>$E68*$B81</f>
        <v>0</v>
      </c>
      <c r="E147" s="29">
        <f>$F68*$B81</f>
        <v>0</v>
      </c>
      <c r="F147" s="29">
        <f>$G68*$B81</f>
        <v>0</v>
      </c>
      <c r="G147" s="29">
        <f>$H68*$B81</f>
        <v>0</v>
      </c>
      <c r="H147" s="29">
        <f>$I68*$B81</f>
        <v>0</v>
      </c>
      <c r="I147" s="29">
        <f>$J68*$B81</f>
        <v>0</v>
      </c>
      <c r="J147" s="29">
        <f>$K68*$B81</f>
        <v>0</v>
      </c>
      <c r="K147" s="29">
        <f>$L68*$B81</f>
        <v>0</v>
      </c>
      <c r="L147" s="29">
        <f>$M68*$B81</f>
        <v>0</v>
      </c>
      <c r="M147" s="1040">
        <f>$N68*$B81</f>
        <v>0</v>
      </c>
      <c r="N147" s="29">
        <f>$C134*$B147</f>
        <v>0</v>
      </c>
      <c r="O147" s="1044"/>
    </row>
    <row r="148" spans="1:28" x14ac:dyDescent="0.3">
      <c r="A148" s="1045" t="s">
        <v>342</v>
      </c>
      <c r="B148" s="1043">
        <f t="shared" ref="B148:N148" si="27">SUM(B136:B147)</f>
        <v>1</v>
      </c>
      <c r="C148" s="29">
        <f t="shared" si="27"/>
        <v>0</v>
      </c>
      <c r="D148" s="29">
        <f t="shared" si="27"/>
        <v>0</v>
      </c>
      <c r="E148" s="29">
        <f t="shared" si="27"/>
        <v>0</v>
      </c>
      <c r="F148" s="29">
        <f t="shared" si="27"/>
        <v>0</v>
      </c>
      <c r="G148" s="29">
        <f t="shared" si="27"/>
        <v>0</v>
      </c>
      <c r="H148" s="29">
        <f t="shared" si="27"/>
        <v>0</v>
      </c>
      <c r="I148" s="29">
        <f t="shared" si="27"/>
        <v>0</v>
      </c>
      <c r="J148" s="29">
        <f t="shared" si="27"/>
        <v>0</v>
      </c>
      <c r="K148" s="29">
        <f t="shared" si="27"/>
        <v>0</v>
      </c>
      <c r="L148" s="29">
        <f t="shared" si="27"/>
        <v>0</v>
      </c>
      <c r="M148" s="1040">
        <f t="shared" si="27"/>
        <v>0</v>
      </c>
      <c r="N148" s="29">
        <f t="shared" si="27"/>
        <v>0</v>
      </c>
      <c r="O148" s="1046"/>
    </row>
    <row r="149" spans="1:28" x14ac:dyDescent="0.3">
      <c r="A149" s="1867" t="s">
        <v>343</v>
      </c>
      <c r="B149" s="1867"/>
      <c r="C149" s="799">
        <f>SERVEIS!CB62</f>
        <v>0</v>
      </c>
      <c r="D149" s="799">
        <f>SERVEIS!CC62</f>
        <v>0</v>
      </c>
      <c r="E149" s="799">
        <f>SERVEIS!CD62</f>
        <v>0</v>
      </c>
      <c r="F149" s="799">
        <f>SERVEIS!CE62</f>
        <v>0</v>
      </c>
      <c r="G149" s="799">
        <f>SERVEIS!CF62</f>
        <v>0</v>
      </c>
      <c r="H149" s="799">
        <f>SERVEIS!CG62</f>
        <v>0</v>
      </c>
      <c r="I149" s="799">
        <f>SERVEIS!CH62</f>
        <v>0</v>
      </c>
      <c r="J149" s="799">
        <f>SERVEIS!CI62</f>
        <v>0</v>
      </c>
      <c r="K149" s="799">
        <f>SERVEIS!CJ62</f>
        <v>0</v>
      </c>
      <c r="L149" s="799">
        <f>SERVEIS!CK62</f>
        <v>0</v>
      </c>
      <c r="M149" s="1047">
        <f>SERVEIS!CL62</f>
        <v>0</v>
      </c>
      <c r="N149" s="799">
        <f>SERVEIS!CM62</f>
        <v>0</v>
      </c>
      <c r="O149" s="1041">
        <f>SUM(C149:N149)</f>
        <v>0</v>
      </c>
    </row>
    <row r="150" spans="1:28" x14ac:dyDescent="0.3">
      <c r="A150" s="1867" t="s">
        <v>341</v>
      </c>
      <c r="B150" s="1867"/>
      <c r="C150" s="799"/>
      <c r="D150" s="799"/>
      <c r="E150" s="799"/>
      <c r="F150" s="799"/>
      <c r="G150" s="799"/>
      <c r="H150" s="799"/>
      <c r="I150" s="799"/>
      <c r="J150" s="799"/>
      <c r="K150" s="799"/>
      <c r="L150" s="799"/>
      <c r="M150" s="1047"/>
      <c r="N150" s="799"/>
      <c r="O150" s="1042"/>
      <c r="Q150" s="794" t="str">
        <f t="shared" ref="Q150:AB150" si="28">+C133</f>
        <v>GENER</v>
      </c>
      <c r="R150" s="794" t="str">
        <f t="shared" si="28"/>
        <v>FEBRER</v>
      </c>
      <c r="S150" s="794" t="str">
        <f t="shared" si="28"/>
        <v>MARÇ</v>
      </c>
      <c r="T150" s="794" t="str">
        <f t="shared" si="28"/>
        <v>ABRIL</v>
      </c>
      <c r="U150" s="794" t="str">
        <f t="shared" si="28"/>
        <v>MAIG</v>
      </c>
      <c r="V150" s="794" t="str">
        <f t="shared" si="28"/>
        <v>JUNY</v>
      </c>
      <c r="W150" s="794" t="str">
        <f t="shared" si="28"/>
        <v>JULIOL</v>
      </c>
      <c r="X150" s="794" t="str">
        <f t="shared" si="28"/>
        <v>AGOST</v>
      </c>
      <c r="Y150" s="794" t="str">
        <f t="shared" si="28"/>
        <v>SETEMBRE</v>
      </c>
      <c r="Z150" s="794" t="str">
        <f t="shared" si="28"/>
        <v>OCTUBRE</v>
      </c>
      <c r="AA150" s="794" t="str">
        <f t="shared" si="28"/>
        <v>NOVEMBRE</v>
      </c>
      <c r="AB150" s="794" t="str">
        <f t="shared" si="28"/>
        <v>DESEMBRE</v>
      </c>
    </row>
    <row r="151" spans="1:28" x14ac:dyDescent="0.3">
      <c r="A151" s="633">
        <v>0</v>
      </c>
      <c r="B151" s="72">
        <f>TRESORERIA!D$176</f>
        <v>1</v>
      </c>
      <c r="C151" s="799">
        <f>$C149*$B151</f>
        <v>0</v>
      </c>
      <c r="D151" s="799">
        <f>$D149*$B151</f>
        <v>0</v>
      </c>
      <c r="E151" s="799">
        <f>$E149*$B151</f>
        <v>0</v>
      </c>
      <c r="F151" s="799">
        <f>$F149*$B151</f>
        <v>0</v>
      </c>
      <c r="G151" s="799">
        <f>$G149*$B151</f>
        <v>0</v>
      </c>
      <c r="H151" s="799">
        <f>$H149*$B151</f>
        <v>0</v>
      </c>
      <c r="I151" s="799">
        <f>$I149*$B151</f>
        <v>0</v>
      </c>
      <c r="J151" s="799">
        <f>$J149*$B151</f>
        <v>0</v>
      </c>
      <c r="K151" s="799">
        <f>$K149*$B151</f>
        <v>0</v>
      </c>
      <c r="L151" s="799">
        <f>$L149*$B151</f>
        <v>0</v>
      </c>
      <c r="M151" s="1047">
        <f>$M149*$B151</f>
        <v>0</v>
      </c>
      <c r="N151" s="799">
        <f>$N149*$B151</f>
        <v>0</v>
      </c>
      <c r="O151" s="1044"/>
      <c r="Q151" s="1064">
        <f>+C151*SERVEIS!$CN$65</f>
        <v>0</v>
      </c>
      <c r="R151" s="1064">
        <f>+D151*SERVEIS!$CN$65</f>
        <v>0</v>
      </c>
      <c r="S151" s="1064">
        <f>+E151*SERVEIS!$CN$65</f>
        <v>0</v>
      </c>
      <c r="T151" s="1064">
        <f>+F151*SERVEIS!$CN$65</f>
        <v>0</v>
      </c>
      <c r="U151" s="1064">
        <f>+G151*SERVEIS!$CN$65</f>
        <v>0</v>
      </c>
      <c r="V151" s="1064">
        <f>+H151*SERVEIS!$CN$65</f>
        <v>0</v>
      </c>
      <c r="W151" s="1064">
        <f>+I151*SERVEIS!$CN$65</f>
        <v>0</v>
      </c>
      <c r="X151" s="1064">
        <f>+J151*SERVEIS!$CN$65</f>
        <v>0</v>
      </c>
      <c r="Y151" s="1064">
        <f>+K151*SERVEIS!$CN$65</f>
        <v>0</v>
      </c>
      <c r="Z151" s="1064">
        <f>+L151*SERVEIS!$CN$65</f>
        <v>0</v>
      </c>
      <c r="AA151" s="1064">
        <f>+M151*SERVEIS!$CN$65</f>
        <v>0</v>
      </c>
      <c r="AB151" s="1064">
        <f>+N151*SERVEIS!$CN$65</f>
        <v>0</v>
      </c>
    </row>
    <row r="152" spans="1:28" x14ac:dyDescent="0.3">
      <c r="A152" s="633">
        <f>A151+30</f>
        <v>30</v>
      </c>
      <c r="B152" s="72">
        <f>TRESORERIA!E$176</f>
        <v>0</v>
      </c>
      <c r="C152" s="799">
        <f>$N83*$B86</f>
        <v>0</v>
      </c>
      <c r="D152" s="799">
        <f>$C149*$B152</f>
        <v>0</v>
      </c>
      <c r="E152" s="799">
        <f>$D149*$B152</f>
        <v>0</v>
      </c>
      <c r="F152" s="799">
        <f>$E149*$B152</f>
        <v>0</v>
      </c>
      <c r="G152" s="799">
        <f>$F149*$B152</f>
        <v>0</v>
      </c>
      <c r="H152" s="799">
        <f>$G149*$B152</f>
        <v>0</v>
      </c>
      <c r="I152" s="799">
        <f>$H149*$B152</f>
        <v>0</v>
      </c>
      <c r="J152" s="799">
        <f>$I149*$B152</f>
        <v>0</v>
      </c>
      <c r="K152" s="799">
        <f>$J149*$B152</f>
        <v>0</v>
      </c>
      <c r="L152" s="799">
        <f>$K149*$B152</f>
        <v>0</v>
      </c>
      <c r="M152" s="1047">
        <f>$L149*$B152</f>
        <v>0</v>
      </c>
      <c r="N152" s="799">
        <f>$M149*$B152</f>
        <v>0</v>
      </c>
      <c r="O152" s="1044"/>
      <c r="Q152" s="1060">
        <f>+C152*SERVEIS!$CN$45</f>
        <v>0</v>
      </c>
      <c r="R152" s="1064">
        <f>+D152*SERVEIS!$CN$65</f>
        <v>0</v>
      </c>
      <c r="S152" s="1064">
        <f>+E152*SERVEIS!$CN$65</f>
        <v>0</v>
      </c>
      <c r="T152" s="1064">
        <f>+F152*SERVEIS!$CN$65</f>
        <v>0</v>
      </c>
      <c r="U152" s="1064">
        <f>+G152*SERVEIS!$CN$65</f>
        <v>0</v>
      </c>
      <c r="V152" s="1064">
        <f>+H152*SERVEIS!$CN$65</f>
        <v>0</v>
      </c>
      <c r="W152" s="1064">
        <f>+I152*SERVEIS!$CN$65</f>
        <v>0</v>
      </c>
      <c r="X152" s="1064">
        <f>+J152*SERVEIS!$CN$65</f>
        <v>0</v>
      </c>
      <c r="Y152" s="1064">
        <f>+K152*SERVEIS!$CN$65</f>
        <v>0</v>
      </c>
      <c r="Z152" s="1064">
        <f>+L152*SERVEIS!$CN$65</f>
        <v>0</v>
      </c>
      <c r="AA152" s="1064">
        <f>+M152*SERVEIS!$CN$65</f>
        <v>0</v>
      </c>
      <c r="AB152" s="1064">
        <f>+N152*SERVEIS!$CN$65</f>
        <v>0</v>
      </c>
    </row>
    <row r="153" spans="1:28" x14ac:dyDescent="0.3">
      <c r="A153" s="633">
        <f t="shared" ref="A153:A161" si="29">A152+30</f>
        <v>60</v>
      </c>
      <c r="B153" s="72">
        <f>TRESORERIA!F$176</f>
        <v>0</v>
      </c>
      <c r="C153" s="799">
        <f>$M83*$B87</f>
        <v>0</v>
      </c>
      <c r="D153" s="799">
        <f>$N83*$B87</f>
        <v>0</v>
      </c>
      <c r="E153" s="799">
        <f>$C149*$B153</f>
        <v>0</v>
      </c>
      <c r="F153" s="799">
        <f>$D149*$B153</f>
        <v>0</v>
      </c>
      <c r="G153" s="799">
        <f>$E149*$B153</f>
        <v>0</v>
      </c>
      <c r="H153" s="799">
        <f>$F149*$B153</f>
        <v>0</v>
      </c>
      <c r="I153" s="799">
        <f>$G149*$B153</f>
        <v>0</v>
      </c>
      <c r="J153" s="799">
        <f>$H149*$B153</f>
        <v>0</v>
      </c>
      <c r="K153" s="799">
        <f>$I149*$B153</f>
        <v>0</v>
      </c>
      <c r="L153" s="799">
        <f>$J149*$B153</f>
        <v>0</v>
      </c>
      <c r="M153" s="1047">
        <f>$K149*$B153</f>
        <v>0</v>
      </c>
      <c r="N153" s="799">
        <f>$L149*$B153</f>
        <v>0</v>
      </c>
      <c r="O153" s="1044"/>
      <c r="Q153" s="1060">
        <f>+C153*SERVEIS!$CN$45</f>
        <v>0</v>
      </c>
      <c r="R153" s="1060">
        <f>+D153*SERVEIS!$CN$45</f>
        <v>0</v>
      </c>
      <c r="S153" s="1064">
        <f>+E153*SERVEIS!$CN$65</f>
        <v>0</v>
      </c>
      <c r="T153" s="1064">
        <f>+F153*SERVEIS!$CN$65</f>
        <v>0</v>
      </c>
      <c r="U153" s="1064">
        <f>+G153*SERVEIS!$CN$65</f>
        <v>0</v>
      </c>
      <c r="V153" s="1064">
        <f>+H153*SERVEIS!$CN$65</f>
        <v>0</v>
      </c>
      <c r="W153" s="1064">
        <f>+I153*SERVEIS!$CN$65</f>
        <v>0</v>
      </c>
      <c r="X153" s="1064">
        <f>+J153*SERVEIS!$CN$65</f>
        <v>0</v>
      </c>
      <c r="Y153" s="1064">
        <f>+K153*SERVEIS!$CN$65</f>
        <v>0</v>
      </c>
      <c r="Z153" s="1064">
        <f>+L153*SERVEIS!$CN$65</f>
        <v>0</v>
      </c>
      <c r="AA153" s="1064">
        <f>+M153*SERVEIS!$CN$65</f>
        <v>0</v>
      </c>
      <c r="AB153" s="1064">
        <f>+N153*SERVEIS!$CN$65</f>
        <v>0</v>
      </c>
    </row>
    <row r="154" spans="1:28" x14ac:dyDescent="0.3">
      <c r="A154" s="633">
        <f t="shared" si="29"/>
        <v>90</v>
      </c>
      <c r="B154" s="72">
        <f>TRESORERIA!G$176</f>
        <v>0</v>
      </c>
      <c r="C154" s="799">
        <f>$L83*$B88</f>
        <v>0</v>
      </c>
      <c r="D154" s="799">
        <f>$M83*$B88</f>
        <v>0</v>
      </c>
      <c r="E154" s="799">
        <f>$N83*$B88</f>
        <v>0</v>
      </c>
      <c r="F154" s="799">
        <f>$C149*$B154</f>
        <v>0</v>
      </c>
      <c r="G154" s="799">
        <f>$D149*$B154</f>
        <v>0</v>
      </c>
      <c r="H154" s="799">
        <f>$E149*$B154</f>
        <v>0</v>
      </c>
      <c r="I154" s="799">
        <f>$F149*$B154</f>
        <v>0</v>
      </c>
      <c r="J154" s="799">
        <f>$G149*$B154</f>
        <v>0</v>
      </c>
      <c r="K154" s="799">
        <f>$H149*$B154</f>
        <v>0</v>
      </c>
      <c r="L154" s="799">
        <f>$I149*$B154</f>
        <v>0</v>
      </c>
      <c r="M154" s="1047">
        <f>$J149*$B154</f>
        <v>0</v>
      </c>
      <c r="N154" s="799">
        <f>$K149*$B154</f>
        <v>0</v>
      </c>
      <c r="O154" s="1044"/>
      <c r="Q154" s="1060">
        <f>+C154*SERVEIS!$CN$45</f>
        <v>0</v>
      </c>
      <c r="R154" s="1060">
        <f>+D154*SERVEIS!$CN$45</f>
        <v>0</v>
      </c>
      <c r="S154" s="1060">
        <f>+E154*SERVEIS!$CN$45</f>
        <v>0</v>
      </c>
      <c r="T154" s="1064">
        <f>+F154*SERVEIS!$CN$65</f>
        <v>0</v>
      </c>
      <c r="U154" s="1064">
        <f>+G154*SERVEIS!$CN$65</f>
        <v>0</v>
      </c>
      <c r="V154" s="1064">
        <f>+H154*SERVEIS!$CN$65</f>
        <v>0</v>
      </c>
      <c r="W154" s="1064">
        <f>+I154*SERVEIS!$CN$65</f>
        <v>0</v>
      </c>
      <c r="X154" s="1064">
        <f>+J154*SERVEIS!$CN$65</f>
        <v>0</v>
      </c>
      <c r="Y154" s="1064">
        <f>+K154*SERVEIS!$CN$65</f>
        <v>0</v>
      </c>
      <c r="Z154" s="1064">
        <f>+L154*SERVEIS!$CN$65</f>
        <v>0</v>
      </c>
      <c r="AA154" s="1064">
        <f>+M154*SERVEIS!$CN$65</f>
        <v>0</v>
      </c>
      <c r="AB154" s="1064">
        <f>+N154*SERVEIS!$CN$65</f>
        <v>0</v>
      </c>
    </row>
    <row r="155" spans="1:28" x14ac:dyDescent="0.3">
      <c r="A155" s="633">
        <f t="shared" si="29"/>
        <v>120</v>
      </c>
      <c r="B155" s="72">
        <f>TRESORERIA!H$176</f>
        <v>0</v>
      </c>
      <c r="C155" s="799">
        <f>$K83*$B89</f>
        <v>0</v>
      </c>
      <c r="D155" s="799">
        <f>$L83*$B89</f>
        <v>0</v>
      </c>
      <c r="E155" s="799">
        <f>$M83*$B89</f>
        <v>0</v>
      </c>
      <c r="F155" s="799">
        <f>$N83*$B89</f>
        <v>0</v>
      </c>
      <c r="G155" s="799">
        <f>$C149*$B155</f>
        <v>0</v>
      </c>
      <c r="H155" s="799">
        <f>$D149*$B155</f>
        <v>0</v>
      </c>
      <c r="I155" s="799">
        <f>$E149*$B155</f>
        <v>0</v>
      </c>
      <c r="J155" s="799">
        <f>$F149*$B155</f>
        <v>0</v>
      </c>
      <c r="K155" s="799">
        <f>$G149*$B155</f>
        <v>0</v>
      </c>
      <c r="L155" s="799">
        <f>$H149*$B155</f>
        <v>0</v>
      </c>
      <c r="M155" s="1047">
        <f>$I149*$B155</f>
        <v>0</v>
      </c>
      <c r="N155" s="799">
        <f>$J149*$B155</f>
        <v>0</v>
      </c>
      <c r="O155" s="1044"/>
      <c r="Q155" s="1060">
        <f>+C155*SERVEIS!$CN$45</f>
        <v>0</v>
      </c>
      <c r="R155" s="1060">
        <f>+D155*SERVEIS!$CN$45</f>
        <v>0</v>
      </c>
      <c r="S155" s="1060">
        <f>+E155*SERVEIS!$CN$45</f>
        <v>0</v>
      </c>
      <c r="T155" s="1060">
        <f>+F155*SERVEIS!$CN$45</f>
        <v>0</v>
      </c>
      <c r="U155" s="1064">
        <f>+G155*SERVEIS!$CN$65</f>
        <v>0</v>
      </c>
      <c r="V155" s="1064">
        <f>+H155*SERVEIS!$CN$65</f>
        <v>0</v>
      </c>
      <c r="W155" s="1064">
        <f>+I155*SERVEIS!$CN$65</f>
        <v>0</v>
      </c>
      <c r="X155" s="1064">
        <f>+J155*SERVEIS!$CN$65</f>
        <v>0</v>
      </c>
      <c r="Y155" s="1064">
        <f>+K155*SERVEIS!$CN$65</f>
        <v>0</v>
      </c>
      <c r="Z155" s="1064">
        <f>+L155*SERVEIS!$CN$65</f>
        <v>0</v>
      </c>
      <c r="AA155" s="1064">
        <f>+M155*SERVEIS!$CN$65</f>
        <v>0</v>
      </c>
      <c r="AB155" s="1064">
        <f>+N155*SERVEIS!$CN$65</f>
        <v>0</v>
      </c>
    </row>
    <row r="156" spans="1:28" x14ac:dyDescent="0.3">
      <c r="A156" s="633">
        <f t="shared" si="29"/>
        <v>150</v>
      </c>
      <c r="B156" s="72">
        <f>TRESORERIA!I$176</f>
        <v>0</v>
      </c>
      <c r="C156" s="799">
        <f>$J83*$B90</f>
        <v>0</v>
      </c>
      <c r="D156" s="799">
        <f>$K83*$B90</f>
        <v>0</v>
      </c>
      <c r="E156" s="799">
        <f>$L83*$B90</f>
        <v>0</v>
      </c>
      <c r="F156" s="799">
        <f>$M83*$B90</f>
        <v>0</v>
      </c>
      <c r="G156" s="799">
        <f>$N83*$B90</f>
        <v>0</v>
      </c>
      <c r="H156" s="799">
        <f>$C149*$B156</f>
        <v>0</v>
      </c>
      <c r="I156" s="799">
        <f>$D149*$B156</f>
        <v>0</v>
      </c>
      <c r="J156" s="799">
        <f>$E149*$B156</f>
        <v>0</v>
      </c>
      <c r="K156" s="799">
        <f>$F149*$B156</f>
        <v>0</v>
      </c>
      <c r="L156" s="799">
        <f>$G149*$B156</f>
        <v>0</v>
      </c>
      <c r="M156" s="1047">
        <f>$H149*$B156</f>
        <v>0</v>
      </c>
      <c r="N156" s="799">
        <f>$I149*$B156</f>
        <v>0</v>
      </c>
      <c r="O156" s="1044"/>
      <c r="Q156" s="1060">
        <f>+C156*SERVEIS!$CN$45</f>
        <v>0</v>
      </c>
      <c r="R156" s="1060">
        <f>+D156*SERVEIS!$CN$45</f>
        <v>0</v>
      </c>
      <c r="S156" s="1060">
        <f>+E156*SERVEIS!$CN$45</f>
        <v>0</v>
      </c>
      <c r="T156" s="1060">
        <f>+F156*SERVEIS!$CN$45</f>
        <v>0</v>
      </c>
      <c r="U156" s="1060">
        <f>+G156*SERVEIS!$CN$45</f>
        <v>0</v>
      </c>
      <c r="V156" s="1064">
        <f>+H156*SERVEIS!$CN$65</f>
        <v>0</v>
      </c>
      <c r="W156" s="1064">
        <f>+I156*SERVEIS!$CN$65</f>
        <v>0</v>
      </c>
      <c r="X156" s="1064">
        <f>+J156*SERVEIS!$CN$65</f>
        <v>0</v>
      </c>
      <c r="Y156" s="1064">
        <f>+K156*SERVEIS!$CN$65</f>
        <v>0</v>
      </c>
      <c r="Z156" s="1064">
        <f>+L156*SERVEIS!$CN$65</f>
        <v>0</v>
      </c>
      <c r="AA156" s="1064">
        <f>+M156*SERVEIS!$CN$65</f>
        <v>0</v>
      </c>
      <c r="AB156" s="1064">
        <f>+N156*SERVEIS!$CN$65</f>
        <v>0</v>
      </c>
    </row>
    <row r="157" spans="1:28" x14ac:dyDescent="0.3">
      <c r="A157" s="633">
        <f t="shared" si="29"/>
        <v>180</v>
      </c>
      <c r="B157" s="72">
        <f>TRESORERIA!J$176</f>
        <v>0</v>
      </c>
      <c r="C157" s="799">
        <f>$I83*$B91</f>
        <v>0</v>
      </c>
      <c r="D157" s="799">
        <f>$J83*$B91</f>
        <v>0</v>
      </c>
      <c r="E157" s="799">
        <f>$K83*$B91</f>
        <v>0</v>
      </c>
      <c r="F157" s="799">
        <f>$L83*$B91</f>
        <v>0</v>
      </c>
      <c r="G157" s="799">
        <f>$M83*$B91</f>
        <v>0</v>
      </c>
      <c r="H157" s="799">
        <f>$N83*$B91</f>
        <v>0</v>
      </c>
      <c r="I157" s="799">
        <f>$C149*$B157</f>
        <v>0</v>
      </c>
      <c r="J157" s="799">
        <f>$D149*$B157</f>
        <v>0</v>
      </c>
      <c r="K157" s="799">
        <f>$E149*$B157</f>
        <v>0</v>
      </c>
      <c r="L157" s="799">
        <f>$F149*$B157</f>
        <v>0</v>
      </c>
      <c r="M157" s="1047">
        <f>$G149*$B157</f>
        <v>0</v>
      </c>
      <c r="N157" s="799">
        <f>$H149*$B157</f>
        <v>0</v>
      </c>
      <c r="O157" s="1044"/>
      <c r="Q157" s="1060">
        <f>+C157*SERVEIS!$CN$45</f>
        <v>0</v>
      </c>
      <c r="R157" s="1060">
        <f>+D157*SERVEIS!$CN$45</f>
        <v>0</v>
      </c>
      <c r="S157" s="1060">
        <f>+E157*SERVEIS!$CN$45</f>
        <v>0</v>
      </c>
      <c r="T157" s="1060">
        <f>+F157*SERVEIS!$CN$45</f>
        <v>0</v>
      </c>
      <c r="U157" s="1060">
        <f>+G157*SERVEIS!$CN$45</f>
        <v>0</v>
      </c>
      <c r="V157" s="1060">
        <f>+H157*SERVEIS!$CN$45</f>
        <v>0</v>
      </c>
      <c r="W157" s="1064">
        <f>+I157*SERVEIS!$CN$65</f>
        <v>0</v>
      </c>
      <c r="X157" s="1064">
        <f>+J157*SERVEIS!$CN$65</f>
        <v>0</v>
      </c>
      <c r="Y157" s="1064">
        <f>+K157*SERVEIS!$CN$65</f>
        <v>0</v>
      </c>
      <c r="Z157" s="1064">
        <f>+L157*SERVEIS!$CN$65</f>
        <v>0</v>
      </c>
      <c r="AA157" s="1064">
        <f>+M157*SERVEIS!$CN$65</f>
        <v>0</v>
      </c>
      <c r="AB157" s="1064">
        <f>+N157*SERVEIS!$CN$65</f>
        <v>0</v>
      </c>
    </row>
    <row r="158" spans="1:28" x14ac:dyDescent="0.3">
      <c r="A158" s="633">
        <f t="shared" si="29"/>
        <v>210</v>
      </c>
      <c r="B158" s="72">
        <f>TRESORERIA!K$176</f>
        <v>0</v>
      </c>
      <c r="C158" s="799">
        <f>$H83*$B92</f>
        <v>0</v>
      </c>
      <c r="D158" s="799">
        <f>$I83*$B92</f>
        <v>0</v>
      </c>
      <c r="E158" s="799">
        <f>$J83*$B92</f>
        <v>0</v>
      </c>
      <c r="F158" s="799">
        <f>$K83*$B92</f>
        <v>0</v>
      </c>
      <c r="G158" s="799">
        <f>$L83*$B92</f>
        <v>0</v>
      </c>
      <c r="H158" s="799">
        <f>$M83*$B92</f>
        <v>0</v>
      </c>
      <c r="I158" s="799">
        <f>$N83*$B92</f>
        <v>0</v>
      </c>
      <c r="J158" s="799">
        <f>$C149*$B158</f>
        <v>0</v>
      </c>
      <c r="K158" s="799">
        <f>$D149*$B158</f>
        <v>0</v>
      </c>
      <c r="L158" s="799">
        <f>$E149*$B158</f>
        <v>0</v>
      </c>
      <c r="M158" s="1047">
        <f>$F149*$B158</f>
        <v>0</v>
      </c>
      <c r="N158" s="799">
        <f>$G149*$B158</f>
        <v>0</v>
      </c>
      <c r="O158" s="1044"/>
      <c r="Q158" s="1060">
        <f>+C158*SERVEIS!$CN$45</f>
        <v>0</v>
      </c>
      <c r="R158" s="1060">
        <f>+D158*SERVEIS!$CN$45</f>
        <v>0</v>
      </c>
      <c r="S158" s="1060">
        <f>+E158*SERVEIS!$CN$45</f>
        <v>0</v>
      </c>
      <c r="T158" s="1060">
        <f>+F158*SERVEIS!$CN$45</f>
        <v>0</v>
      </c>
      <c r="U158" s="1060">
        <f>+G158*SERVEIS!$CN$45</f>
        <v>0</v>
      </c>
      <c r="V158" s="1060">
        <f>+H158*SERVEIS!$CN$45</f>
        <v>0</v>
      </c>
      <c r="W158" s="1060">
        <f>+I158*SERVEIS!$CN$45</f>
        <v>0</v>
      </c>
      <c r="X158" s="1064">
        <f>+J158*SERVEIS!$CN$65</f>
        <v>0</v>
      </c>
      <c r="Y158" s="1064">
        <f>+K158*SERVEIS!$CN$65</f>
        <v>0</v>
      </c>
      <c r="Z158" s="1064">
        <f>+L158*SERVEIS!$CN$65</f>
        <v>0</v>
      </c>
      <c r="AA158" s="1064">
        <f>+M158*SERVEIS!$CN$65</f>
        <v>0</v>
      </c>
      <c r="AB158" s="1064">
        <f>+N158*SERVEIS!$CN$65</f>
        <v>0</v>
      </c>
    </row>
    <row r="159" spans="1:28" x14ac:dyDescent="0.3">
      <c r="A159" s="633">
        <f t="shared" si="29"/>
        <v>240</v>
      </c>
      <c r="B159" s="72">
        <f>TRESORERIA!L$176</f>
        <v>0</v>
      </c>
      <c r="C159" s="799">
        <f>$G83*$B93</f>
        <v>0</v>
      </c>
      <c r="D159" s="799">
        <f>$H83*$B93</f>
        <v>0</v>
      </c>
      <c r="E159" s="799">
        <f>$I83*$B93</f>
        <v>0</v>
      </c>
      <c r="F159" s="799">
        <f>$J83*$B93</f>
        <v>0</v>
      </c>
      <c r="G159" s="799">
        <f>$K83*$B93</f>
        <v>0</v>
      </c>
      <c r="H159" s="799">
        <f>$L83*$B93</f>
        <v>0</v>
      </c>
      <c r="I159" s="799">
        <f>$M83*$B93</f>
        <v>0</v>
      </c>
      <c r="J159" s="799">
        <f>$N83*$B93</f>
        <v>0</v>
      </c>
      <c r="K159" s="799">
        <f>$C149*$B159</f>
        <v>0</v>
      </c>
      <c r="L159" s="799">
        <f>$D149*$B159</f>
        <v>0</v>
      </c>
      <c r="M159" s="1047">
        <f>$E149*$B159</f>
        <v>0</v>
      </c>
      <c r="N159" s="799">
        <f>$F149*$B159</f>
        <v>0</v>
      </c>
      <c r="O159" s="1044"/>
      <c r="Q159" s="1060">
        <f>+C159*SERVEIS!$CN$45</f>
        <v>0</v>
      </c>
      <c r="R159" s="1060">
        <f>+D159*SERVEIS!$CN$45</f>
        <v>0</v>
      </c>
      <c r="S159" s="1060">
        <f>+E159*SERVEIS!$CN$45</f>
        <v>0</v>
      </c>
      <c r="T159" s="1060">
        <f>+F159*SERVEIS!$CN$45</f>
        <v>0</v>
      </c>
      <c r="U159" s="1060">
        <f>+G159*SERVEIS!$CN$45</f>
        <v>0</v>
      </c>
      <c r="V159" s="1060">
        <f>+H159*SERVEIS!$CN$45</f>
        <v>0</v>
      </c>
      <c r="W159" s="1060">
        <f>+I159*SERVEIS!$CN$45</f>
        <v>0</v>
      </c>
      <c r="X159" s="1060">
        <f>+J159*SERVEIS!$CN$45</f>
        <v>0</v>
      </c>
      <c r="Y159" s="1064">
        <f>+K159*SERVEIS!$CN$65</f>
        <v>0</v>
      </c>
      <c r="Z159" s="1064">
        <f>+L159*SERVEIS!$CN$65</f>
        <v>0</v>
      </c>
      <c r="AA159" s="1064">
        <f>+M159*SERVEIS!$CN$65</f>
        <v>0</v>
      </c>
      <c r="AB159" s="1064">
        <f>+N159*SERVEIS!$CN$65</f>
        <v>0</v>
      </c>
    </row>
    <row r="160" spans="1:28" x14ac:dyDescent="0.3">
      <c r="A160" s="633">
        <f t="shared" si="29"/>
        <v>270</v>
      </c>
      <c r="B160" s="72">
        <f>TRESORERIA!M$176</f>
        <v>0</v>
      </c>
      <c r="C160" s="799">
        <f>$F83*$B94</f>
        <v>0</v>
      </c>
      <c r="D160" s="799">
        <f>$G83*$B94</f>
        <v>0</v>
      </c>
      <c r="E160" s="799">
        <f>$H83*$B94</f>
        <v>0</v>
      </c>
      <c r="F160" s="799">
        <f>$I83*$B94</f>
        <v>0</v>
      </c>
      <c r="G160" s="799">
        <f>$J83*$B94</f>
        <v>0</v>
      </c>
      <c r="H160" s="799">
        <f>$K83*$B94</f>
        <v>0</v>
      </c>
      <c r="I160" s="799">
        <f>$L83*$B94</f>
        <v>0</v>
      </c>
      <c r="J160" s="799">
        <f>$M83*$B94</f>
        <v>0</v>
      </c>
      <c r="K160" s="799">
        <f>$N83*$B94</f>
        <v>0</v>
      </c>
      <c r="L160" s="799">
        <f>$C149*$B160</f>
        <v>0</v>
      </c>
      <c r="M160" s="1047">
        <f>$D149*$B160</f>
        <v>0</v>
      </c>
      <c r="N160" s="799">
        <f>$E149*$B160</f>
        <v>0</v>
      </c>
      <c r="O160" s="1044"/>
      <c r="Q160" s="1060">
        <f>+C160*SERVEIS!$CN$45</f>
        <v>0</v>
      </c>
      <c r="R160" s="1060">
        <f>+D160*SERVEIS!$CN$45</f>
        <v>0</v>
      </c>
      <c r="S160" s="1060">
        <f>+E160*SERVEIS!$CN$45</f>
        <v>0</v>
      </c>
      <c r="T160" s="1060">
        <f>+F160*SERVEIS!$CN$45</f>
        <v>0</v>
      </c>
      <c r="U160" s="1060">
        <f>+G160*SERVEIS!$CN$45</f>
        <v>0</v>
      </c>
      <c r="V160" s="1060">
        <f>+H160*SERVEIS!$CN$45</f>
        <v>0</v>
      </c>
      <c r="W160" s="1060">
        <f>+I160*SERVEIS!$CN$45</f>
        <v>0</v>
      </c>
      <c r="X160" s="1060">
        <f>+J160*SERVEIS!$CN$45</f>
        <v>0</v>
      </c>
      <c r="Y160" s="1060">
        <f>+K160*SERVEIS!$CN$45</f>
        <v>0</v>
      </c>
      <c r="Z160" s="1064">
        <f>+L160*SERVEIS!$CN$65</f>
        <v>0</v>
      </c>
      <c r="AA160" s="1064">
        <f>+M160*SERVEIS!$CN$65</f>
        <v>0</v>
      </c>
      <c r="AB160" s="1064">
        <f>+N160*SERVEIS!$CN$65</f>
        <v>0</v>
      </c>
    </row>
    <row r="161" spans="1:28" x14ac:dyDescent="0.3">
      <c r="A161" s="633">
        <f t="shared" si="29"/>
        <v>300</v>
      </c>
      <c r="B161" s="72">
        <f>TRESORERIA!N$176</f>
        <v>0</v>
      </c>
      <c r="C161" s="799">
        <f>$E83*$B95</f>
        <v>0</v>
      </c>
      <c r="D161" s="799">
        <f>$F83*$B95</f>
        <v>0</v>
      </c>
      <c r="E161" s="799">
        <f>$G83*$B95</f>
        <v>0</v>
      </c>
      <c r="F161" s="799">
        <f>$H83*$B95</f>
        <v>0</v>
      </c>
      <c r="G161" s="799">
        <f>$I83*$B95</f>
        <v>0</v>
      </c>
      <c r="H161" s="799">
        <f>$J83*$B95</f>
        <v>0</v>
      </c>
      <c r="I161" s="799">
        <f>$K83*$B95</f>
        <v>0</v>
      </c>
      <c r="J161" s="799">
        <f>$L83*$B95</f>
        <v>0</v>
      </c>
      <c r="K161" s="799">
        <f>$M83*$B95</f>
        <v>0</v>
      </c>
      <c r="L161" s="799">
        <f>$N83*$B95</f>
        <v>0</v>
      </c>
      <c r="M161" s="1047">
        <f>$C149*$B161</f>
        <v>0</v>
      </c>
      <c r="N161" s="799">
        <f>$D149*$B161</f>
        <v>0</v>
      </c>
      <c r="O161" s="1044"/>
      <c r="Q161" s="1060">
        <f>+C161*SERVEIS!$CN$45</f>
        <v>0</v>
      </c>
      <c r="R161" s="1060">
        <f>+D161*SERVEIS!$CN$45</f>
        <v>0</v>
      </c>
      <c r="S161" s="1060">
        <f>+E161*SERVEIS!$CN$45</f>
        <v>0</v>
      </c>
      <c r="T161" s="1060">
        <f>+F161*SERVEIS!$CN$45</f>
        <v>0</v>
      </c>
      <c r="U161" s="1060">
        <f>+G161*SERVEIS!$CN$45</f>
        <v>0</v>
      </c>
      <c r="V161" s="1060">
        <f>+H161*SERVEIS!$CN$45</f>
        <v>0</v>
      </c>
      <c r="W161" s="1060">
        <f>+I161*SERVEIS!$CN$45</f>
        <v>0</v>
      </c>
      <c r="X161" s="1060">
        <f>+J161*SERVEIS!$CN$45</f>
        <v>0</v>
      </c>
      <c r="Y161" s="1060">
        <f>+K161*SERVEIS!$CN$45</f>
        <v>0</v>
      </c>
      <c r="Z161" s="1060">
        <f>+L161*SERVEIS!$CN$45</f>
        <v>0</v>
      </c>
      <c r="AA161" s="1064">
        <f>+M161*SERVEIS!$CN$65</f>
        <v>0</v>
      </c>
      <c r="AB161" s="1064">
        <f>+N161*SERVEIS!$CN$65</f>
        <v>0</v>
      </c>
    </row>
    <row r="162" spans="1:28" x14ac:dyDescent="0.3">
      <c r="A162" s="633">
        <f>A161+30</f>
        <v>330</v>
      </c>
      <c r="B162" s="72">
        <f>TRESORERIA!O$176</f>
        <v>0</v>
      </c>
      <c r="C162" s="799">
        <f>$D83*$B96</f>
        <v>0</v>
      </c>
      <c r="D162" s="799">
        <f>$E83*$B96</f>
        <v>0</v>
      </c>
      <c r="E162" s="799">
        <f>$F83*$B96</f>
        <v>0</v>
      </c>
      <c r="F162" s="799">
        <f>$G83*$B96</f>
        <v>0</v>
      </c>
      <c r="G162" s="799">
        <f>$H83*$B96</f>
        <v>0</v>
      </c>
      <c r="H162" s="799">
        <f>$I83*$B96</f>
        <v>0</v>
      </c>
      <c r="I162" s="799">
        <f>$J83*$B96</f>
        <v>0</v>
      </c>
      <c r="J162" s="799">
        <f>$K83*$B96</f>
        <v>0</v>
      </c>
      <c r="K162" s="799">
        <f>$L83*$B96</f>
        <v>0</v>
      </c>
      <c r="L162" s="799">
        <f>$M83*$B96</f>
        <v>0</v>
      </c>
      <c r="M162" s="799">
        <f>$N83*$B96</f>
        <v>0</v>
      </c>
      <c r="N162" s="799">
        <f>$C149*$B162</f>
        <v>0</v>
      </c>
      <c r="O162" s="1044"/>
      <c r="Q162" s="1060">
        <f>+C162*SERVEIS!$CN$45</f>
        <v>0</v>
      </c>
      <c r="R162" s="1060">
        <f>+D162*SERVEIS!$CN$45</f>
        <v>0</v>
      </c>
      <c r="S162" s="1060">
        <f>+E162*SERVEIS!$CN$45</f>
        <v>0</v>
      </c>
      <c r="T162" s="1060">
        <f>+F162*SERVEIS!$CN$45</f>
        <v>0</v>
      </c>
      <c r="U162" s="1060">
        <f>+G162*SERVEIS!$CN$45</f>
        <v>0</v>
      </c>
      <c r="V162" s="1060">
        <f>+H162*SERVEIS!$CN$45</f>
        <v>0</v>
      </c>
      <c r="W162" s="1060">
        <f>+I162*SERVEIS!$CN$45</f>
        <v>0</v>
      </c>
      <c r="X162" s="1060">
        <f>+J162*SERVEIS!$CN$45</f>
        <v>0</v>
      </c>
      <c r="Y162" s="1060">
        <f>+K162*SERVEIS!$CN$45</f>
        <v>0</v>
      </c>
      <c r="Z162" s="1060">
        <f>+L162*SERVEIS!$CN$45</f>
        <v>0</v>
      </c>
      <c r="AA162" s="1060">
        <f>+M162*SERVEIS!$CN$45</f>
        <v>0</v>
      </c>
      <c r="AB162" s="1064">
        <f>+N162*SERVEIS!$CN$65</f>
        <v>0</v>
      </c>
    </row>
    <row r="163" spans="1:28" x14ac:dyDescent="0.3">
      <c r="A163" s="1048" t="s">
        <v>342</v>
      </c>
      <c r="B163" s="72">
        <f t="shared" ref="B163:N163" si="30">SUM(B151:B162)</f>
        <v>1</v>
      </c>
      <c r="C163" s="799">
        <f t="shared" si="30"/>
        <v>0</v>
      </c>
      <c r="D163" s="799">
        <f t="shared" si="30"/>
        <v>0</v>
      </c>
      <c r="E163" s="799">
        <f t="shared" si="30"/>
        <v>0</v>
      </c>
      <c r="F163" s="799">
        <f t="shared" si="30"/>
        <v>0</v>
      </c>
      <c r="G163" s="799">
        <f t="shared" si="30"/>
        <v>0</v>
      </c>
      <c r="H163" s="799">
        <f t="shared" si="30"/>
        <v>0</v>
      </c>
      <c r="I163" s="799">
        <f t="shared" si="30"/>
        <v>0</v>
      </c>
      <c r="J163" s="799">
        <f t="shared" si="30"/>
        <v>0</v>
      </c>
      <c r="K163" s="799">
        <f t="shared" si="30"/>
        <v>0</v>
      </c>
      <c r="L163" s="799">
        <f t="shared" si="30"/>
        <v>0</v>
      </c>
      <c r="M163" s="1047">
        <f t="shared" si="30"/>
        <v>0</v>
      </c>
      <c r="N163" s="799">
        <f t="shared" si="30"/>
        <v>0</v>
      </c>
      <c r="O163" s="1046"/>
      <c r="Q163" s="1062">
        <f t="shared" ref="Q163:AB163" si="31">SUM(Q151:Q162)</f>
        <v>0</v>
      </c>
      <c r="R163" s="1062">
        <f t="shared" si="31"/>
        <v>0</v>
      </c>
      <c r="S163" s="1062">
        <f t="shared" si="31"/>
        <v>0</v>
      </c>
      <c r="T163" s="1062">
        <f t="shared" si="31"/>
        <v>0</v>
      </c>
      <c r="U163" s="1062">
        <f t="shared" si="31"/>
        <v>0</v>
      </c>
      <c r="V163" s="1062">
        <f t="shared" si="31"/>
        <v>0</v>
      </c>
      <c r="W163" s="1062">
        <f t="shared" si="31"/>
        <v>0</v>
      </c>
      <c r="X163" s="1062">
        <f t="shared" si="31"/>
        <v>0</v>
      </c>
      <c r="Y163" s="1062">
        <f t="shared" si="31"/>
        <v>0</v>
      </c>
      <c r="Z163" s="1062">
        <f t="shared" si="31"/>
        <v>0</v>
      </c>
      <c r="AA163" s="1062">
        <f t="shared" si="31"/>
        <v>0</v>
      </c>
      <c r="AB163" s="1062">
        <f t="shared" si="31"/>
        <v>0</v>
      </c>
    </row>
    <row r="164" spans="1:28" s="7" customFormat="1" x14ac:dyDescent="0.3">
      <c r="A164" s="1868" t="s">
        <v>344</v>
      </c>
      <c r="B164" s="1868"/>
      <c r="C164" s="1049">
        <f>C134+C149</f>
        <v>0</v>
      </c>
      <c r="D164" s="1049">
        <f t="shared" ref="D164:N164" si="32">D134+D149</f>
        <v>0</v>
      </c>
      <c r="E164" s="1049">
        <f t="shared" si="32"/>
        <v>0</v>
      </c>
      <c r="F164" s="1049">
        <f t="shared" si="32"/>
        <v>0</v>
      </c>
      <c r="G164" s="1049">
        <f t="shared" si="32"/>
        <v>0</v>
      </c>
      <c r="H164" s="1049">
        <f t="shared" si="32"/>
        <v>0</v>
      </c>
      <c r="I164" s="1049">
        <f t="shared" si="32"/>
        <v>0</v>
      </c>
      <c r="J164" s="1049">
        <f t="shared" si="32"/>
        <v>0</v>
      </c>
      <c r="K164" s="1049">
        <f t="shared" si="32"/>
        <v>0</v>
      </c>
      <c r="L164" s="1049">
        <f t="shared" si="32"/>
        <v>0</v>
      </c>
      <c r="M164" s="1049">
        <f t="shared" si="32"/>
        <v>0</v>
      </c>
      <c r="N164" s="1049">
        <f t="shared" si="32"/>
        <v>0</v>
      </c>
      <c r="O164" s="1041">
        <f>SUM(C164:N164)</f>
        <v>0</v>
      </c>
    </row>
    <row r="165" spans="1:28" s="7" customFormat="1" ht="8.25" customHeight="1" x14ac:dyDescent="0.3">
      <c r="A165" s="26"/>
      <c r="B165"/>
      <c r="C165" s="18"/>
      <c r="D165" s="18"/>
      <c r="E165" s="18"/>
      <c r="F165" s="18"/>
      <c r="G165" s="18"/>
      <c r="H165" s="18"/>
      <c r="I165" s="18"/>
      <c r="J165" s="18"/>
      <c r="K165" s="18"/>
      <c r="L165" s="18"/>
      <c r="M165" s="18"/>
      <c r="N165" s="15"/>
      <c r="O165" s="18"/>
    </row>
    <row r="166" spans="1:28" x14ac:dyDescent="0.3">
      <c r="A166" s="1866" t="s">
        <v>345</v>
      </c>
      <c r="B166" s="1866"/>
      <c r="C166" s="29">
        <f>MERCADERIES!DC159</f>
        <v>0</v>
      </c>
      <c r="D166" s="29">
        <f>MERCADERIES!DD159</f>
        <v>0</v>
      </c>
      <c r="E166" s="29">
        <f>MERCADERIES!DE159</f>
        <v>0</v>
      </c>
      <c r="F166" s="29">
        <f>MERCADERIES!DF159</f>
        <v>0</v>
      </c>
      <c r="G166" s="29">
        <f>MERCADERIES!DG159</f>
        <v>0</v>
      </c>
      <c r="H166" s="29">
        <f>MERCADERIES!DH159</f>
        <v>0</v>
      </c>
      <c r="I166" s="29">
        <f>MERCADERIES!DI159</f>
        <v>0</v>
      </c>
      <c r="J166" s="29">
        <f>MERCADERIES!DJ159</f>
        <v>0</v>
      </c>
      <c r="K166" s="29">
        <f>MERCADERIES!DK159</f>
        <v>0</v>
      </c>
      <c r="L166" s="29">
        <f>MERCADERIES!DL159</f>
        <v>0</v>
      </c>
      <c r="M166" s="1040">
        <f>MERCADERIES!DM159</f>
        <v>0</v>
      </c>
      <c r="N166" s="29">
        <f>MERCADERIES!DN159</f>
        <v>0</v>
      </c>
      <c r="O166" s="1041">
        <f>SUM(C166:N166)</f>
        <v>0</v>
      </c>
    </row>
    <row r="167" spans="1:28" x14ac:dyDescent="0.3">
      <c r="A167" s="1869" t="s">
        <v>346</v>
      </c>
      <c r="B167" s="1869"/>
      <c r="C167" s="1051"/>
      <c r="D167" s="1051"/>
      <c r="E167" s="1051"/>
      <c r="F167" s="1051"/>
      <c r="G167" s="1051"/>
      <c r="H167" s="1051"/>
      <c r="I167" s="1051"/>
      <c r="J167" s="1051"/>
      <c r="K167" s="1051"/>
      <c r="L167" s="1051"/>
      <c r="M167" s="1052"/>
      <c r="N167" s="29"/>
      <c r="O167" s="1042"/>
    </row>
    <row r="168" spans="1:28" x14ac:dyDescent="0.3">
      <c r="A168" s="920">
        <v>0</v>
      </c>
      <c r="B168" s="1043">
        <f>TRESORERIA!D$177</f>
        <v>1</v>
      </c>
      <c r="C168" s="29">
        <f>$C166*$B168</f>
        <v>0</v>
      </c>
      <c r="D168" s="29">
        <f>$D166*$B168</f>
        <v>0</v>
      </c>
      <c r="E168" s="29">
        <f>$E166*$B168</f>
        <v>0</v>
      </c>
      <c r="F168" s="29">
        <f>$F166*$B168</f>
        <v>0</v>
      </c>
      <c r="G168" s="29">
        <f>$G166*$B168</f>
        <v>0</v>
      </c>
      <c r="H168" s="29">
        <f>$H166*$B168</f>
        <v>0</v>
      </c>
      <c r="I168" s="29">
        <f>$I166*$B168</f>
        <v>0</v>
      </c>
      <c r="J168" s="29">
        <f>$J166*$B168</f>
        <v>0</v>
      </c>
      <c r="K168" s="29">
        <f>$K166*$B168</f>
        <v>0</v>
      </c>
      <c r="L168" s="29">
        <f>$L166*$B168</f>
        <v>0</v>
      </c>
      <c r="M168" s="1040">
        <f>$M166*$B168</f>
        <v>0</v>
      </c>
      <c r="N168" s="29">
        <f>$N166*$B168</f>
        <v>0</v>
      </c>
      <c r="O168" s="1044"/>
    </row>
    <row r="169" spans="1:28" x14ac:dyDescent="0.3">
      <c r="A169" s="920">
        <f>A168+30</f>
        <v>30</v>
      </c>
      <c r="B169" s="1043">
        <f>TRESORERIA!E$177</f>
        <v>0</v>
      </c>
      <c r="C169" s="29">
        <f>$N100*$B103</f>
        <v>0</v>
      </c>
      <c r="D169" s="29">
        <f>$C166*$B169</f>
        <v>0</v>
      </c>
      <c r="E169" s="29">
        <f>$D166*$B169</f>
        <v>0</v>
      </c>
      <c r="F169" s="29">
        <f>$E166*$B169</f>
        <v>0</v>
      </c>
      <c r="G169" s="29">
        <f>$F166*$B169</f>
        <v>0</v>
      </c>
      <c r="H169" s="29">
        <f>$G166*$B169</f>
        <v>0</v>
      </c>
      <c r="I169" s="29">
        <f>$H166*$B169</f>
        <v>0</v>
      </c>
      <c r="J169" s="29">
        <f>$I166*$B169</f>
        <v>0</v>
      </c>
      <c r="K169" s="29">
        <f>$J166*$B169</f>
        <v>0</v>
      </c>
      <c r="L169" s="29">
        <f>$K166*$B169</f>
        <v>0</v>
      </c>
      <c r="M169" s="1040">
        <f>$L166*$B169</f>
        <v>0</v>
      </c>
      <c r="N169" s="29">
        <f>$M166*$B169</f>
        <v>0</v>
      </c>
      <c r="O169" s="1044"/>
    </row>
    <row r="170" spans="1:28" x14ac:dyDescent="0.3">
      <c r="A170" s="920">
        <f t="shared" ref="A170:A178" si="33">A169+30</f>
        <v>60</v>
      </c>
      <c r="B170" s="1043">
        <f>TRESORERIA!F$177</f>
        <v>0</v>
      </c>
      <c r="C170" s="29">
        <f>$M100*$B104</f>
        <v>0</v>
      </c>
      <c r="D170" s="29">
        <f>$N100*$B104</f>
        <v>0</v>
      </c>
      <c r="E170" s="29">
        <f>$C166*$B170</f>
        <v>0</v>
      </c>
      <c r="F170" s="29">
        <f>$D166*$B170</f>
        <v>0</v>
      </c>
      <c r="G170" s="29">
        <f>$E166*$B170</f>
        <v>0</v>
      </c>
      <c r="H170" s="29">
        <f>$F166*$B170</f>
        <v>0</v>
      </c>
      <c r="I170" s="29">
        <f>$G166*$B170</f>
        <v>0</v>
      </c>
      <c r="J170" s="29">
        <f>$H166*$B170</f>
        <v>0</v>
      </c>
      <c r="K170" s="29">
        <f>$I166*$B170</f>
        <v>0</v>
      </c>
      <c r="L170" s="29">
        <f>$J166*$B170</f>
        <v>0</v>
      </c>
      <c r="M170" s="1040">
        <f>$K166*$B170</f>
        <v>0</v>
      </c>
      <c r="N170" s="29">
        <f>$L166*$B170</f>
        <v>0</v>
      </c>
      <c r="O170" s="1044"/>
    </row>
    <row r="171" spans="1:28" x14ac:dyDescent="0.3">
      <c r="A171" s="920">
        <f t="shared" si="33"/>
        <v>90</v>
      </c>
      <c r="B171" s="1043">
        <f>TRESORERIA!G$177</f>
        <v>0</v>
      </c>
      <c r="C171" s="29">
        <f>$L100*$B105</f>
        <v>0</v>
      </c>
      <c r="D171" s="29">
        <f>$M100*$B105</f>
        <v>0</v>
      </c>
      <c r="E171" s="29">
        <f>$N100*$B105</f>
        <v>0</v>
      </c>
      <c r="F171" s="29">
        <f>$C166*$B171</f>
        <v>0</v>
      </c>
      <c r="G171" s="29">
        <f>$D166*$B171</f>
        <v>0</v>
      </c>
      <c r="H171" s="29">
        <f>$E166*$B171</f>
        <v>0</v>
      </c>
      <c r="I171" s="29">
        <f>$F166*$B171</f>
        <v>0</v>
      </c>
      <c r="J171" s="29">
        <f>$G166*$B171</f>
        <v>0</v>
      </c>
      <c r="K171" s="29">
        <f>$H166*$B171</f>
        <v>0</v>
      </c>
      <c r="L171" s="29">
        <f>$I166*$B171</f>
        <v>0</v>
      </c>
      <c r="M171" s="1040">
        <f>$J166*$B171</f>
        <v>0</v>
      </c>
      <c r="N171" s="29">
        <f>$K166*$B171</f>
        <v>0</v>
      </c>
      <c r="O171" s="1044"/>
    </row>
    <row r="172" spans="1:28" x14ac:dyDescent="0.3">
      <c r="A172" s="920">
        <f t="shared" si="33"/>
        <v>120</v>
      </c>
      <c r="B172" s="1043">
        <f>TRESORERIA!H$177</f>
        <v>0</v>
      </c>
      <c r="C172" s="29">
        <f>$K100*$B106</f>
        <v>0</v>
      </c>
      <c r="D172" s="29">
        <f>$L100*$B106</f>
        <v>0</v>
      </c>
      <c r="E172" s="29">
        <f>$M100*$B106</f>
        <v>0</v>
      </c>
      <c r="F172" s="29">
        <f>$N100*$B106</f>
        <v>0</v>
      </c>
      <c r="G172" s="29">
        <f>$C166*$B172</f>
        <v>0</v>
      </c>
      <c r="H172" s="29">
        <f>$D166*$B172</f>
        <v>0</v>
      </c>
      <c r="I172" s="29">
        <f>$E166*$B172</f>
        <v>0</v>
      </c>
      <c r="J172" s="29">
        <f>$F166*$B172</f>
        <v>0</v>
      </c>
      <c r="K172" s="29">
        <f>$G166*$B172</f>
        <v>0</v>
      </c>
      <c r="L172" s="29">
        <f>$H166*$B172</f>
        <v>0</v>
      </c>
      <c r="M172" s="1040">
        <f>$I166*$B172</f>
        <v>0</v>
      </c>
      <c r="N172" s="29">
        <f>$J166*$B172</f>
        <v>0</v>
      </c>
      <c r="O172" s="1044"/>
    </row>
    <row r="173" spans="1:28" x14ac:dyDescent="0.3">
      <c r="A173" s="920">
        <f t="shared" si="33"/>
        <v>150</v>
      </c>
      <c r="B173" s="1043">
        <f>TRESORERIA!I$177</f>
        <v>0</v>
      </c>
      <c r="C173" s="29">
        <f>$J100*$B107</f>
        <v>0</v>
      </c>
      <c r="D173" s="29">
        <f>$K100*$B107</f>
        <v>0</v>
      </c>
      <c r="E173" s="29">
        <f>$L100*$B107</f>
        <v>0</v>
      </c>
      <c r="F173" s="29">
        <f>$M100*$B107</f>
        <v>0</v>
      </c>
      <c r="G173" s="29">
        <f>$N100*$B107</f>
        <v>0</v>
      </c>
      <c r="H173" s="29">
        <f>$C166*$B173</f>
        <v>0</v>
      </c>
      <c r="I173" s="29">
        <f>$D166*$B173</f>
        <v>0</v>
      </c>
      <c r="J173" s="29">
        <f>$E166*$B173</f>
        <v>0</v>
      </c>
      <c r="K173" s="29">
        <f>$F166*$B173</f>
        <v>0</v>
      </c>
      <c r="L173" s="29">
        <f>$G166*$B173</f>
        <v>0</v>
      </c>
      <c r="M173" s="1040">
        <f>$H166*$B173</f>
        <v>0</v>
      </c>
      <c r="N173" s="29">
        <f>$I166*$B173</f>
        <v>0</v>
      </c>
      <c r="O173" s="1044"/>
    </row>
    <row r="174" spans="1:28" x14ac:dyDescent="0.3">
      <c r="A174" s="920">
        <f t="shared" si="33"/>
        <v>180</v>
      </c>
      <c r="B174" s="1043">
        <f>TRESORERIA!J$177</f>
        <v>0</v>
      </c>
      <c r="C174" s="29">
        <f>$I100*$B108</f>
        <v>0</v>
      </c>
      <c r="D174" s="29">
        <f>$J100*$B108</f>
        <v>0</v>
      </c>
      <c r="E174" s="29">
        <f>$K100*$B108</f>
        <v>0</v>
      </c>
      <c r="F174" s="29">
        <f>$L100*$B108</f>
        <v>0</v>
      </c>
      <c r="G174" s="29">
        <f>$M100*$B108</f>
        <v>0</v>
      </c>
      <c r="H174" s="29">
        <f>$N100*$B108</f>
        <v>0</v>
      </c>
      <c r="I174" s="29">
        <f>$C166*$B174</f>
        <v>0</v>
      </c>
      <c r="J174" s="29">
        <f>$D166*$B174</f>
        <v>0</v>
      </c>
      <c r="K174" s="29">
        <f>$E166*$B174</f>
        <v>0</v>
      </c>
      <c r="L174" s="29">
        <f>$F166*$B174</f>
        <v>0</v>
      </c>
      <c r="M174" s="1040">
        <f>$G166*$B174</f>
        <v>0</v>
      </c>
      <c r="N174" s="29">
        <f>$H166*$B174</f>
        <v>0</v>
      </c>
      <c r="O174" s="1044"/>
    </row>
    <row r="175" spans="1:28" x14ac:dyDescent="0.3">
      <c r="A175" s="920">
        <f t="shared" si="33"/>
        <v>210</v>
      </c>
      <c r="B175" s="1043">
        <f>TRESORERIA!K$177</f>
        <v>0</v>
      </c>
      <c r="C175" s="29">
        <f>$H100*$B109</f>
        <v>0</v>
      </c>
      <c r="D175" s="29">
        <f>$I100*$B109</f>
        <v>0</v>
      </c>
      <c r="E175" s="29">
        <f>$J100*$B109</f>
        <v>0</v>
      </c>
      <c r="F175" s="29">
        <f>$K100*$B109</f>
        <v>0</v>
      </c>
      <c r="G175" s="29">
        <f>$L100*$B109</f>
        <v>0</v>
      </c>
      <c r="H175" s="29">
        <f>$M100*$B109</f>
        <v>0</v>
      </c>
      <c r="I175" s="29">
        <f>$N100*$B109</f>
        <v>0</v>
      </c>
      <c r="J175" s="29">
        <f>$C166*$B175</f>
        <v>0</v>
      </c>
      <c r="K175" s="29">
        <f>$D166*$B175</f>
        <v>0</v>
      </c>
      <c r="L175" s="29">
        <f>$E166*$B175</f>
        <v>0</v>
      </c>
      <c r="M175" s="1040">
        <f>$F166*$B175</f>
        <v>0</v>
      </c>
      <c r="N175" s="29">
        <f>$G166*$B175</f>
        <v>0</v>
      </c>
      <c r="O175" s="1044"/>
    </row>
    <row r="176" spans="1:28" x14ac:dyDescent="0.3">
      <c r="A176" s="920">
        <f t="shared" si="33"/>
        <v>240</v>
      </c>
      <c r="B176" s="1043">
        <f>TRESORERIA!L$177</f>
        <v>0</v>
      </c>
      <c r="C176" s="29">
        <f>$G100*$B110</f>
        <v>0</v>
      </c>
      <c r="D176" s="29">
        <f>$H100*$B110</f>
        <v>0</v>
      </c>
      <c r="E176" s="29">
        <f>$I100*$B110</f>
        <v>0</v>
      </c>
      <c r="F176" s="29">
        <f>$J100*$B110</f>
        <v>0</v>
      </c>
      <c r="G176" s="29">
        <f>$K100*$B110</f>
        <v>0</v>
      </c>
      <c r="H176" s="29">
        <f>$L100*$B110</f>
        <v>0</v>
      </c>
      <c r="I176" s="29">
        <f>$M100*$B110</f>
        <v>0</v>
      </c>
      <c r="J176" s="29">
        <f>$N100*$B110</f>
        <v>0</v>
      </c>
      <c r="K176" s="29">
        <f>$C166*$B176</f>
        <v>0</v>
      </c>
      <c r="L176" s="29">
        <f>$D166*$B176</f>
        <v>0</v>
      </c>
      <c r="M176" s="1040">
        <f>$E166*$B176</f>
        <v>0</v>
      </c>
      <c r="N176" s="29">
        <f>$F166*$B176</f>
        <v>0</v>
      </c>
      <c r="O176" s="1044"/>
    </row>
    <row r="177" spans="1:28" x14ac:dyDescent="0.3">
      <c r="A177" s="920">
        <f t="shared" si="33"/>
        <v>270</v>
      </c>
      <c r="B177" s="1043">
        <f>TRESORERIA!M$177</f>
        <v>0</v>
      </c>
      <c r="C177" s="29">
        <f>$F100*$B111</f>
        <v>0</v>
      </c>
      <c r="D177" s="29">
        <f>$G100*$B111</f>
        <v>0</v>
      </c>
      <c r="E177" s="29">
        <f>$H100*$B111</f>
        <v>0</v>
      </c>
      <c r="F177" s="29">
        <f>$I100*$B111</f>
        <v>0</v>
      </c>
      <c r="G177" s="29">
        <f>$J100*$B111</f>
        <v>0</v>
      </c>
      <c r="H177" s="29">
        <f>$K100*$B111</f>
        <v>0</v>
      </c>
      <c r="I177" s="29">
        <f>$L100*$B111</f>
        <v>0</v>
      </c>
      <c r="J177" s="29">
        <f>$M100*$B111</f>
        <v>0</v>
      </c>
      <c r="K177" s="29">
        <f>$N100*$B111</f>
        <v>0</v>
      </c>
      <c r="L177" s="29">
        <f>$C166*$B177</f>
        <v>0</v>
      </c>
      <c r="M177" s="1040">
        <f>$D166*$B177</f>
        <v>0</v>
      </c>
      <c r="N177" s="29">
        <f>$E166*$B177</f>
        <v>0</v>
      </c>
      <c r="O177" s="1044"/>
    </row>
    <row r="178" spans="1:28" x14ac:dyDescent="0.3">
      <c r="A178" s="920">
        <f t="shared" si="33"/>
        <v>300</v>
      </c>
      <c r="B178" s="1043">
        <f>TRESORERIA!N$177</f>
        <v>0</v>
      </c>
      <c r="C178" s="29">
        <f>$E100*$B112</f>
        <v>0</v>
      </c>
      <c r="D178" s="29">
        <f>$F100*$B112</f>
        <v>0</v>
      </c>
      <c r="E178" s="29">
        <f>$G100*$B112</f>
        <v>0</v>
      </c>
      <c r="F178" s="29">
        <f>$H100*$B112</f>
        <v>0</v>
      </c>
      <c r="G178" s="29">
        <f>$I100*$B112</f>
        <v>0</v>
      </c>
      <c r="H178" s="29">
        <f>$J100*$B112</f>
        <v>0</v>
      </c>
      <c r="I178" s="29">
        <f>$K100*$B112</f>
        <v>0</v>
      </c>
      <c r="J178" s="29">
        <f>$L100*$B112</f>
        <v>0</v>
      </c>
      <c r="K178" s="29">
        <f>$M100*$B112</f>
        <v>0</v>
      </c>
      <c r="L178" s="29">
        <f>$N100*$B112</f>
        <v>0</v>
      </c>
      <c r="M178" s="1040">
        <f>$C166*$B178</f>
        <v>0</v>
      </c>
      <c r="N178" s="29">
        <f>$D166*$B178</f>
        <v>0</v>
      </c>
      <c r="O178" s="1044"/>
    </row>
    <row r="179" spans="1:28" x14ac:dyDescent="0.3">
      <c r="A179" s="920">
        <f>A178+30</f>
        <v>330</v>
      </c>
      <c r="B179" s="1043">
        <f>TRESORERIA!O$177</f>
        <v>0</v>
      </c>
      <c r="C179" s="29">
        <f>$D100*$B113</f>
        <v>0</v>
      </c>
      <c r="D179" s="29">
        <f>$E100*$B113</f>
        <v>0</v>
      </c>
      <c r="E179" s="29">
        <f>$F100*$B113</f>
        <v>0</v>
      </c>
      <c r="F179" s="29">
        <f>$G100*$B113</f>
        <v>0</v>
      </c>
      <c r="G179" s="29">
        <f>$H100*$B113</f>
        <v>0</v>
      </c>
      <c r="H179" s="29">
        <f>$I100*$B113</f>
        <v>0</v>
      </c>
      <c r="I179" s="29">
        <f>$J100*$B113</f>
        <v>0</v>
      </c>
      <c r="J179" s="29">
        <f>$K100*$B113</f>
        <v>0</v>
      </c>
      <c r="K179" s="29">
        <f>$L100*$B113</f>
        <v>0</v>
      </c>
      <c r="L179" s="29">
        <f>$M100*$B113</f>
        <v>0</v>
      </c>
      <c r="M179" s="1040">
        <f>$N100*$B113</f>
        <v>0</v>
      </c>
      <c r="N179" s="29">
        <f>$C166*$B179</f>
        <v>0</v>
      </c>
      <c r="O179" s="1044"/>
    </row>
    <row r="180" spans="1:28" x14ac:dyDescent="0.3">
      <c r="A180" s="1045" t="s">
        <v>347</v>
      </c>
      <c r="B180" s="1043">
        <f t="shared" ref="B180:N180" si="34">SUM(B168:B179)</f>
        <v>1</v>
      </c>
      <c r="C180" s="29">
        <f t="shared" si="34"/>
        <v>0</v>
      </c>
      <c r="D180" s="29">
        <f t="shared" si="34"/>
        <v>0</v>
      </c>
      <c r="E180" s="29">
        <f t="shared" si="34"/>
        <v>0</v>
      </c>
      <c r="F180" s="29">
        <f t="shared" si="34"/>
        <v>0</v>
      </c>
      <c r="G180" s="29">
        <f t="shared" si="34"/>
        <v>0</v>
      </c>
      <c r="H180" s="29">
        <f t="shared" si="34"/>
        <v>0</v>
      </c>
      <c r="I180" s="29">
        <f t="shared" si="34"/>
        <v>0</v>
      </c>
      <c r="J180" s="29">
        <f t="shared" si="34"/>
        <v>0</v>
      </c>
      <c r="K180" s="29">
        <f t="shared" si="34"/>
        <v>0</v>
      </c>
      <c r="L180" s="29">
        <f t="shared" si="34"/>
        <v>0</v>
      </c>
      <c r="M180" s="1040">
        <f t="shared" si="34"/>
        <v>0</v>
      </c>
      <c r="N180" s="29">
        <f t="shared" si="34"/>
        <v>0</v>
      </c>
      <c r="O180" s="1046"/>
    </row>
    <row r="181" spans="1:28" x14ac:dyDescent="0.3">
      <c r="A181" s="1867" t="s">
        <v>348</v>
      </c>
      <c r="B181" s="1867"/>
      <c r="C181" s="799">
        <f>SERVEIS!CB63</f>
        <v>0</v>
      </c>
      <c r="D181" s="799">
        <f>SERVEIS!CC63</f>
        <v>0</v>
      </c>
      <c r="E181" s="799">
        <f>SERVEIS!CD63</f>
        <v>0</v>
      </c>
      <c r="F181" s="799">
        <f>SERVEIS!CE63</f>
        <v>0</v>
      </c>
      <c r="G181" s="799">
        <f>SERVEIS!CF63</f>
        <v>0</v>
      </c>
      <c r="H181" s="799">
        <f>SERVEIS!CG63</f>
        <v>0</v>
      </c>
      <c r="I181" s="799">
        <f>SERVEIS!CH63</f>
        <v>0</v>
      </c>
      <c r="J181" s="799">
        <f>SERVEIS!CI63</f>
        <v>0</v>
      </c>
      <c r="K181" s="799">
        <f>SERVEIS!CJ63</f>
        <v>0</v>
      </c>
      <c r="L181" s="799">
        <f>SERVEIS!CK63</f>
        <v>0</v>
      </c>
      <c r="M181" s="1047">
        <f>SERVEIS!CL63</f>
        <v>0</v>
      </c>
      <c r="N181" s="799">
        <f>SERVEIS!CM63</f>
        <v>0</v>
      </c>
      <c r="O181" s="1041">
        <f>SUM(C181:N181)</f>
        <v>0</v>
      </c>
      <c r="Q181" s="756" t="s">
        <v>357</v>
      </c>
      <c r="R181" s="1057"/>
      <c r="S181" s="1057"/>
      <c r="T181" s="1057"/>
      <c r="U181" s="1057"/>
      <c r="V181" s="1057"/>
      <c r="W181" s="1057"/>
      <c r="X181" s="1057"/>
      <c r="Y181" s="1057"/>
      <c r="Z181" s="1057"/>
      <c r="AA181" s="1057"/>
      <c r="AB181" s="1058"/>
    </row>
    <row r="182" spans="1:28" x14ac:dyDescent="0.3">
      <c r="A182" s="1870" t="s">
        <v>346</v>
      </c>
      <c r="B182" s="1870"/>
      <c r="C182" s="1053"/>
      <c r="D182" s="1053"/>
      <c r="E182" s="1053"/>
      <c r="F182" s="1053"/>
      <c r="G182" s="1053"/>
      <c r="H182" s="1053"/>
      <c r="I182" s="1053"/>
      <c r="J182" s="1053"/>
      <c r="K182" s="1053"/>
      <c r="L182" s="1053"/>
      <c r="M182" s="1054"/>
      <c r="N182" s="799"/>
      <c r="O182" s="1042"/>
    </row>
    <row r="183" spans="1:28" x14ac:dyDescent="0.3">
      <c r="A183" s="633">
        <v>0</v>
      </c>
      <c r="B183" s="72">
        <f>TRESORERIA!D$178</f>
        <v>1</v>
      </c>
      <c r="C183" s="799">
        <f>$C181*$B183</f>
        <v>0</v>
      </c>
      <c r="D183" s="799">
        <f>$D181*$B183</f>
        <v>0</v>
      </c>
      <c r="E183" s="799">
        <f>$E181*$B183</f>
        <v>0</v>
      </c>
      <c r="F183" s="799">
        <f>$F181*$B183</f>
        <v>0</v>
      </c>
      <c r="G183" s="799">
        <f>$G181*$B183</f>
        <v>0</v>
      </c>
      <c r="H183" s="799">
        <f>$H181*$B183</f>
        <v>0</v>
      </c>
      <c r="I183" s="799">
        <f>$I181*$B183</f>
        <v>0</v>
      </c>
      <c r="J183" s="799">
        <f>$J181*$B183</f>
        <v>0</v>
      </c>
      <c r="K183" s="799">
        <f>$K181*$B183</f>
        <v>0</v>
      </c>
      <c r="L183" s="799">
        <f>$L181*$B183</f>
        <v>0</v>
      </c>
      <c r="M183" s="1047">
        <f>$M181*$B183</f>
        <v>0</v>
      </c>
      <c r="N183" s="799">
        <f>$N181*$B183</f>
        <v>0</v>
      </c>
      <c r="O183" s="1044"/>
      <c r="Q183" s="1064">
        <f>+C183*SERVEIS!$CN$67</f>
        <v>0</v>
      </c>
      <c r="R183" s="1064">
        <f>+D183*SERVEIS!$CN$67</f>
        <v>0</v>
      </c>
      <c r="S183" s="1064">
        <f>+E183*SERVEIS!$CN$67</f>
        <v>0</v>
      </c>
      <c r="T183" s="1064">
        <f>+F183*SERVEIS!$CN$67</f>
        <v>0</v>
      </c>
      <c r="U183" s="1064">
        <f>+G183*SERVEIS!$CN$67</f>
        <v>0</v>
      </c>
      <c r="V183" s="1064">
        <f>+H183*SERVEIS!$CN$67</f>
        <v>0</v>
      </c>
      <c r="W183" s="1064">
        <f>+I183*SERVEIS!$CN$67</f>
        <v>0</v>
      </c>
      <c r="X183" s="1064">
        <f>+J183*SERVEIS!$CN$67</f>
        <v>0</v>
      </c>
      <c r="Y183" s="1064">
        <f>+K183*SERVEIS!$CN$67</f>
        <v>0</v>
      </c>
      <c r="Z183" s="1064">
        <f>+L183*SERVEIS!$CN$67</f>
        <v>0</v>
      </c>
      <c r="AA183" s="1064">
        <f>+M183*SERVEIS!$CN$67</f>
        <v>0</v>
      </c>
      <c r="AB183" s="1064">
        <f>+N183*SERVEIS!$CN$67</f>
        <v>0</v>
      </c>
    </row>
    <row r="184" spans="1:28" x14ac:dyDescent="0.3">
      <c r="A184" s="633">
        <f>A183+30</f>
        <v>30</v>
      </c>
      <c r="B184" s="72">
        <f>TRESORERIA!E$178</f>
        <v>0</v>
      </c>
      <c r="C184" s="799">
        <f>$N115*$B118</f>
        <v>0</v>
      </c>
      <c r="D184" s="799">
        <f>$C181*$B184</f>
        <v>0</v>
      </c>
      <c r="E184" s="799">
        <f>$D181*$B184</f>
        <v>0</v>
      </c>
      <c r="F184" s="799">
        <f>$E181*$B184</f>
        <v>0</v>
      </c>
      <c r="G184" s="799">
        <f>$F181*$B184</f>
        <v>0</v>
      </c>
      <c r="H184" s="799">
        <f>$G181*$B184</f>
        <v>0</v>
      </c>
      <c r="I184" s="799">
        <f>$H181*$B184</f>
        <v>0</v>
      </c>
      <c r="J184" s="799">
        <f>$I181*$B184</f>
        <v>0</v>
      </c>
      <c r="K184" s="799">
        <f>$J181*$B184</f>
        <v>0</v>
      </c>
      <c r="L184" s="799">
        <f>$K181*$B184</f>
        <v>0</v>
      </c>
      <c r="M184" s="1047">
        <f>$L181*$B184</f>
        <v>0</v>
      </c>
      <c r="N184" s="799">
        <f>$M181*$B184</f>
        <v>0</v>
      </c>
      <c r="O184" s="1044"/>
      <c r="Q184" s="1060">
        <f>+C184*SERVEIS!$CN$47</f>
        <v>0</v>
      </c>
      <c r="R184" s="1064">
        <f>+D184*SERVEIS!$CN$67</f>
        <v>0</v>
      </c>
      <c r="S184" s="1064">
        <f>+E184*SERVEIS!$CN$67</f>
        <v>0</v>
      </c>
      <c r="T184" s="1064">
        <f>+F184*SERVEIS!$CN$67</f>
        <v>0</v>
      </c>
      <c r="U184" s="1064">
        <f>+G184*SERVEIS!$CN$67</f>
        <v>0</v>
      </c>
      <c r="V184" s="1064">
        <f>+H184*SERVEIS!$CN$67</f>
        <v>0</v>
      </c>
      <c r="W184" s="1064">
        <f>+I184*SERVEIS!$CN$67</f>
        <v>0</v>
      </c>
      <c r="X184" s="1064">
        <f>+J184*SERVEIS!$CN$67</f>
        <v>0</v>
      </c>
      <c r="Y184" s="1064">
        <f>+K184*SERVEIS!$CN$67</f>
        <v>0</v>
      </c>
      <c r="Z184" s="1064">
        <f>+L184*SERVEIS!$CN$67</f>
        <v>0</v>
      </c>
      <c r="AA184" s="1064">
        <f>+M184*SERVEIS!$CN$67</f>
        <v>0</v>
      </c>
      <c r="AB184" s="1064">
        <f>+N184*SERVEIS!$CN$67</f>
        <v>0</v>
      </c>
    </row>
    <row r="185" spans="1:28" x14ac:dyDescent="0.3">
      <c r="A185" s="633">
        <f t="shared" ref="A185:A193" si="35">A184+30</f>
        <v>60</v>
      </c>
      <c r="B185" s="72">
        <f>TRESORERIA!F$178</f>
        <v>0</v>
      </c>
      <c r="C185" s="799">
        <f>$M115*$B119</f>
        <v>0</v>
      </c>
      <c r="D185" s="799">
        <f>$N115*$B119</f>
        <v>0</v>
      </c>
      <c r="E185" s="799">
        <f>$C181*$B185</f>
        <v>0</v>
      </c>
      <c r="F185" s="799">
        <f>$D181*$B185</f>
        <v>0</v>
      </c>
      <c r="G185" s="799">
        <f>$E181*$B185</f>
        <v>0</v>
      </c>
      <c r="H185" s="799">
        <f>$F181*$B185</f>
        <v>0</v>
      </c>
      <c r="I185" s="799">
        <f>$G181*$B185</f>
        <v>0</v>
      </c>
      <c r="J185" s="799">
        <f>$H181*$B185</f>
        <v>0</v>
      </c>
      <c r="K185" s="799">
        <f>$I181*$B185</f>
        <v>0</v>
      </c>
      <c r="L185" s="799">
        <f>$J181*$B185</f>
        <v>0</v>
      </c>
      <c r="M185" s="1047">
        <f>$K181*$B185</f>
        <v>0</v>
      </c>
      <c r="N185" s="799">
        <f>$L181*$B185</f>
        <v>0</v>
      </c>
      <c r="O185" s="1044"/>
      <c r="Q185" s="1060">
        <f>+C185*SERVEIS!$CN$47</f>
        <v>0</v>
      </c>
      <c r="R185" s="1060">
        <f>+D185*SERVEIS!$CN$47</f>
        <v>0</v>
      </c>
      <c r="S185" s="1064">
        <f>+E185*SERVEIS!$CN$67</f>
        <v>0</v>
      </c>
      <c r="T185" s="1064">
        <f>+F185*SERVEIS!$CN$67</f>
        <v>0</v>
      </c>
      <c r="U185" s="1064">
        <f>+G185*SERVEIS!$CN$67</f>
        <v>0</v>
      </c>
      <c r="V185" s="1064">
        <f>+H185*SERVEIS!$CN$67</f>
        <v>0</v>
      </c>
      <c r="W185" s="1064">
        <f>+I185*SERVEIS!$CN$67</f>
        <v>0</v>
      </c>
      <c r="X185" s="1064">
        <f>+J185*SERVEIS!$CN$67</f>
        <v>0</v>
      </c>
      <c r="Y185" s="1064">
        <f>+K185*SERVEIS!$CN$67</f>
        <v>0</v>
      </c>
      <c r="Z185" s="1064">
        <f>+L185*SERVEIS!$CN$67</f>
        <v>0</v>
      </c>
      <c r="AA185" s="1064">
        <f>+M185*SERVEIS!$CN$67</f>
        <v>0</v>
      </c>
      <c r="AB185" s="1064">
        <f>+N185*SERVEIS!$CN$67</f>
        <v>0</v>
      </c>
    </row>
    <row r="186" spans="1:28" x14ac:dyDescent="0.3">
      <c r="A186" s="633">
        <f t="shared" si="35"/>
        <v>90</v>
      </c>
      <c r="B186" s="72">
        <f>TRESORERIA!G$178</f>
        <v>0</v>
      </c>
      <c r="C186" s="799">
        <f>$L115*$B120</f>
        <v>0</v>
      </c>
      <c r="D186" s="799">
        <f>$M115*$B120</f>
        <v>0</v>
      </c>
      <c r="E186" s="799">
        <f>$N115*$B120</f>
        <v>0</v>
      </c>
      <c r="F186" s="799">
        <f>$C181*$B186</f>
        <v>0</v>
      </c>
      <c r="G186" s="799">
        <f>$D181*$B186</f>
        <v>0</v>
      </c>
      <c r="H186" s="799">
        <f>$E181*$B186</f>
        <v>0</v>
      </c>
      <c r="I186" s="799">
        <f>$F181*$B186</f>
        <v>0</v>
      </c>
      <c r="J186" s="799">
        <f>$G181*$B186</f>
        <v>0</v>
      </c>
      <c r="K186" s="799">
        <f>$H181*$B186</f>
        <v>0</v>
      </c>
      <c r="L186" s="799">
        <f>$I181*$B186</f>
        <v>0</v>
      </c>
      <c r="M186" s="1047">
        <f>$J181*$B186</f>
        <v>0</v>
      </c>
      <c r="N186" s="799">
        <f>$K181*$B186</f>
        <v>0</v>
      </c>
      <c r="O186" s="1044"/>
      <c r="Q186" s="1060">
        <f>+C186*SERVEIS!$CN$47</f>
        <v>0</v>
      </c>
      <c r="R186" s="1060">
        <f>+D186*SERVEIS!$CN$47</f>
        <v>0</v>
      </c>
      <c r="S186" s="1060">
        <f>+E186*SERVEIS!$CN$47</f>
        <v>0</v>
      </c>
      <c r="T186" s="1064">
        <f>+F186*SERVEIS!$CN$67</f>
        <v>0</v>
      </c>
      <c r="U186" s="1064">
        <f>+G186*SERVEIS!$CN$67</f>
        <v>0</v>
      </c>
      <c r="V186" s="1064">
        <f>+H186*SERVEIS!$CN$67</f>
        <v>0</v>
      </c>
      <c r="W186" s="1064">
        <f>+I186*SERVEIS!$CN$67</f>
        <v>0</v>
      </c>
      <c r="X186" s="1064">
        <f>+J186*SERVEIS!$CN$67</f>
        <v>0</v>
      </c>
      <c r="Y186" s="1064">
        <f>+K186*SERVEIS!$CN$67</f>
        <v>0</v>
      </c>
      <c r="Z186" s="1064">
        <f>+L186*SERVEIS!$CN$67</f>
        <v>0</v>
      </c>
      <c r="AA186" s="1064">
        <f>+M186*SERVEIS!$CN$67</f>
        <v>0</v>
      </c>
      <c r="AB186" s="1064">
        <f>+N186*SERVEIS!$CN$67</f>
        <v>0</v>
      </c>
    </row>
    <row r="187" spans="1:28" x14ac:dyDescent="0.3">
      <c r="A187" s="633">
        <f t="shared" si="35"/>
        <v>120</v>
      </c>
      <c r="B187" s="72">
        <f>TRESORERIA!H$178</f>
        <v>0</v>
      </c>
      <c r="C187" s="799">
        <f>$K115*$B121</f>
        <v>0</v>
      </c>
      <c r="D187" s="799">
        <f>$L115*$B121</f>
        <v>0</v>
      </c>
      <c r="E187" s="799">
        <f>$M115*$B121</f>
        <v>0</v>
      </c>
      <c r="F187" s="799">
        <f>$N115*$B121</f>
        <v>0</v>
      </c>
      <c r="G187" s="799">
        <f>$C181*$B187</f>
        <v>0</v>
      </c>
      <c r="H187" s="799">
        <f>$D181*$B187</f>
        <v>0</v>
      </c>
      <c r="I187" s="799">
        <f>$E181*$B187</f>
        <v>0</v>
      </c>
      <c r="J187" s="799">
        <f>$F181*$B187</f>
        <v>0</v>
      </c>
      <c r="K187" s="799">
        <f>$G181*$B187</f>
        <v>0</v>
      </c>
      <c r="L187" s="799">
        <f>$H181*$B187</f>
        <v>0</v>
      </c>
      <c r="M187" s="1047">
        <f>$I181*$B187</f>
        <v>0</v>
      </c>
      <c r="N187" s="799">
        <f>$J181*$B187</f>
        <v>0</v>
      </c>
      <c r="O187" s="1044"/>
      <c r="Q187" s="1060">
        <f>+C187*SERVEIS!$CN$47</f>
        <v>0</v>
      </c>
      <c r="R187" s="1060">
        <f>+D187*SERVEIS!$CN$47</f>
        <v>0</v>
      </c>
      <c r="S187" s="1060">
        <f>+E187*SERVEIS!$CN$47</f>
        <v>0</v>
      </c>
      <c r="T187" s="1060">
        <f>+F187*SERVEIS!$CN$47</f>
        <v>0</v>
      </c>
      <c r="U187" s="1064">
        <f>+G187*SERVEIS!$CN$67</f>
        <v>0</v>
      </c>
      <c r="V187" s="1064">
        <f>+H187*SERVEIS!$CN$67</f>
        <v>0</v>
      </c>
      <c r="W187" s="1064">
        <f>+I187*SERVEIS!$CN$67</f>
        <v>0</v>
      </c>
      <c r="X187" s="1064">
        <f>+J187*SERVEIS!$CN$67</f>
        <v>0</v>
      </c>
      <c r="Y187" s="1064">
        <f>+K187*SERVEIS!$CN$67</f>
        <v>0</v>
      </c>
      <c r="Z187" s="1064">
        <f>+L187*SERVEIS!$CN$67</f>
        <v>0</v>
      </c>
      <c r="AA187" s="1064">
        <f>+M187*SERVEIS!$CN$67</f>
        <v>0</v>
      </c>
      <c r="AB187" s="1064">
        <f>+N187*SERVEIS!$CN$67</f>
        <v>0</v>
      </c>
    </row>
    <row r="188" spans="1:28" x14ac:dyDescent="0.3">
      <c r="A188" s="633">
        <f t="shared" si="35"/>
        <v>150</v>
      </c>
      <c r="B188" s="72">
        <f>TRESORERIA!I$178</f>
        <v>0</v>
      </c>
      <c r="C188" s="799">
        <f>$J115*$B122</f>
        <v>0</v>
      </c>
      <c r="D188" s="799">
        <f>$K115*$B122</f>
        <v>0</v>
      </c>
      <c r="E188" s="799">
        <f>$L115*$B122</f>
        <v>0</v>
      </c>
      <c r="F188" s="799">
        <f>$M115*$B122</f>
        <v>0</v>
      </c>
      <c r="G188" s="799">
        <f>$N115*$B122</f>
        <v>0</v>
      </c>
      <c r="H188" s="799">
        <f>$C181*$B188</f>
        <v>0</v>
      </c>
      <c r="I188" s="799">
        <f>$D181*$B188</f>
        <v>0</v>
      </c>
      <c r="J188" s="799">
        <f>$E181*$B188</f>
        <v>0</v>
      </c>
      <c r="K188" s="799">
        <f>$F181*$B188</f>
        <v>0</v>
      </c>
      <c r="L188" s="799">
        <f>$G181*$B188</f>
        <v>0</v>
      </c>
      <c r="M188" s="1047">
        <f>$H181*$B188</f>
        <v>0</v>
      </c>
      <c r="N188" s="799">
        <f>$I181*$B188</f>
        <v>0</v>
      </c>
      <c r="O188" s="1044"/>
      <c r="Q188" s="1060">
        <f>+C188*SERVEIS!$CN$47</f>
        <v>0</v>
      </c>
      <c r="R188" s="1060">
        <f>+D188*SERVEIS!$CN$47</f>
        <v>0</v>
      </c>
      <c r="S188" s="1060">
        <f>+E188*SERVEIS!$CN$47</f>
        <v>0</v>
      </c>
      <c r="T188" s="1060">
        <f>+F188*SERVEIS!$CN$47</f>
        <v>0</v>
      </c>
      <c r="U188" s="1060">
        <f>+G188*SERVEIS!$CN$47</f>
        <v>0</v>
      </c>
      <c r="V188" s="1064">
        <f>+H188*SERVEIS!$CN$67</f>
        <v>0</v>
      </c>
      <c r="W188" s="1064">
        <f>+I188*SERVEIS!$CN$67</f>
        <v>0</v>
      </c>
      <c r="X188" s="1064">
        <f>+J188*SERVEIS!$CN$67</f>
        <v>0</v>
      </c>
      <c r="Y188" s="1064">
        <f>+K188*SERVEIS!$CN$67</f>
        <v>0</v>
      </c>
      <c r="Z188" s="1064">
        <f>+L188*SERVEIS!$CN$67</f>
        <v>0</v>
      </c>
      <c r="AA188" s="1064">
        <f>+M188*SERVEIS!$CN$67</f>
        <v>0</v>
      </c>
      <c r="AB188" s="1064">
        <f>+N188*SERVEIS!$CN$67</f>
        <v>0</v>
      </c>
    </row>
    <row r="189" spans="1:28" x14ac:dyDescent="0.3">
      <c r="A189" s="633">
        <f t="shared" si="35"/>
        <v>180</v>
      </c>
      <c r="B189" s="72">
        <f>TRESORERIA!J$178</f>
        <v>0</v>
      </c>
      <c r="C189" s="799">
        <f>$I115*$B123</f>
        <v>0</v>
      </c>
      <c r="D189" s="799">
        <f>$J115*$B123</f>
        <v>0</v>
      </c>
      <c r="E189" s="799">
        <f>$K115*$B123</f>
        <v>0</v>
      </c>
      <c r="F189" s="799">
        <f>$L115*$B123</f>
        <v>0</v>
      </c>
      <c r="G189" s="799">
        <f>$M115*$B123</f>
        <v>0</v>
      </c>
      <c r="H189" s="799">
        <f>$N115*$B123</f>
        <v>0</v>
      </c>
      <c r="I189" s="799">
        <f>$C181*$B189</f>
        <v>0</v>
      </c>
      <c r="J189" s="799">
        <f>$D181*$B189</f>
        <v>0</v>
      </c>
      <c r="K189" s="799">
        <f>$E181*$B189</f>
        <v>0</v>
      </c>
      <c r="L189" s="799">
        <f>$F181*$B189</f>
        <v>0</v>
      </c>
      <c r="M189" s="1047">
        <f>$G181*$B189</f>
        <v>0</v>
      </c>
      <c r="N189" s="799">
        <f>$H181*$B189</f>
        <v>0</v>
      </c>
      <c r="O189" s="1044"/>
      <c r="Q189" s="1060">
        <f>+C189*SERVEIS!$CN$47</f>
        <v>0</v>
      </c>
      <c r="R189" s="1060">
        <f>+D189*SERVEIS!$CN$47</f>
        <v>0</v>
      </c>
      <c r="S189" s="1060">
        <f>+E189*SERVEIS!$CN$47</f>
        <v>0</v>
      </c>
      <c r="T189" s="1060">
        <f>+F189*SERVEIS!$CN$47</f>
        <v>0</v>
      </c>
      <c r="U189" s="1060">
        <f>+G189*SERVEIS!$CN$47</f>
        <v>0</v>
      </c>
      <c r="V189" s="1060">
        <f>+H189*SERVEIS!$CN$47</f>
        <v>0</v>
      </c>
      <c r="W189" s="1064">
        <f>+I189*SERVEIS!$CN$67</f>
        <v>0</v>
      </c>
      <c r="X189" s="1064">
        <f>+J189*SERVEIS!$CN$67</f>
        <v>0</v>
      </c>
      <c r="Y189" s="1064">
        <f>+K189*SERVEIS!$CN$67</f>
        <v>0</v>
      </c>
      <c r="Z189" s="1064">
        <f>+L189*SERVEIS!$CN$67</f>
        <v>0</v>
      </c>
      <c r="AA189" s="1064">
        <f>+M189*SERVEIS!$CN$67</f>
        <v>0</v>
      </c>
      <c r="AB189" s="1064">
        <f>+N189*SERVEIS!$CN$67</f>
        <v>0</v>
      </c>
    </row>
    <row r="190" spans="1:28" x14ac:dyDescent="0.3">
      <c r="A190" s="633">
        <f t="shared" si="35"/>
        <v>210</v>
      </c>
      <c r="B190" s="72">
        <f>TRESORERIA!K$178</f>
        <v>0</v>
      </c>
      <c r="C190" s="799">
        <f>$H115*$B124</f>
        <v>0</v>
      </c>
      <c r="D190" s="799">
        <f>$I115*$B124</f>
        <v>0</v>
      </c>
      <c r="E190" s="799">
        <f>$J115*$B124</f>
        <v>0</v>
      </c>
      <c r="F190" s="799">
        <f>$K115*$B124</f>
        <v>0</v>
      </c>
      <c r="G190" s="799">
        <f>$L115*$B124</f>
        <v>0</v>
      </c>
      <c r="H190" s="799">
        <f>$M115*$B124</f>
        <v>0</v>
      </c>
      <c r="I190" s="799">
        <f>$N115*$B124</f>
        <v>0</v>
      </c>
      <c r="J190" s="799">
        <f>$C181*$B190</f>
        <v>0</v>
      </c>
      <c r="K190" s="799">
        <f>$D181*$B190</f>
        <v>0</v>
      </c>
      <c r="L190" s="799">
        <f>$E181*$B190</f>
        <v>0</v>
      </c>
      <c r="M190" s="1047">
        <f>$F181*$B190</f>
        <v>0</v>
      </c>
      <c r="N190" s="799">
        <f>$G181*$B190</f>
        <v>0</v>
      </c>
      <c r="O190" s="1044"/>
      <c r="Q190" s="1060">
        <f>+C190*SERVEIS!$CN$47</f>
        <v>0</v>
      </c>
      <c r="R190" s="1060">
        <f>+D190*SERVEIS!$CN$47</f>
        <v>0</v>
      </c>
      <c r="S190" s="1060">
        <f>+E190*SERVEIS!$CN$47</f>
        <v>0</v>
      </c>
      <c r="T190" s="1060">
        <f>+F190*SERVEIS!$CN$47</f>
        <v>0</v>
      </c>
      <c r="U190" s="1060">
        <f>+G190*SERVEIS!$CN$47</f>
        <v>0</v>
      </c>
      <c r="V190" s="1060">
        <f>+H190*SERVEIS!$CN$47</f>
        <v>0</v>
      </c>
      <c r="W190" s="1060">
        <f>+I190*SERVEIS!$CN$47</f>
        <v>0</v>
      </c>
      <c r="X190" s="1064">
        <f>+J190*SERVEIS!$CN$67</f>
        <v>0</v>
      </c>
      <c r="Y190" s="1064">
        <f>+K190*SERVEIS!$CN$67</f>
        <v>0</v>
      </c>
      <c r="Z190" s="1064">
        <f>+L190*SERVEIS!$CN$67</f>
        <v>0</v>
      </c>
      <c r="AA190" s="1064">
        <f>+M190*SERVEIS!$CN$67</f>
        <v>0</v>
      </c>
      <c r="AB190" s="1064">
        <f>+N190*SERVEIS!$CN$67</f>
        <v>0</v>
      </c>
    </row>
    <row r="191" spans="1:28" x14ac:dyDescent="0.3">
      <c r="A191" s="633">
        <f t="shared" si="35"/>
        <v>240</v>
      </c>
      <c r="B191" s="72">
        <f>TRESORERIA!L$178</f>
        <v>0</v>
      </c>
      <c r="C191" s="799">
        <f>$G115*$B125</f>
        <v>0</v>
      </c>
      <c r="D191" s="799">
        <f>$H115*$B125</f>
        <v>0</v>
      </c>
      <c r="E191" s="799">
        <f>$I115*$B125</f>
        <v>0</v>
      </c>
      <c r="F191" s="799">
        <f>$J115*$B125</f>
        <v>0</v>
      </c>
      <c r="G191" s="799">
        <f>$K115*$B125</f>
        <v>0</v>
      </c>
      <c r="H191" s="799">
        <f>$L115*$B125</f>
        <v>0</v>
      </c>
      <c r="I191" s="799">
        <f>$M115*$B125</f>
        <v>0</v>
      </c>
      <c r="J191" s="799">
        <f>$N115*$B125</f>
        <v>0</v>
      </c>
      <c r="K191" s="799">
        <f>$C181*$B191</f>
        <v>0</v>
      </c>
      <c r="L191" s="799">
        <f>$D181*$B191</f>
        <v>0</v>
      </c>
      <c r="M191" s="1047">
        <f>$E181*$B191</f>
        <v>0</v>
      </c>
      <c r="N191" s="799">
        <f>$F181*$B191</f>
        <v>0</v>
      </c>
      <c r="O191" s="1044"/>
      <c r="Q191" s="1060">
        <f>+C191*SERVEIS!$CN$47</f>
        <v>0</v>
      </c>
      <c r="R191" s="1060">
        <f>+D191*SERVEIS!$CN$47</f>
        <v>0</v>
      </c>
      <c r="S191" s="1060">
        <f>+E191*SERVEIS!$CN$47</f>
        <v>0</v>
      </c>
      <c r="T191" s="1060">
        <f>+F191*SERVEIS!$CN$47</f>
        <v>0</v>
      </c>
      <c r="U191" s="1060">
        <f>+G191*SERVEIS!$CN$47</f>
        <v>0</v>
      </c>
      <c r="V191" s="1060">
        <f>+H191*SERVEIS!$CN$47</f>
        <v>0</v>
      </c>
      <c r="W191" s="1060">
        <f>+I191*SERVEIS!$CN$47</f>
        <v>0</v>
      </c>
      <c r="X191" s="1060">
        <f>+J191*SERVEIS!$CN$47</f>
        <v>0</v>
      </c>
      <c r="Y191" s="1064">
        <f>+K191*SERVEIS!$CN$67</f>
        <v>0</v>
      </c>
      <c r="Z191" s="1064">
        <f>+L191*SERVEIS!$CN$67</f>
        <v>0</v>
      </c>
      <c r="AA191" s="1064">
        <f>+M191*SERVEIS!$CN$67</f>
        <v>0</v>
      </c>
      <c r="AB191" s="1064">
        <f>+N191*SERVEIS!$CN$67</f>
        <v>0</v>
      </c>
    </row>
    <row r="192" spans="1:28" x14ac:dyDescent="0.3">
      <c r="A192" s="633">
        <f t="shared" si="35"/>
        <v>270</v>
      </c>
      <c r="B192" s="72">
        <f>TRESORERIA!M$178</f>
        <v>0</v>
      </c>
      <c r="C192" s="799">
        <f>$F115*$B126</f>
        <v>0</v>
      </c>
      <c r="D192" s="799">
        <f>$G115*$B126</f>
        <v>0</v>
      </c>
      <c r="E192" s="799">
        <f>$H115*$B126</f>
        <v>0</v>
      </c>
      <c r="F192" s="799">
        <f>$I115*$B126</f>
        <v>0</v>
      </c>
      <c r="G192" s="799">
        <f>$J115*$B126</f>
        <v>0</v>
      </c>
      <c r="H192" s="799">
        <f>$K115*$B126</f>
        <v>0</v>
      </c>
      <c r="I192" s="799">
        <f>$L115*$B126</f>
        <v>0</v>
      </c>
      <c r="J192" s="799">
        <f>$M115*$B126</f>
        <v>0</v>
      </c>
      <c r="K192" s="799">
        <f>$N115*$B126</f>
        <v>0</v>
      </c>
      <c r="L192" s="799">
        <f>$C181*$B192</f>
        <v>0</v>
      </c>
      <c r="M192" s="1047">
        <f>$D181*$B192</f>
        <v>0</v>
      </c>
      <c r="N192" s="799">
        <f>$E181*$B192</f>
        <v>0</v>
      </c>
      <c r="O192" s="1044"/>
      <c r="Q192" s="1060">
        <f>+C192*SERVEIS!$CN$47</f>
        <v>0</v>
      </c>
      <c r="R192" s="1060">
        <f>+D192*SERVEIS!$CN$47</f>
        <v>0</v>
      </c>
      <c r="S192" s="1060">
        <f>+E192*SERVEIS!$CN$47</f>
        <v>0</v>
      </c>
      <c r="T192" s="1060">
        <f>+F192*SERVEIS!$CN$47</f>
        <v>0</v>
      </c>
      <c r="U192" s="1060">
        <f>+G192*SERVEIS!$CN$47</f>
        <v>0</v>
      </c>
      <c r="V192" s="1060">
        <f>+H192*SERVEIS!$CN$47</f>
        <v>0</v>
      </c>
      <c r="W192" s="1060">
        <f>+I192*SERVEIS!$CN$47</f>
        <v>0</v>
      </c>
      <c r="X192" s="1060">
        <f>+J192*SERVEIS!$CN$47</f>
        <v>0</v>
      </c>
      <c r="Y192" s="1060">
        <f>+K192*SERVEIS!$CN$47</f>
        <v>0</v>
      </c>
      <c r="Z192" s="1064">
        <f>+L192*SERVEIS!$CN$67</f>
        <v>0</v>
      </c>
      <c r="AA192" s="1064">
        <f>+M192*SERVEIS!$CN$67</f>
        <v>0</v>
      </c>
      <c r="AB192" s="1064">
        <f>+N192*SERVEIS!$CN$67</f>
        <v>0</v>
      </c>
    </row>
    <row r="193" spans="1:28" x14ac:dyDescent="0.3">
      <c r="A193" s="633">
        <f t="shared" si="35"/>
        <v>300</v>
      </c>
      <c r="B193" s="72">
        <f>TRESORERIA!N$178</f>
        <v>0</v>
      </c>
      <c r="C193" s="799">
        <f>$E115*$B127</f>
        <v>0</v>
      </c>
      <c r="D193" s="799">
        <f>$F115*$B127</f>
        <v>0</v>
      </c>
      <c r="E193" s="799">
        <f>$G115*$B127</f>
        <v>0</v>
      </c>
      <c r="F193" s="799">
        <f>$H115*$B127</f>
        <v>0</v>
      </c>
      <c r="G193" s="799">
        <f>$I115*$B127</f>
        <v>0</v>
      </c>
      <c r="H193" s="799">
        <f>$J115*$B127</f>
        <v>0</v>
      </c>
      <c r="I193" s="799">
        <f>$K115*$B127</f>
        <v>0</v>
      </c>
      <c r="J193" s="799">
        <f>$L115*$B127</f>
        <v>0</v>
      </c>
      <c r="K193" s="799">
        <f>$M115*$B127</f>
        <v>0</v>
      </c>
      <c r="L193" s="799">
        <f>$N115*$B127</f>
        <v>0</v>
      </c>
      <c r="M193" s="1047">
        <f>$C181*$B193</f>
        <v>0</v>
      </c>
      <c r="N193" s="799">
        <f>$D181*$B193</f>
        <v>0</v>
      </c>
      <c r="O193" s="1044"/>
      <c r="Q193" s="1060">
        <f>+C193*SERVEIS!$CN$47</f>
        <v>0</v>
      </c>
      <c r="R193" s="1060">
        <f>+D193*SERVEIS!$CN$47</f>
        <v>0</v>
      </c>
      <c r="S193" s="1060">
        <f>+E193*SERVEIS!$CN$47</f>
        <v>0</v>
      </c>
      <c r="T193" s="1060">
        <f>+F193*SERVEIS!$CN$47</f>
        <v>0</v>
      </c>
      <c r="U193" s="1060">
        <f>+G193*SERVEIS!$CN$47</f>
        <v>0</v>
      </c>
      <c r="V193" s="1060">
        <f>+H193*SERVEIS!$CN$47</f>
        <v>0</v>
      </c>
      <c r="W193" s="1060">
        <f>+I193*SERVEIS!$CN$47</f>
        <v>0</v>
      </c>
      <c r="X193" s="1060">
        <f>+J193*SERVEIS!$CN$47</f>
        <v>0</v>
      </c>
      <c r="Y193" s="1060">
        <f>+K193*SERVEIS!$CN$47</f>
        <v>0</v>
      </c>
      <c r="Z193" s="1060">
        <f>+L193*SERVEIS!$CN$47</f>
        <v>0</v>
      </c>
      <c r="AA193" s="1064">
        <f>+M193*SERVEIS!$CN$67</f>
        <v>0</v>
      </c>
      <c r="AB193" s="1064">
        <f>+N193*SERVEIS!$CN$67</f>
        <v>0</v>
      </c>
    </row>
    <row r="194" spans="1:28" x14ac:dyDescent="0.3">
      <c r="A194" s="633">
        <f>A193+30</f>
        <v>330</v>
      </c>
      <c r="B194" s="72">
        <f>TRESORERIA!O$178</f>
        <v>0</v>
      </c>
      <c r="C194" s="799">
        <f>$D115*$B128</f>
        <v>0</v>
      </c>
      <c r="D194" s="799">
        <f>$E115*$B128</f>
        <v>0</v>
      </c>
      <c r="E194" s="799">
        <f>$F115*$B128</f>
        <v>0</v>
      </c>
      <c r="F194" s="799">
        <f>$G115*$B128</f>
        <v>0</v>
      </c>
      <c r="G194" s="799">
        <f>$H115*$B128</f>
        <v>0</v>
      </c>
      <c r="H194" s="799">
        <f>$I115*$B128</f>
        <v>0</v>
      </c>
      <c r="I194" s="799">
        <f>$J115*$B128</f>
        <v>0</v>
      </c>
      <c r="J194" s="799">
        <f>$K115*$B128</f>
        <v>0</v>
      </c>
      <c r="K194" s="799">
        <f>$L115*$B128</f>
        <v>0</v>
      </c>
      <c r="L194" s="799">
        <f>$M115*$B128</f>
        <v>0</v>
      </c>
      <c r="M194" s="1047">
        <f>$N115*$B128</f>
        <v>0</v>
      </c>
      <c r="N194" s="799">
        <f>$C181*$B194</f>
        <v>0</v>
      </c>
      <c r="O194" s="1044"/>
      <c r="Q194" s="1060">
        <f>+C194*SERVEIS!$CN$47</f>
        <v>0</v>
      </c>
      <c r="R194" s="1060">
        <f>+D194*SERVEIS!$CN$47</f>
        <v>0</v>
      </c>
      <c r="S194" s="1060">
        <f>+E194*SERVEIS!$CN$47</f>
        <v>0</v>
      </c>
      <c r="T194" s="1060">
        <f>+F194*SERVEIS!$CN$47</f>
        <v>0</v>
      </c>
      <c r="U194" s="1060">
        <f>+G194*SERVEIS!$CN$47</f>
        <v>0</v>
      </c>
      <c r="V194" s="1060">
        <f>+H194*SERVEIS!$CN$47</f>
        <v>0</v>
      </c>
      <c r="W194" s="1060">
        <f>+I194*SERVEIS!$CN$47</f>
        <v>0</v>
      </c>
      <c r="X194" s="1060">
        <f>+J194*SERVEIS!$CN$47</f>
        <v>0</v>
      </c>
      <c r="Y194" s="1060">
        <f>+K194*SERVEIS!$CN$47</f>
        <v>0</v>
      </c>
      <c r="Z194" s="1060">
        <f>+L194*SERVEIS!$CN$47</f>
        <v>0</v>
      </c>
      <c r="AA194" s="1060">
        <f>+M194*SERVEIS!$CN$47</f>
        <v>0</v>
      </c>
      <c r="AB194" s="1064">
        <f>+N194*SERVEIS!$CN$67</f>
        <v>0</v>
      </c>
    </row>
    <row r="195" spans="1:28" x14ac:dyDescent="0.3">
      <c r="A195" s="1048" t="s">
        <v>347</v>
      </c>
      <c r="B195" s="72">
        <f t="shared" ref="B195:N195" si="36">SUM(B183:B194)</f>
        <v>1</v>
      </c>
      <c r="C195" s="799">
        <f t="shared" si="36"/>
        <v>0</v>
      </c>
      <c r="D195" s="799">
        <f t="shared" si="36"/>
        <v>0</v>
      </c>
      <c r="E195" s="799">
        <f t="shared" si="36"/>
        <v>0</v>
      </c>
      <c r="F195" s="799">
        <f t="shared" si="36"/>
        <v>0</v>
      </c>
      <c r="G195" s="799">
        <f t="shared" si="36"/>
        <v>0</v>
      </c>
      <c r="H195" s="799">
        <f t="shared" si="36"/>
        <v>0</v>
      </c>
      <c r="I195" s="799">
        <f t="shared" si="36"/>
        <v>0</v>
      </c>
      <c r="J195" s="799">
        <f t="shared" si="36"/>
        <v>0</v>
      </c>
      <c r="K195" s="799">
        <f t="shared" si="36"/>
        <v>0</v>
      </c>
      <c r="L195" s="799">
        <f t="shared" si="36"/>
        <v>0</v>
      </c>
      <c r="M195" s="1047">
        <f t="shared" si="36"/>
        <v>0</v>
      </c>
      <c r="N195" s="799">
        <f t="shared" si="36"/>
        <v>0</v>
      </c>
      <c r="O195" s="1046"/>
      <c r="Q195" s="1062">
        <f t="shared" ref="Q195:AB195" si="37">SUM(Q183:Q194)</f>
        <v>0</v>
      </c>
      <c r="R195" s="1062">
        <f t="shared" si="37"/>
        <v>0</v>
      </c>
      <c r="S195" s="1062">
        <f t="shared" si="37"/>
        <v>0</v>
      </c>
      <c r="T195" s="1062">
        <f t="shared" si="37"/>
        <v>0</v>
      </c>
      <c r="U195" s="1062">
        <f t="shared" si="37"/>
        <v>0</v>
      </c>
      <c r="V195" s="1062">
        <f t="shared" si="37"/>
        <v>0</v>
      </c>
      <c r="W195" s="1062">
        <f t="shared" si="37"/>
        <v>0</v>
      </c>
      <c r="X195" s="1062">
        <f t="shared" si="37"/>
        <v>0</v>
      </c>
      <c r="Y195" s="1062">
        <f t="shared" si="37"/>
        <v>0</v>
      </c>
      <c r="Z195" s="1062">
        <f t="shared" si="37"/>
        <v>0</v>
      </c>
      <c r="AA195" s="1062">
        <f t="shared" si="37"/>
        <v>0</v>
      </c>
      <c r="AB195" s="1062">
        <f t="shared" si="37"/>
        <v>0</v>
      </c>
    </row>
    <row r="196" spans="1:28" x14ac:dyDescent="0.3">
      <c r="A196" s="1868" t="s">
        <v>349</v>
      </c>
      <c r="B196" s="1868"/>
      <c r="C196" s="1049">
        <f>C166+C181</f>
        <v>0</v>
      </c>
      <c r="D196" s="1049">
        <f t="shared" ref="D196:N196" si="38">D166+D181</f>
        <v>0</v>
      </c>
      <c r="E196" s="1049">
        <f t="shared" si="38"/>
        <v>0</v>
      </c>
      <c r="F196" s="1049">
        <f t="shared" si="38"/>
        <v>0</v>
      </c>
      <c r="G196" s="1049">
        <f t="shared" si="38"/>
        <v>0</v>
      </c>
      <c r="H196" s="1049">
        <f t="shared" si="38"/>
        <v>0</v>
      </c>
      <c r="I196" s="1049">
        <f t="shared" si="38"/>
        <v>0</v>
      </c>
      <c r="J196" s="1049">
        <f t="shared" si="38"/>
        <v>0</v>
      </c>
      <c r="K196" s="1049">
        <f t="shared" si="38"/>
        <v>0</v>
      </c>
      <c r="L196" s="1049">
        <f t="shared" si="38"/>
        <v>0</v>
      </c>
      <c r="M196" s="1049">
        <f t="shared" si="38"/>
        <v>0</v>
      </c>
      <c r="N196" s="1049">
        <f t="shared" si="38"/>
        <v>0</v>
      </c>
      <c r="O196" s="1041">
        <f>SUM(C196:N196)</f>
        <v>0</v>
      </c>
    </row>
  </sheetData>
  <mergeCells count="34">
    <mergeCell ref="A135:B135"/>
    <mergeCell ref="A149:B149"/>
    <mergeCell ref="A150:B150"/>
    <mergeCell ref="A182:B182"/>
    <mergeCell ref="A196:B196"/>
    <mergeCell ref="A164:B164"/>
    <mergeCell ref="A166:B166"/>
    <mergeCell ref="A167:B167"/>
    <mergeCell ref="A181:B181"/>
    <mergeCell ref="A116:B116"/>
    <mergeCell ref="A130:B130"/>
    <mergeCell ref="A131:B131"/>
    <mergeCell ref="A133:B133"/>
    <mergeCell ref="A134:B134"/>
    <mergeCell ref="A84:B84"/>
    <mergeCell ref="A98:B98"/>
    <mergeCell ref="A100:B100"/>
    <mergeCell ref="A101:B101"/>
    <mergeCell ref="A115:B115"/>
    <mergeCell ref="A64:B64"/>
    <mergeCell ref="A67:B67"/>
    <mergeCell ref="A68:B68"/>
    <mergeCell ref="A69:B69"/>
    <mergeCell ref="A83:B83"/>
    <mergeCell ref="A32:B32"/>
    <mergeCell ref="A34:B34"/>
    <mergeCell ref="A35:B35"/>
    <mergeCell ref="A49:B49"/>
    <mergeCell ref="A50:B50"/>
    <mergeCell ref="A1:B1"/>
    <mergeCell ref="A2:B2"/>
    <mergeCell ref="A3:B3"/>
    <mergeCell ref="A17:B17"/>
    <mergeCell ref="A18:B18"/>
  </mergeCells>
  <phoneticPr fontId="22" type="noConversion"/>
  <conditionalFormatting sqref="B16 B31 B48 B63 B82 B97 B114 B129 B148 B163 B180 B195">
    <cfRule type="cellIs" dxfId="35" priority="1" stopIfTrue="1" operator="notEqual">
      <formula>1</formula>
    </cfRule>
  </conditionalFormatting>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7"/>
  <dimension ref="A1:O302"/>
  <sheetViews>
    <sheetView workbookViewId="0">
      <selection activeCell="C200" sqref="C200"/>
    </sheetView>
  </sheetViews>
  <sheetFormatPr defaultColWidth="11.453125" defaultRowHeight="12.5" x14ac:dyDescent="0.25"/>
  <cols>
    <col min="2" max="2" width="12.453125" customWidth="1"/>
    <col min="3" max="12" width="12.1796875" customWidth="1"/>
  </cols>
  <sheetData>
    <row r="1" spans="1:13" ht="13" x14ac:dyDescent="0.3">
      <c r="A1" s="1873" t="s">
        <v>17</v>
      </c>
      <c r="B1" s="1873"/>
    </row>
    <row r="3" spans="1:13" ht="13" x14ac:dyDescent="0.3">
      <c r="A3" s="1874"/>
      <c r="B3" s="1874"/>
      <c r="C3" s="1065" t="s">
        <v>192</v>
      </c>
      <c r="D3" s="1065" t="s">
        <v>193</v>
      </c>
      <c r="E3" s="1065" t="s">
        <v>235</v>
      </c>
      <c r="F3" s="1065" t="s">
        <v>236</v>
      </c>
      <c r="G3" s="1065" t="s">
        <v>237</v>
      </c>
      <c r="H3" s="1065" t="s">
        <v>238</v>
      </c>
      <c r="I3" s="1065" t="s">
        <v>239</v>
      </c>
      <c r="J3" s="1065" t="s">
        <v>240</v>
      </c>
      <c r="K3" s="1065" t="s">
        <v>241</v>
      </c>
      <c r="L3" s="1065" t="s">
        <v>242</v>
      </c>
      <c r="M3" s="877" t="s">
        <v>77</v>
      </c>
    </row>
    <row r="4" spans="1:13" ht="13" x14ac:dyDescent="0.3">
      <c r="A4" s="1875" t="s">
        <v>194</v>
      </c>
      <c r="B4" s="1875"/>
      <c r="C4" s="1066" t="str">
        <f>'Introducció dades'!C290</f>
        <v>GENER</v>
      </c>
      <c r="D4" s="1066" t="str">
        <f>'Introducció dades'!D290</f>
        <v>GENER</v>
      </c>
      <c r="E4" s="1066" t="str">
        <f>'Introducció dades'!E290</f>
        <v>GENER</v>
      </c>
      <c r="F4" s="1066" t="str">
        <f>'Introducció dades'!F290</f>
        <v>GENER</v>
      </c>
      <c r="G4" s="1066" t="str">
        <f>'Introducció dades'!G290</f>
        <v>GENER</v>
      </c>
      <c r="H4" s="1066" t="str">
        <f>'Introducció dades'!H290</f>
        <v>GENER</v>
      </c>
      <c r="I4" s="1066" t="str">
        <f>'Introducció dades'!I290</f>
        <v>GENER</v>
      </c>
      <c r="J4" s="1066" t="str">
        <f>'Introducció dades'!J290</f>
        <v>GENER</v>
      </c>
      <c r="K4" s="1066" t="str">
        <f>'Introducció dades'!K290</f>
        <v>GENER</v>
      </c>
      <c r="L4" s="1066" t="str">
        <f>'Introducció dades'!L290</f>
        <v>GENER</v>
      </c>
      <c r="M4" s="28"/>
    </row>
    <row r="5" spans="1:13" ht="13" x14ac:dyDescent="0.3">
      <c r="A5" s="1875" t="s">
        <v>195</v>
      </c>
      <c r="B5" s="1875"/>
      <c r="C5" s="1066" t="str">
        <f>'Introducció dades'!C291</f>
        <v>GENER</v>
      </c>
      <c r="D5" s="1066" t="str">
        <f>'Introducció dades'!D291</f>
        <v>GENER</v>
      </c>
      <c r="E5" s="1066" t="str">
        <f>'Introducció dades'!E291</f>
        <v>GENER</v>
      </c>
      <c r="F5" s="1066" t="str">
        <f>'Introducció dades'!F291</f>
        <v>GENER</v>
      </c>
      <c r="G5" s="1066" t="str">
        <f>'Introducció dades'!G291</f>
        <v>GENER</v>
      </c>
      <c r="H5" s="1066" t="str">
        <f>'Introducció dades'!H291</f>
        <v>GENER</v>
      </c>
      <c r="I5" s="1066" t="str">
        <f>'Introducció dades'!I291</f>
        <v>GENER</v>
      </c>
      <c r="J5" s="1066" t="str">
        <f>'Introducció dades'!J291</f>
        <v>GENER</v>
      </c>
      <c r="K5" s="1066" t="str">
        <f>'Introducció dades'!K291</f>
        <v>GENER</v>
      </c>
      <c r="L5" s="1066" t="str">
        <f>'Introducció dades'!L291</f>
        <v>GENER</v>
      </c>
      <c r="M5" s="28"/>
    </row>
    <row r="6" spans="1:13" ht="13" hidden="1" x14ac:dyDescent="0.3">
      <c r="A6" s="1067" t="s">
        <v>204</v>
      </c>
      <c r="B6" s="662"/>
      <c r="C6" s="1068">
        <f t="shared" ref="C6:L6" si="0">IF(C4=$C20,12)+IF(C4=$D20,11)+IF(C4=$E20,10)+IF(C4=$F20,9)+IF(C4=$G20,8)+IF(C4=$H20,7)+IF(C4=$I20,6)+IF(C4=$J20,5)+IF(C4=$K20,4)+IF(C4=$L20,3)+IF(C4=$M20,2)+IF(C4=$M20,1)</f>
        <v>12</v>
      </c>
      <c r="D6" s="1068">
        <f t="shared" si="0"/>
        <v>12</v>
      </c>
      <c r="E6" s="1068">
        <f t="shared" si="0"/>
        <v>12</v>
      </c>
      <c r="F6" s="1068">
        <f t="shared" si="0"/>
        <v>12</v>
      </c>
      <c r="G6" s="1068">
        <f t="shared" si="0"/>
        <v>12</v>
      </c>
      <c r="H6" s="1068">
        <f t="shared" si="0"/>
        <v>12</v>
      </c>
      <c r="I6" s="1068">
        <f t="shared" si="0"/>
        <v>12</v>
      </c>
      <c r="J6" s="1068">
        <f t="shared" si="0"/>
        <v>12</v>
      </c>
      <c r="K6" s="1068">
        <f t="shared" si="0"/>
        <v>12</v>
      </c>
      <c r="L6" s="1068">
        <f t="shared" si="0"/>
        <v>12</v>
      </c>
      <c r="M6" s="28"/>
    </row>
    <row r="7" spans="1:13" ht="13" hidden="1" x14ac:dyDescent="0.3">
      <c r="A7" s="1067" t="s">
        <v>205</v>
      </c>
      <c r="B7" s="662"/>
      <c r="C7" s="1068">
        <f t="shared" ref="C7:L7" si="1">IF(C5=$C20,12)+IF(C5=$D20,11)+IF(C5=$E20,10)+IF(C5=$F20,9)+IF(C5=$G20,8)+IF(C5=$H20,7)+IF(C5=$I20,6)+IF(C5=$J20,5)+IF(C5=$K20,4)+IF(C5=$L20,3)+IF(C5=$M20,2)+IF(C5=$M20,1)</f>
        <v>12</v>
      </c>
      <c r="D7" s="1068">
        <f t="shared" si="1"/>
        <v>12</v>
      </c>
      <c r="E7" s="1068">
        <f t="shared" si="1"/>
        <v>12</v>
      </c>
      <c r="F7" s="1068">
        <f t="shared" si="1"/>
        <v>12</v>
      </c>
      <c r="G7" s="1068">
        <f t="shared" si="1"/>
        <v>12</v>
      </c>
      <c r="H7" s="1068">
        <f t="shared" si="1"/>
        <v>12</v>
      </c>
      <c r="I7" s="1068">
        <f t="shared" si="1"/>
        <v>12</v>
      </c>
      <c r="J7" s="1068">
        <f t="shared" si="1"/>
        <v>12</v>
      </c>
      <c r="K7" s="1068">
        <f t="shared" si="1"/>
        <v>12</v>
      </c>
      <c r="L7" s="1068">
        <f t="shared" si="1"/>
        <v>12</v>
      </c>
      <c r="M7" s="28"/>
    </row>
    <row r="8" spans="1:13" ht="13" x14ac:dyDescent="0.3">
      <c r="A8" s="1876" t="s">
        <v>211</v>
      </c>
      <c r="B8" s="1876"/>
      <c r="C8" s="1069"/>
      <c r="D8" s="1069"/>
      <c r="E8" s="1069"/>
      <c r="F8" s="1069"/>
      <c r="G8" s="1069"/>
      <c r="H8" s="1069"/>
      <c r="I8" s="1069"/>
      <c r="J8" s="1069"/>
      <c r="K8" s="1069"/>
      <c r="L8" s="1069"/>
      <c r="M8" s="1070"/>
    </row>
    <row r="9" spans="1:13" ht="13" x14ac:dyDescent="0.3">
      <c r="A9" s="1876" t="s">
        <v>197</v>
      </c>
      <c r="B9" s="1876"/>
      <c r="C9" s="1071">
        <f>'Introducció dades'!C295</f>
        <v>0</v>
      </c>
      <c r="D9" s="1071">
        <f>'Introducció dades'!D295</f>
        <v>0</v>
      </c>
      <c r="E9" s="1071">
        <f>'Introducció dades'!E295</f>
        <v>0</v>
      </c>
      <c r="F9" s="1071">
        <f>'Introducció dades'!F295</f>
        <v>0</v>
      </c>
      <c r="G9" s="1071">
        <f>'Introducció dades'!G295</f>
        <v>0</v>
      </c>
      <c r="H9" s="1071">
        <f>'Introducció dades'!H295</f>
        <v>0</v>
      </c>
      <c r="I9" s="1071">
        <f>'Introducció dades'!I295</f>
        <v>0</v>
      </c>
      <c r="J9" s="1071">
        <f>'Introducció dades'!J295</f>
        <v>0</v>
      </c>
      <c r="K9" s="1071">
        <f>'Introducció dades'!K295</f>
        <v>0</v>
      </c>
      <c r="L9" s="1071">
        <f>'Introducció dades'!L295</f>
        <v>0</v>
      </c>
      <c r="M9" s="1072"/>
    </row>
    <row r="10" spans="1:13" x14ac:dyDescent="0.25">
      <c r="A10" s="1876" t="s">
        <v>358</v>
      </c>
      <c r="B10" s="1876"/>
      <c r="C10" s="1073">
        <f>C9*C6</f>
        <v>0</v>
      </c>
      <c r="D10" s="1073">
        <f t="shared" ref="D10:L10" si="2">D9*D6</f>
        <v>0</v>
      </c>
      <c r="E10" s="1073">
        <f t="shared" si="2"/>
        <v>0</v>
      </c>
      <c r="F10" s="1073">
        <f t="shared" si="2"/>
        <v>0</v>
      </c>
      <c r="G10" s="1073">
        <f t="shared" si="2"/>
        <v>0</v>
      </c>
      <c r="H10" s="1073">
        <f t="shared" si="2"/>
        <v>0</v>
      </c>
      <c r="I10" s="1073">
        <f t="shared" si="2"/>
        <v>0</v>
      </c>
      <c r="J10" s="1073">
        <f t="shared" si="2"/>
        <v>0</v>
      </c>
      <c r="K10" s="1073">
        <f t="shared" si="2"/>
        <v>0</v>
      </c>
      <c r="L10" s="1073">
        <f t="shared" si="2"/>
        <v>0</v>
      </c>
      <c r="M10" s="1073">
        <f>SUM(C10:L10)</f>
        <v>0</v>
      </c>
    </row>
    <row r="11" spans="1:13" x14ac:dyDescent="0.25">
      <c r="A11" s="1877" t="s">
        <v>198</v>
      </c>
      <c r="B11" s="1877"/>
      <c r="C11" s="1073"/>
      <c r="D11" s="1073"/>
      <c r="E11" s="1073"/>
      <c r="F11" s="1073"/>
      <c r="G11" s="1073"/>
      <c r="H11" s="1073"/>
      <c r="I11" s="1073"/>
      <c r="J11" s="1073"/>
      <c r="K11" s="1073"/>
      <c r="L11" s="1073"/>
      <c r="M11" s="1073"/>
    </row>
    <row r="12" spans="1:13" x14ac:dyDescent="0.25">
      <c r="A12" s="1878" t="s">
        <v>199</v>
      </c>
      <c r="B12" s="1878"/>
      <c r="C12" s="1074">
        <f>'Introducció dades'!C297</f>
        <v>0</v>
      </c>
      <c r="D12" s="1074">
        <f>'Introducció dades'!D297</f>
        <v>0</v>
      </c>
      <c r="E12" s="1074">
        <f>'Introducció dades'!E297</f>
        <v>0</v>
      </c>
      <c r="F12" s="1074">
        <f>'Introducció dades'!F297</f>
        <v>0</v>
      </c>
      <c r="G12" s="1074">
        <f>'Introducció dades'!G297</f>
        <v>0</v>
      </c>
      <c r="H12" s="1074">
        <f>'Introducció dades'!H297</f>
        <v>0</v>
      </c>
      <c r="I12" s="1074">
        <f>'Introducció dades'!I297</f>
        <v>0</v>
      </c>
      <c r="J12" s="1074">
        <f>'Introducció dades'!J297</f>
        <v>0</v>
      </c>
      <c r="K12" s="1074">
        <f>'Introducció dades'!K297</f>
        <v>0</v>
      </c>
      <c r="L12" s="1074">
        <f>'Introducció dades'!L297</f>
        <v>0</v>
      </c>
      <c r="M12" s="1075">
        <f>SUM(C12:L12)</f>
        <v>0</v>
      </c>
    </row>
    <row r="13" spans="1:13" x14ac:dyDescent="0.25">
      <c r="A13" s="1878" t="s">
        <v>200</v>
      </c>
      <c r="B13" s="1878"/>
      <c r="C13" s="1074">
        <f>'Introducció dades'!C298</f>
        <v>0</v>
      </c>
      <c r="D13" s="1074">
        <f>'Introducció dades'!D298</f>
        <v>0</v>
      </c>
      <c r="E13" s="1074">
        <f>'Introducció dades'!E298</f>
        <v>0</v>
      </c>
      <c r="F13" s="1074">
        <f>'Introducció dades'!F298</f>
        <v>0</v>
      </c>
      <c r="G13" s="1074">
        <f>'Introducció dades'!G298</f>
        <v>0</v>
      </c>
      <c r="H13" s="1074">
        <f>'Introducció dades'!H298</f>
        <v>0</v>
      </c>
      <c r="I13" s="1074">
        <f>'Introducció dades'!I298</f>
        <v>0</v>
      </c>
      <c r="J13" s="1074">
        <f>'Introducció dades'!J298</f>
        <v>0</v>
      </c>
      <c r="K13" s="1074">
        <f>'Introducció dades'!K298</f>
        <v>0</v>
      </c>
      <c r="L13" s="1074">
        <f>'Introducció dades'!L298</f>
        <v>0</v>
      </c>
      <c r="M13" s="1075">
        <f>M14</f>
        <v>0</v>
      </c>
    </row>
    <row r="14" spans="1:13" x14ac:dyDescent="0.25">
      <c r="A14" s="1879" t="s">
        <v>359</v>
      </c>
      <c r="B14" s="1879"/>
      <c r="C14" s="1076">
        <f>C12*C13</f>
        <v>0</v>
      </c>
      <c r="D14" s="1076">
        <f t="shared" ref="D14:L14" si="3">D12*D13</f>
        <v>0</v>
      </c>
      <c r="E14" s="1076">
        <f t="shared" si="3"/>
        <v>0</v>
      </c>
      <c r="F14" s="1076">
        <f t="shared" si="3"/>
        <v>0</v>
      </c>
      <c r="G14" s="1076">
        <f t="shared" si="3"/>
        <v>0</v>
      </c>
      <c r="H14" s="1076">
        <f t="shared" si="3"/>
        <v>0</v>
      </c>
      <c r="I14" s="1076">
        <f t="shared" si="3"/>
        <v>0</v>
      </c>
      <c r="J14" s="1076">
        <f t="shared" si="3"/>
        <v>0</v>
      </c>
      <c r="K14" s="1076">
        <f t="shared" si="3"/>
        <v>0</v>
      </c>
      <c r="L14" s="1076">
        <f t="shared" si="3"/>
        <v>0</v>
      </c>
      <c r="M14" s="1076">
        <f>SUM(C14:L14)</f>
        <v>0</v>
      </c>
    </row>
    <row r="15" spans="1:13" s="7" customFormat="1" ht="13" x14ac:dyDescent="0.3">
      <c r="A15" s="1876" t="s">
        <v>201</v>
      </c>
      <c r="B15" s="1876"/>
      <c r="C15" s="807">
        <f>'Introducció dades'!C299</f>
        <v>0</v>
      </c>
      <c r="D15" s="807">
        <f>'Introducció dades'!D299</f>
        <v>0</v>
      </c>
      <c r="E15" s="807">
        <f>'Introducció dades'!E299</f>
        <v>0</v>
      </c>
      <c r="F15" s="807">
        <f>'Introducció dades'!F299</f>
        <v>0</v>
      </c>
      <c r="G15" s="807">
        <f>'Introducció dades'!G299</f>
        <v>0</v>
      </c>
      <c r="H15" s="807">
        <f>'Introducció dades'!H299</f>
        <v>0</v>
      </c>
      <c r="I15" s="807">
        <f>'Introducció dades'!I299</f>
        <v>0</v>
      </c>
      <c r="J15" s="807">
        <f>'Introducció dades'!J299</f>
        <v>0</v>
      </c>
      <c r="K15" s="807">
        <f>'Introducció dades'!K299</f>
        <v>0</v>
      </c>
      <c r="L15" s="807">
        <f>'Introducció dades'!L299</f>
        <v>0</v>
      </c>
      <c r="M15" s="30"/>
    </row>
    <row r="16" spans="1:13" s="7" customFormat="1" ht="13" x14ac:dyDescent="0.3">
      <c r="A16" s="1876" t="s">
        <v>202</v>
      </c>
      <c r="B16" s="1876"/>
      <c r="C16" s="1077">
        <f>'Introducció dades'!C300</f>
        <v>0.29799999999999999</v>
      </c>
      <c r="D16" s="1077">
        <f>'Introducció dades'!D300</f>
        <v>0.29799999999999999</v>
      </c>
      <c r="E16" s="1077">
        <f>'Introducció dades'!E300</f>
        <v>0.29799999999999999</v>
      </c>
      <c r="F16" s="1077">
        <f>'Introducció dades'!F300</f>
        <v>0.29799999999999999</v>
      </c>
      <c r="G16" s="1077">
        <f>'Introducció dades'!G300</f>
        <v>0.29799999999999999</v>
      </c>
      <c r="H16" s="1077">
        <f>'Introducció dades'!H300</f>
        <v>0.29799999999999999</v>
      </c>
      <c r="I16" s="1077">
        <f>'Introducció dades'!I300</f>
        <v>0.29799999999999999</v>
      </c>
      <c r="J16" s="1077">
        <f>'Introducció dades'!J300</f>
        <v>0.29799999999999999</v>
      </c>
      <c r="K16" s="1077">
        <f>'Introducció dades'!K300</f>
        <v>0.29799999999999999</v>
      </c>
      <c r="L16" s="1077">
        <f>'Introducció dades'!L300</f>
        <v>0.29799999999999999</v>
      </c>
      <c r="M16" s="30"/>
    </row>
    <row r="17" spans="1:15" s="7" customFormat="1" ht="13" x14ac:dyDescent="0.3">
      <c r="A17" s="1876" t="s">
        <v>360</v>
      </c>
      <c r="B17" s="1876"/>
      <c r="C17" s="15">
        <f>C15*C16</f>
        <v>0</v>
      </c>
      <c r="D17" s="15">
        <f>D15*D16</f>
        <v>0</v>
      </c>
      <c r="E17" s="15">
        <f>E15*E16</f>
        <v>0</v>
      </c>
      <c r="F17" s="15">
        <v>0</v>
      </c>
      <c r="G17" s="15">
        <f t="shared" ref="G17:L17" si="4">G15*G16</f>
        <v>0</v>
      </c>
      <c r="H17" s="15">
        <f t="shared" si="4"/>
        <v>0</v>
      </c>
      <c r="I17" s="15">
        <f t="shared" si="4"/>
        <v>0</v>
      </c>
      <c r="J17" s="15">
        <f t="shared" si="4"/>
        <v>0</v>
      </c>
      <c r="K17" s="15">
        <f t="shared" si="4"/>
        <v>0</v>
      </c>
      <c r="L17" s="15">
        <f t="shared" si="4"/>
        <v>0</v>
      </c>
      <c r="M17" s="1072">
        <f>SUM(C17:L17)</f>
        <v>0</v>
      </c>
    </row>
    <row r="18" spans="1:15" s="7" customFormat="1" ht="13" x14ac:dyDescent="0.3">
      <c r="A18" s="1876" t="s">
        <v>203</v>
      </c>
      <c r="B18" s="1876"/>
      <c r="C18" s="1078">
        <f>'Introducció dades'!C301</f>
        <v>0</v>
      </c>
      <c r="D18" s="1078">
        <f>'Introducció dades'!D301</f>
        <v>0</v>
      </c>
      <c r="E18" s="1078">
        <f>'Introducció dades'!E301</f>
        <v>0</v>
      </c>
      <c r="F18" s="1078">
        <f>'Introducció dades'!F301</f>
        <v>0</v>
      </c>
      <c r="G18" s="1078">
        <f>'Introducció dades'!G301</f>
        <v>0</v>
      </c>
      <c r="H18" s="1078">
        <f>'Introducció dades'!H301</f>
        <v>0</v>
      </c>
      <c r="I18" s="1078">
        <f>'Introducció dades'!I301</f>
        <v>0</v>
      </c>
      <c r="J18" s="1078">
        <f>'Introducció dades'!J301</f>
        <v>0</v>
      </c>
      <c r="K18" s="1078">
        <f>'Introducció dades'!K301</f>
        <v>0</v>
      </c>
      <c r="L18" s="1078">
        <f>'Introducció dades'!L301</f>
        <v>0</v>
      </c>
      <c r="M18" s="1079">
        <f>IF(M10&gt;0,(C10*C18+D10*D18+E10*E18+F10*F18+G10*G18+H10*H18+I10*I18+J10*J18+K10*K18+L10*L18)/M10,0)</f>
        <v>0</v>
      </c>
    </row>
    <row r="20" spans="1:15" ht="13" x14ac:dyDescent="0.3">
      <c r="A20" s="1874"/>
      <c r="B20" s="1874"/>
      <c r="C20" s="1080" t="str">
        <f>VARIABLES!B12</f>
        <v>GENER</v>
      </c>
      <c r="D20" s="1080" t="str">
        <f>VARIABLES!C12</f>
        <v>FEBRER</v>
      </c>
      <c r="E20" s="1080" t="str">
        <f>VARIABLES!D12</f>
        <v>MARÇ</v>
      </c>
      <c r="F20" s="1080" t="str">
        <f>VARIABLES!E12</f>
        <v>ABRIL</v>
      </c>
      <c r="G20" s="1080" t="str">
        <f>VARIABLES!F12</f>
        <v>MAIG</v>
      </c>
      <c r="H20" s="1080" t="str">
        <f>VARIABLES!G12</f>
        <v>JUNY</v>
      </c>
      <c r="I20" s="1080" t="str">
        <f>VARIABLES!H12</f>
        <v>JULIOL</v>
      </c>
      <c r="J20" s="1080" t="str">
        <f>VARIABLES!I12</f>
        <v>AGOST</v>
      </c>
      <c r="K20" s="1080" t="str">
        <f>VARIABLES!J12</f>
        <v>SETEMBRE</v>
      </c>
      <c r="L20" s="1080" t="str">
        <f>VARIABLES!K12</f>
        <v>OCTUBRE</v>
      </c>
      <c r="M20" s="1080" t="str">
        <f>VARIABLES!L12</f>
        <v>NOVEMBRE</v>
      </c>
      <c r="N20" s="1080" t="str">
        <f>VARIABLES!M12</f>
        <v>DESEMBRE</v>
      </c>
      <c r="O20" s="1080" t="str">
        <f>VARIABLES!N12</f>
        <v>TOTAL</v>
      </c>
    </row>
    <row r="21" spans="1:15" s="7" customFormat="1" ht="13" x14ac:dyDescent="0.3">
      <c r="A21" s="1880" t="s">
        <v>361</v>
      </c>
      <c r="B21" s="1880"/>
      <c r="C21" s="1081">
        <f>C22+C33</f>
        <v>0</v>
      </c>
      <c r="D21" s="1081">
        <f t="shared" ref="D21:N21" si="5">D22+D33</f>
        <v>0</v>
      </c>
      <c r="E21" s="1081">
        <f t="shared" si="5"/>
        <v>0</v>
      </c>
      <c r="F21" s="1081">
        <f t="shared" si="5"/>
        <v>0</v>
      </c>
      <c r="G21" s="1081">
        <f t="shared" si="5"/>
        <v>0</v>
      </c>
      <c r="H21" s="1081">
        <f t="shared" si="5"/>
        <v>0</v>
      </c>
      <c r="I21" s="1081">
        <f t="shared" si="5"/>
        <v>0</v>
      </c>
      <c r="J21" s="1081">
        <f t="shared" si="5"/>
        <v>0</v>
      </c>
      <c r="K21" s="1081">
        <f t="shared" si="5"/>
        <v>0</v>
      </c>
      <c r="L21" s="1081">
        <f t="shared" si="5"/>
        <v>0</v>
      </c>
      <c r="M21" s="1081">
        <f t="shared" si="5"/>
        <v>0</v>
      </c>
      <c r="N21" s="1081">
        <f t="shared" si="5"/>
        <v>0</v>
      </c>
      <c r="O21" s="1081">
        <f>O22+O33</f>
        <v>0</v>
      </c>
    </row>
    <row r="22" spans="1:15" s="7" customFormat="1" ht="13" x14ac:dyDescent="0.3">
      <c r="A22" s="1881" t="s">
        <v>362</v>
      </c>
      <c r="B22" s="1881"/>
      <c r="C22" s="1082">
        <f>SUM(C23:C32)</f>
        <v>0</v>
      </c>
      <c r="D22" s="1082">
        <f t="shared" ref="D22:N22" si="6">SUM(D23:D32)</f>
        <v>0</v>
      </c>
      <c r="E22" s="1082">
        <f t="shared" si="6"/>
        <v>0</v>
      </c>
      <c r="F22" s="1082">
        <f t="shared" si="6"/>
        <v>0</v>
      </c>
      <c r="G22" s="1082">
        <f t="shared" si="6"/>
        <v>0</v>
      </c>
      <c r="H22" s="1082">
        <f t="shared" si="6"/>
        <v>0</v>
      </c>
      <c r="I22" s="1082">
        <f t="shared" si="6"/>
        <v>0</v>
      </c>
      <c r="J22" s="1082">
        <f t="shared" si="6"/>
        <v>0</v>
      </c>
      <c r="K22" s="1082">
        <f t="shared" si="6"/>
        <v>0</v>
      </c>
      <c r="L22" s="1082">
        <f t="shared" si="6"/>
        <v>0</v>
      </c>
      <c r="M22" s="1082">
        <f t="shared" si="6"/>
        <v>0</v>
      </c>
      <c r="N22" s="1082">
        <f t="shared" si="6"/>
        <v>0</v>
      </c>
      <c r="O22" s="1082">
        <f>SUM(C22:N22)</f>
        <v>0</v>
      </c>
    </row>
    <row r="23" spans="1:15" s="7" customFormat="1" ht="13" hidden="1" x14ac:dyDescent="0.3">
      <c r="A23" s="1083" t="str">
        <f>C$3</f>
        <v>Promotor 1</v>
      </c>
      <c r="B23" s="1084"/>
      <c r="C23" s="1085">
        <f>IF($C4=C20,$C9,0)</f>
        <v>0</v>
      </c>
      <c r="D23" s="1085">
        <f>IF(AND(C23=0,D20=$C4),$C9,0)+IF(C23=0,0,$C9)</f>
        <v>0</v>
      </c>
      <c r="E23" s="1085">
        <f t="shared" ref="E23:N23" si="7">IF(AND(D23=0,E20=$C4),$C9,0)+IF(D23=0,0,$C9)</f>
        <v>0</v>
      </c>
      <c r="F23" s="1085">
        <f t="shared" si="7"/>
        <v>0</v>
      </c>
      <c r="G23" s="1085">
        <f t="shared" si="7"/>
        <v>0</v>
      </c>
      <c r="H23" s="1085">
        <f t="shared" si="7"/>
        <v>0</v>
      </c>
      <c r="I23" s="1085">
        <f t="shared" si="7"/>
        <v>0</v>
      </c>
      <c r="J23" s="1085">
        <f t="shared" si="7"/>
        <v>0</v>
      </c>
      <c r="K23" s="1085">
        <f t="shared" si="7"/>
        <v>0</v>
      </c>
      <c r="L23" s="1085">
        <f t="shared" si="7"/>
        <v>0</v>
      </c>
      <c r="M23" s="1085">
        <f t="shared" si="7"/>
        <v>0</v>
      </c>
      <c r="N23" s="1085">
        <f t="shared" si="7"/>
        <v>0</v>
      </c>
      <c r="O23" s="1085">
        <f t="shared" ref="O23:O32" si="8">SUM(C23:N23)</f>
        <v>0</v>
      </c>
    </row>
    <row r="24" spans="1:15" s="7" customFormat="1" ht="13" hidden="1" x14ac:dyDescent="0.3">
      <c r="A24" s="1083" t="str">
        <f>D$3</f>
        <v>Promotor 2</v>
      </c>
      <c r="B24" s="1084"/>
      <c r="C24" s="1085">
        <f>IF($D4=C20,$D9,0)</f>
        <v>0</v>
      </c>
      <c r="D24" s="1085">
        <f>IF(AND(C24=0,D20=$D4),$D9,0)+IF(C24=0,0,$D9)</f>
        <v>0</v>
      </c>
      <c r="E24" s="1085">
        <f t="shared" ref="E24:N24" si="9">IF(AND(D24=0,E20=$D4),$D9,0)+IF(D24=0,0,$D9)</f>
        <v>0</v>
      </c>
      <c r="F24" s="1085">
        <f t="shared" si="9"/>
        <v>0</v>
      </c>
      <c r="G24" s="1085">
        <f t="shared" si="9"/>
        <v>0</v>
      </c>
      <c r="H24" s="1085">
        <f t="shared" si="9"/>
        <v>0</v>
      </c>
      <c r="I24" s="1085">
        <f t="shared" si="9"/>
        <v>0</v>
      </c>
      <c r="J24" s="1085">
        <f t="shared" si="9"/>
        <v>0</v>
      </c>
      <c r="K24" s="1085">
        <f t="shared" si="9"/>
        <v>0</v>
      </c>
      <c r="L24" s="1085">
        <f t="shared" si="9"/>
        <v>0</v>
      </c>
      <c r="M24" s="1085">
        <f t="shared" si="9"/>
        <v>0</v>
      </c>
      <c r="N24" s="1085">
        <f t="shared" si="9"/>
        <v>0</v>
      </c>
      <c r="O24" s="1085">
        <f t="shared" si="8"/>
        <v>0</v>
      </c>
    </row>
    <row r="25" spans="1:15" s="7" customFormat="1" ht="13" hidden="1" x14ac:dyDescent="0.3">
      <c r="A25" s="1083" t="str">
        <f>E$3</f>
        <v>Promotor 3</v>
      </c>
      <c r="B25" s="1084"/>
      <c r="C25" s="1085">
        <f>IF($E4=C20,$E9,0)</f>
        <v>0</v>
      </c>
      <c r="D25" s="1085">
        <f>IF(AND(C25=0,D20=$E4),$E9,0)+IF(C25=0,0,$E9)</f>
        <v>0</v>
      </c>
      <c r="E25" s="1085">
        <f t="shared" ref="E25:N25" si="10">IF(AND(D25=0,E20=$E4),$E9,0)+IF(D25=0,0,$E9)</f>
        <v>0</v>
      </c>
      <c r="F25" s="1085">
        <f t="shared" si="10"/>
        <v>0</v>
      </c>
      <c r="G25" s="1085">
        <f t="shared" si="10"/>
        <v>0</v>
      </c>
      <c r="H25" s="1085">
        <f t="shared" si="10"/>
        <v>0</v>
      </c>
      <c r="I25" s="1085">
        <f t="shared" si="10"/>
        <v>0</v>
      </c>
      <c r="J25" s="1085">
        <f t="shared" si="10"/>
        <v>0</v>
      </c>
      <c r="K25" s="1085">
        <f t="shared" si="10"/>
        <v>0</v>
      </c>
      <c r="L25" s="1085">
        <f t="shared" si="10"/>
        <v>0</v>
      </c>
      <c r="M25" s="1085">
        <f t="shared" si="10"/>
        <v>0</v>
      </c>
      <c r="N25" s="1085">
        <f t="shared" si="10"/>
        <v>0</v>
      </c>
      <c r="O25" s="1085">
        <f t="shared" si="8"/>
        <v>0</v>
      </c>
    </row>
    <row r="26" spans="1:15" s="7" customFormat="1" ht="13" hidden="1" x14ac:dyDescent="0.3">
      <c r="A26" s="1083" t="str">
        <f>F$3</f>
        <v>Promotor 4</v>
      </c>
      <c r="B26" s="1084"/>
      <c r="C26" s="1085">
        <f>IF($F4=C20,$F9,0)</f>
        <v>0</v>
      </c>
      <c r="D26" s="1085">
        <f>IF(AND(C26=0,D20=$F4),$F9,0)+IF(C26=0,0,$F9)</f>
        <v>0</v>
      </c>
      <c r="E26" s="1085">
        <f t="shared" ref="E26:N26" si="11">IF(AND(D26=0,E20=$F4),$F9,0)+IF(D26=0,0,$F9)</f>
        <v>0</v>
      </c>
      <c r="F26" s="1085">
        <f t="shared" si="11"/>
        <v>0</v>
      </c>
      <c r="G26" s="1085">
        <f t="shared" si="11"/>
        <v>0</v>
      </c>
      <c r="H26" s="1085">
        <f t="shared" si="11"/>
        <v>0</v>
      </c>
      <c r="I26" s="1085">
        <f t="shared" si="11"/>
        <v>0</v>
      </c>
      <c r="J26" s="1085">
        <f t="shared" si="11"/>
        <v>0</v>
      </c>
      <c r="K26" s="1085">
        <f t="shared" si="11"/>
        <v>0</v>
      </c>
      <c r="L26" s="1085">
        <f t="shared" si="11"/>
        <v>0</v>
      </c>
      <c r="M26" s="1085">
        <f t="shared" si="11"/>
        <v>0</v>
      </c>
      <c r="N26" s="1085">
        <f t="shared" si="11"/>
        <v>0</v>
      </c>
      <c r="O26" s="1085">
        <f t="shared" si="8"/>
        <v>0</v>
      </c>
    </row>
    <row r="27" spans="1:15" s="7" customFormat="1" ht="13" hidden="1" x14ac:dyDescent="0.3">
      <c r="A27" s="1083" t="str">
        <f>G$3</f>
        <v>Promotor 5</v>
      </c>
      <c r="B27" s="1084"/>
      <c r="C27" s="1085">
        <f>IF($G4=C20,$G9,0)</f>
        <v>0</v>
      </c>
      <c r="D27" s="1085">
        <f>IF(AND(C27=0,D20=$G4),$G9,0)+IF(C27=0,0,$G9)</f>
        <v>0</v>
      </c>
      <c r="E27" s="1085">
        <f t="shared" ref="E27:N27" si="12">IF(AND(D27=0,E20=$G4),$G9,0)+IF(D27=0,0,$G9)</f>
        <v>0</v>
      </c>
      <c r="F27" s="1085">
        <f t="shared" si="12"/>
        <v>0</v>
      </c>
      <c r="G27" s="1085">
        <f t="shared" si="12"/>
        <v>0</v>
      </c>
      <c r="H27" s="1085">
        <f t="shared" si="12"/>
        <v>0</v>
      </c>
      <c r="I27" s="1085">
        <f t="shared" si="12"/>
        <v>0</v>
      </c>
      <c r="J27" s="1085">
        <f t="shared" si="12"/>
        <v>0</v>
      </c>
      <c r="K27" s="1085">
        <f t="shared" si="12"/>
        <v>0</v>
      </c>
      <c r="L27" s="1085">
        <f t="shared" si="12"/>
        <v>0</v>
      </c>
      <c r="M27" s="1085">
        <f t="shared" si="12"/>
        <v>0</v>
      </c>
      <c r="N27" s="1085">
        <f t="shared" si="12"/>
        <v>0</v>
      </c>
      <c r="O27" s="1085">
        <f t="shared" si="8"/>
        <v>0</v>
      </c>
    </row>
    <row r="28" spans="1:15" s="7" customFormat="1" ht="13" hidden="1" x14ac:dyDescent="0.3">
      <c r="A28" s="1083" t="str">
        <f>H$3</f>
        <v>Promotor 6</v>
      </c>
      <c r="B28" s="1084"/>
      <c r="C28" s="1085">
        <f>IF($H4=C20,$H9,0)</f>
        <v>0</v>
      </c>
      <c r="D28" s="1085">
        <f>IF(AND(C28=0,D20=$H4),$H9,0)+IF(C28=0,0,$H9)</f>
        <v>0</v>
      </c>
      <c r="E28" s="1085">
        <f t="shared" ref="E28:N28" si="13">IF(AND(D28=0,E20=$H4),$H9,0)+IF(D28=0,0,$H9)</f>
        <v>0</v>
      </c>
      <c r="F28" s="1085">
        <f t="shared" si="13"/>
        <v>0</v>
      </c>
      <c r="G28" s="1085">
        <f t="shared" si="13"/>
        <v>0</v>
      </c>
      <c r="H28" s="1085">
        <f t="shared" si="13"/>
        <v>0</v>
      </c>
      <c r="I28" s="1085">
        <f t="shared" si="13"/>
        <v>0</v>
      </c>
      <c r="J28" s="1085">
        <f t="shared" si="13"/>
        <v>0</v>
      </c>
      <c r="K28" s="1085">
        <f t="shared" si="13"/>
        <v>0</v>
      </c>
      <c r="L28" s="1085">
        <f t="shared" si="13"/>
        <v>0</v>
      </c>
      <c r="M28" s="1085">
        <f t="shared" si="13"/>
        <v>0</v>
      </c>
      <c r="N28" s="1085">
        <f t="shared" si="13"/>
        <v>0</v>
      </c>
      <c r="O28" s="1085">
        <f t="shared" si="8"/>
        <v>0</v>
      </c>
    </row>
    <row r="29" spans="1:15" s="7" customFormat="1" ht="13" hidden="1" x14ac:dyDescent="0.3">
      <c r="A29" s="1083" t="str">
        <f>I$3</f>
        <v>Promotor 7</v>
      </c>
      <c r="B29" s="1084"/>
      <c r="C29" s="1085">
        <f>IF($I4=C20,$I9,0)</f>
        <v>0</v>
      </c>
      <c r="D29" s="1085">
        <f>IF(AND(C29=0,D20=$I4),$I9,0)+IF(C29=0,0,$I9)</f>
        <v>0</v>
      </c>
      <c r="E29" s="1085">
        <f t="shared" ref="E29:N29" si="14">IF(AND(D29=0,E20=$I4),$I9,0)+IF(D29=0,0,$I9)</f>
        <v>0</v>
      </c>
      <c r="F29" s="1085">
        <f t="shared" si="14"/>
        <v>0</v>
      </c>
      <c r="G29" s="1085">
        <f t="shared" si="14"/>
        <v>0</v>
      </c>
      <c r="H29" s="1085">
        <f t="shared" si="14"/>
        <v>0</v>
      </c>
      <c r="I29" s="1085">
        <f t="shared" si="14"/>
        <v>0</v>
      </c>
      <c r="J29" s="1085">
        <f t="shared" si="14"/>
        <v>0</v>
      </c>
      <c r="K29" s="1085">
        <f t="shared" si="14"/>
        <v>0</v>
      </c>
      <c r="L29" s="1085">
        <f t="shared" si="14"/>
        <v>0</v>
      </c>
      <c r="M29" s="1085">
        <f t="shared" si="14"/>
        <v>0</v>
      </c>
      <c r="N29" s="1085">
        <f t="shared" si="14"/>
        <v>0</v>
      </c>
      <c r="O29" s="1085">
        <f t="shared" si="8"/>
        <v>0</v>
      </c>
    </row>
    <row r="30" spans="1:15" s="7" customFormat="1" ht="13" hidden="1" x14ac:dyDescent="0.3">
      <c r="A30" s="1083" t="str">
        <f>J$3</f>
        <v>Promotor 8</v>
      </c>
      <c r="B30" s="1084"/>
      <c r="C30" s="1085">
        <f>IF($J4=C20,$J9,0)</f>
        <v>0</v>
      </c>
      <c r="D30" s="1085">
        <f>IF(AND(C30=0,D20=$J4),$J9,0)+IF(C30=0,0,$J9)</f>
        <v>0</v>
      </c>
      <c r="E30" s="1085">
        <f t="shared" ref="E30:N30" si="15">IF(AND(D30=0,E20=$J4),$J9,0)+IF(D30=0,0,$J9)</f>
        <v>0</v>
      </c>
      <c r="F30" s="1085">
        <f t="shared" si="15"/>
        <v>0</v>
      </c>
      <c r="G30" s="1085">
        <f t="shared" si="15"/>
        <v>0</v>
      </c>
      <c r="H30" s="1085">
        <f t="shared" si="15"/>
        <v>0</v>
      </c>
      <c r="I30" s="1085">
        <f t="shared" si="15"/>
        <v>0</v>
      </c>
      <c r="J30" s="1085">
        <f t="shared" si="15"/>
        <v>0</v>
      </c>
      <c r="K30" s="1085">
        <f t="shared" si="15"/>
        <v>0</v>
      </c>
      <c r="L30" s="1085">
        <f t="shared" si="15"/>
        <v>0</v>
      </c>
      <c r="M30" s="1085">
        <f t="shared" si="15"/>
        <v>0</v>
      </c>
      <c r="N30" s="1085">
        <f t="shared" si="15"/>
        <v>0</v>
      </c>
      <c r="O30" s="1085">
        <f t="shared" si="8"/>
        <v>0</v>
      </c>
    </row>
    <row r="31" spans="1:15" s="7" customFormat="1" ht="13" hidden="1" x14ac:dyDescent="0.3">
      <c r="A31" s="1083" t="str">
        <f>K$3</f>
        <v>Promotor 9</v>
      </c>
      <c r="B31" s="1084"/>
      <c r="C31" s="1085">
        <f>IF($K4=C20,$K9,0)</f>
        <v>0</v>
      </c>
      <c r="D31" s="1085">
        <f>IF(AND(C31=0,D20=$K4),$K9,0)+IF(C31=0,0,$K9)</f>
        <v>0</v>
      </c>
      <c r="E31" s="1085">
        <f t="shared" ref="E31:N31" si="16">IF(AND(D31=0,E20=$K4),$K9,0)+IF(D31=0,0,$K9)</f>
        <v>0</v>
      </c>
      <c r="F31" s="1085">
        <f t="shared" si="16"/>
        <v>0</v>
      </c>
      <c r="G31" s="1085">
        <f t="shared" si="16"/>
        <v>0</v>
      </c>
      <c r="H31" s="1085">
        <f t="shared" si="16"/>
        <v>0</v>
      </c>
      <c r="I31" s="1085">
        <f t="shared" si="16"/>
        <v>0</v>
      </c>
      <c r="J31" s="1085">
        <f t="shared" si="16"/>
        <v>0</v>
      </c>
      <c r="K31" s="1085">
        <f t="shared" si="16"/>
        <v>0</v>
      </c>
      <c r="L31" s="1085">
        <f t="shared" si="16"/>
        <v>0</v>
      </c>
      <c r="M31" s="1085">
        <f t="shared" si="16"/>
        <v>0</v>
      </c>
      <c r="N31" s="1085">
        <f t="shared" si="16"/>
        <v>0</v>
      </c>
      <c r="O31" s="1085">
        <f t="shared" si="8"/>
        <v>0</v>
      </c>
    </row>
    <row r="32" spans="1:15" s="7" customFormat="1" ht="13" hidden="1" x14ac:dyDescent="0.3">
      <c r="A32" s="1083" t="str">
        <f>L$3</f>
        <v>Promotor 10</v>
      </c>
      <c r="B32" s="1084"/>
      <c r="C32" s="1085">
        <f>IF($L4=C20,$L9,0)</f>
        <v>0</v>
      </c>
      <c r="D32" s="1085">
        <f>IF(AND(C32=0,D20=$L4),$L9,0)+IF(C32=0,0,$L9)</f>
        <v>0</v>
      </c>
      <c r="E32" s="1085">
        <f t="shared" ref="E32:N32" si="17">IF(AND(D32=0,E20=$L4),$L9,0)+IF(D32=0,0,$L9)</f>
        <v>0</v>
      </c>
      <c r="F32" s="1085">
        <f t="shared" si="17"/>
        <v>0</v>
      </c>
      <c r="G32" s="1085">
        <f t="shared" si="17"/>
        <v>0</v>
      </c>
      <c r="H32" s="1085">
        <f t="shared" si="17"/>
        <v>0</v>
      </c>
      <c r="I32" s="1085">
        <f t="shared" si="17"/>
        <v>0</v>
      </c>
      <c r="J32" s="1085">
        <f t="shared" si="17"/>
        <v>0</v>
      </c>
      <c r="K32" s="1085">
        <f t="shared" si="17"/>
        <v>0</v>
      </c>
      <c r="L32" s="1085">
        <f t="shared" si="17"/>
        <v>0</v>
      </c>
      <c r="M32" s="1085">
        <f t="shared" si="17"/>
        <v>0</v>
      </c>
      <c r="N32" s="1085">
        <f t="shared" si="17"/>
        <v>0</v>
      </c>
      <c r="O32" s="1085">
        <f t="shared" si="8"/>
        <v>0</v>
      </c>
    </row>
    <row r="33" spans="1:15" s="7" customFormat="1" ht="13" x14ac:dyDescent="0.3">
      <c r="A33" s="1882" t="s">
        <v>363</v>
      </c>
      <c r="B33" s="1882"/>
      <c r="C33" s="1086">
        <f>SUM(C34:C43)</f>
        <v>0</v>
      </c>
      <c r="D33" s="1086">
        <f t="shared" ref="D33:N33" si="18">SUM(D34:D43)</f>
        <v>0</v>
      </c>
      <c r="E33" s="1086">
        <f t="shared" si="18"/>
        <v>0</v>
      </c>
      <c r="F33" s="1086">
        <f t="shared" si="18"/>
        <v>0</v>
      </c>
      <c r="G33" s="1086">
        <f t="shared" si="18"/>
        <v>0</v>
      </c>
      <c r="H33" s="1086">
        <f t="shared" si="18"/>
        <v>0</v>
      </c>
      <c r="I33" s="1086">
        <f t="shared" si="18"/>
        <v>0</v>
      </c>
      <c r="J33" s="1086">
        <f t="shared" si="18"/>
        <v>0</v>
      </c>
      <c r="K33" s="1086">
        <f t="shared" si="18"/>
        <v>0</v>
      </c>
      <c r="L33" s="1086">
        <f t="shared" si="18"/>
        <v>0</v>
      </c>
      <c r="M33" s="1086">
        <f t="shared" si="18"/>
        <v>0</v>
      </c>
      <c r="N33" s="1086">
        <f t="shared" si="18"/>
        <v>0</v>
      </c>
      <c r="O33" s="1086">
        <f>SUM(C33:N33)</f>
        <v>0</v>
      </c>
    </row>
    <row r="34" spans="1:15" s="1092" customFormat="1" ht="10.5" hidden="1" x14ac:dyDescent="0.25">
      <c r="A34" s="1087" t="str">
        <f>A23</f>
        <v>Promotor 1</v>
      </c>
      <c r="B34" s="1088"/>
      <c r="C34" s="1089">
        <f>$C14*VARIABLES!B13</f>
        <v>0</v>
      </c>
      <c r="D34" s="1085">
        <f>$C14*VARIABLES!C13</f>
        <v>0</v>
      </c>
      <c r="E34" s="1085">
        <f>$C14*VARIABLES!D13</f>
        <v>0</v>
      </c>
      <c r="F34" s="1085">
        <f>$C14*VARIABLES!E13</f>
        <v>0</v>
      </c>
      <c r="G34" s="1085">
        <f>$C14*VARIABLES!F13</f>
        <v>0</v>
      </c>
      <c r="H34" s="1085">
        <f>$C14*VARIABLES!G13</f>
        <v>0</v>
      </c>
      <c r="I34" s="1085">
        <f>$C14*VARIABLES!H13</f>
        <v>0</v>
      </c>
      <c r="J34" s="1085">
        <f>$C14*VARIABLES!I13</f>
        <v>0</v>
      </c>
      <c r="K34" s="1085">
        <f>$C14*VARIABLES!J13</f>
        <v>0</v>
      </c>
      <c r="L34" s="1085">
        <f>$C14*VARIABLES!K13</f>
        <v>0</v>
      </c>
      <c r="M34" s="1085">
        <f>$C14*VARIABLES!L13</f>
        <v>0</v>
      </c>
      <c r="N34" s="1090">
        <f>$C14*VARIABLES!M13</f>
        <v>0</v>
      </c>
      <c r="O34" s="1091">
        <f t="shared" ref="O34:O43" si="19">SUM(C34:N34)</f>
        <v>0</v>
      </c>
    </row>
    <row r="35" spans="1:15" s="1092" customFormat="1" ht="10.5" hidden="1" x14ac:dyDescent="0.25">
      <c r="A35" s="1087" t="str">
        <f t="shared" ref="A35:A43" si="20">A24</f>
        <v>Promotor 2</v>
      </c>
      <c r="B35" s="1088"/>
      <c r="C35" s="1089">
        <f>$D14*VARIABLES!B13</f>
        <v>0</v>
      </c>
      <c r="D35" s="1085">
        <f>$D14*VARIABLES!C13</f>
        <v>0</v>
      </c>
      <c r="E35" s="1085">
        <f>$D14*VARIABLES!D13</f>
        <v>0</v>
      </c>
      <c r="F35" s="1085">
        <f>$D14*VARIABLES!E13</f>
        <v>0</v>
      </c>
      <c r="G35" s="1085">
        <f>$D14*VARIABLES!F13</f>
        <v>0</v>
      </c>
      <c r="H35" s="1085">
        <f>$D14*VARIABLES!G13</f>
        <v>0</v>
      </c>
      <c r="I35" s="1085">
        <f>$D14*VARIABLES!H13</f>
        <v>0</v>
      </c>
      <c r="J35" s="1085">
        <f>$D14*VARIABLES!I13</f>
        <v>0</v>
      </c>
      <c r="K35" s="1085">
        <f>$D14*VARIABLES!J13</f>
        <v>0</v>
      </c>
      <c r="L35" s="1085">
        <f>$D14*VARIABLES!K13</f>
        <v>0</v>
      </c>
      <c r="M35" s="1085">
        <f>$D14*VARIABLES!L13</f>
        <v>0</v>
      </c>
      <c r="N35" s="1090">
        <f>$D14*VARIABLES!M13</f>
        <v>0</v>
      </c>
      <c r="O35" s="1091">
        <f t="shared" si="19"/>
        <v>0</v>
      </c>
    </row>
    <row r="36" spans="1:15" s="1092" customFormat="1" ht="10.5" hidden="1" x14ac:dyDescent="0.25">
      <c r="A36" s="1087" t="str">
        <f t="shared" si="20"/>
        <v>Promotor 3</v>
      </c>
      <c r="B36" s="1088"/>
      <c r="C36" s="1089">
        <f>$E14*VARIABLES!B13</f>
        <v>0</v>
      </c>
      <c r="D36" s="1085">
        <f>$E14*VARIABLES!C13</f>
        <v>0</v>
      </c>
      <c r="E36" s="1085">
        <f>$E14*VARIABLES!D13</f>
        <v>0</v>
      </c>
      <c r="F36" s="1085">
        <f>$E14*VARIABLES!E13</f>
        <v>0</v>
      </c>
      <c r="G36" s="1085">
        <f>$E14*VARIABLES!F13</f>
        <v>0</v>
      </c>
      <c r="H36" s="1085">
        <f>$E14*VARIABLES!G13</f>
        <v>0</v>
      </c>
      <c r="I36" s="1085">
        <f>$E14*VARIABLES!H13</f>
        <v>0</v>
      </c>
      <c r="J36" s="1085">
        <f>$E14*VARIABLES!I13</f>
        <v>0</v>
      </c>
      <c r="K36" s="1085">
        <f>$E14*VARIABLES!J13</f>
        <v>0</v>
      </c>
      <c r="L36" s="1085">
        <f>$E14*VARIABLES!K13</f>
        <v>0</v>
      </c>
      <c r="M36" s="1085">
        <f>$E14*VARIABLES!L13</f>
        <v>0</v>
      </c>
      <c r="N36" s="1090">
        <f>$E14*VARIABLES!M13</f>
        <v>0</v>
      </c>
      <c r="O36" s="1091">
        <f t="shared" si="19"/>
        <v>0</v>
      </c>
    </row>
    <row r="37" spans="1:15" s="1092" customFormat="1" ht="10.5" hidden="1" x14ac:dyDescent="0.25">
      <c r="A37" s="1087" t="str">
        <f t="shared" si="20"/>
        <v>Promotor 4</v>
      </c>
      <c r="B37" s="1088"/>
      <c r="C37" s="1089">
        <f>$F14*VARIABLES!B13</f>
        <v>0</v>
      </c>
      <c r="D37" s="1085">
        <f>$F14*VARIABLES!C13</f>
        <v>0</v>
      </c>
      <c r="E37" s="1085">
        <f>$F14*VARIABLES!D13</f>
        <v>0</v>
      </c>
      <c r="F37" s="1085">
        <f>$F14*VARIABLES!E13</f>
        <v>0</v>
      </c>
      <c r="G37" s="1085">
        <f>$F14*VARIABLES!F13</f>
        <v>0</v>
      </c>
      <c r="H37" s="1085">
        <f>$F14*VARIABLES!G13</f>
        <v>0</v>
      </c>
      <c r="I37" s="1085">
        <f>$F14*VARIABLES!H13</f>
        <v>0</v>
      </c>
      <c r="J37" s="1085">
        <f>$F14*VARIABLES!I13</f>
        <v>0</v>
      </c>
      <c r="K37" s="1085">
        <f>$F14*VARIABLES!J13</f>
        <v>0</v>
      </c>
      <c r="L37" s="1085">
        <f>$F14*VARIABLES!K13</f>
        <v>0</v>
      </c>
      <c r="M37" s="1085">
        <f>$F14*VARIABLES!L13</f>
        <v>0</v>
      </c>
      <c r="N37" s="1090">
        <f>$F14*VARIABLES!M13</f>
        <v>0</v>
      </c>
      <c r="O37" s="1091">
        <f t="shared" si="19"/>
        <v>0</v>
      </c>
    </row>
    <row r="38" spans="1:15" s="1092" customFormat="1" ht="10.5" hidden="1" x14ac:dyDescent="0.25">
      <c r="A38" s="1087" t="str">
        <f t="shared" si="20"/>
        <v>Promotor 5</v>
      </c>
      <c r="B38" s="1088"/>
      <c r="C38" s="1089">
        <f>$G14*VARIABLES!B13</f>
        <v>0</v>
      </c>
      <c r="D38" s="1085">
        <f>$G14*VARIABLES!C13</f>
        <v>0</v>
      </c>
      <c r="E38" s="1085">
        <f>$G14*VARIABLES!D13</f>
        <v>0</v>
      </c>
      <c r="F38" s="1085">
        <f>$G14*VARIABLES!E13</f>
        <v>0</v>
      </c>
      <c r="G38" s="1085">
        <f>$G14*VARIABLES!F13</f>
        <v>0</v>
      </c>
      <c r="H38" s="1085">
        <f>$G14*VARIABLES!G13</f>
        <v>0</v>
      </c>
      <c r="I38" s="1085">
        <f>$G14*VARIABLES!H13</f>
        <v>0</v>
      </c>
      <c r="J38" s="1085">
        <f>$G14*VARIABLES!I13</f>
        <v>0</v>
      </c>
      <c r="K38" s="1085">
        <f>$G14*VARIABLES!J13</f>
        <v>0</v>
      </c>
      <c r="L38" s="1085">
        <f>$G14*VARIABLES!K13</f>
        <v>0</v>
      </c>
      <c r="M38" s="1085">
        <f>$G14*VARIABLES!L13</f>
        <v>0</v>
      </c>
      <c r="N38" s="1090">
        <f>$G14*VARIABLES!M13</f>
        <v>0</v>
      </c>
      <c r="O38" s="1091">
        <f t="shared" si="19"/>
        <v>0</v>
      </c>
    </row>
    <row r="39" spans="1:15" s="1092" customFormat="1" ht="10.5" hidden="1" x14ac:dyDescent="0.25">
      <c r="A39" s="1087" t="str">
        <f t="shared" si="20"/>
        <v>Promotor 6</v>
      </c>
      <c r="B39" s="1088"/>
      <c r="C39" s="1089">
        <f>$H14*VARIABLES!B13</f>
        <v>0</v>
      </c>
      <c r="D39" s="1085">
        <f>$H14*VARIABLES!C13</f>
        <v>0</v>
      </c>
      <c r="E39" s="1085">
        <f>$H14*VARIABLES!D13</f>
        <v>0</v>
      </c>
      <c r="F39" s="1085">
        <f>$H14*VARIABLES!E13</f>
        <v>0</v>
      </c>
      <c r="G39" s="1085">
        <f>$H14*VARIABLES!F13</f>
        <v>0</v>
      </c>
      <c r="H39" s="1085">
        <f>$H14*VARIABLES!G13</f>
        <v>0</v>
      </c>
      <c r="I39" s="1085">
        <f>$H14*VARIABLES!H13</f>
        <v>0</v>
      </c>
      <c r="J39" s="1085">
        <f>$H14*VARIABLES!I13</f>
        <v>0</v>
      </c>
      <c r="K39" s="1085">
        <f>$H14*VARIABLES!J13</f>
        <v>0</v>
      </c>
      <c r="L39" s="1085">
        <f>$H14*VARIABLES!K13</f>
        <v>0</v>
      </c>
      <c r="M39" s="1085">
        <f>$H14*VARIABLES!L13</f>
        <v>0</v>
      </c>
      <c r="N39" s="1090">
        <f>$H14*VARIABLES!M13</f>
        <v>0</v>
      </c>
      <c r="O39" s="1091">
        <f t="shared" si="19"/>
        <v>0</v>
      </c>
    </row>
    <row r="40" spans="1:15" s="1092" customFormat="1" ht="10.5" hidden="1" x14ac:dyDescent="0.25">
      <c r="A40" s="1087" t="str">
        <f t="shared" si="20"/>
        <v>Promotor 7</v>
      </c>
      <c r="B40" s="1088"/>
      <c r="C40" s="1089">
        <f>$I14*VARIABLES!B13</f>
        <v>0</v>
      </c>
      <c r="D40" s="1085">
        <f>$I14*VARIABLES!C13</f>
        <v>0</v>
      </c>
      <c r="E40" s="1085">
        <f>$I14*VARIABLES!D13</f>
        <v>0</v>
      </c>
      <c r="F40" s="1085">
        <f>$I14*VARIABLES!E13</f>
        <v>0</v>
      </c>
      <c r="G40" s="1085">
        <f>$I14*VARIABLES!F13</f>
        <v>0</v>
      </c>
      <c r="H40" s="1085">
        <f>$I14*VARIABLES!G13</f>
        <v>0</v>
      </c>
      <c r="I40" s="1085">
        <f>$I14*VARIABLES!H13</f>
        <v>0</v>
      </c>
      <c r="J40" s="1085">
        <f>$I14*VARIABLES!I13</f>
        <v>0</v>
      </c>
      <c r="K40" s="1085">
        <f>$I14*VARIABLES!J13</f>
        <v>0</v>
      </c>
      <c r="L40" s="1085">
        <f>$I14*VARIABLES!K13</f>
        <v>0</v>
      </c>
      <c r="M40" s="1085">
        <f>$I14*VARIABLES!L13</f>
        <v>0</v>
      </c>
      <c r="N40" s="1090">
        <f>$I14*VARIABLES!M13</f>
        <v>0</v>
      </c>
      <c r="O40" s="1091">
        <f t="shared" si="19"/>
        <v>0</v>
      </c>
    </row>
    <row r="41" spans="1:15" s="1092" customFormat="1" ht="10.5" hidden="1" x14ac:dyDescent="0.25">
      <c r="A41" s="1087" t="str">
        <f t="shared" si="20"/>
        <v>Promotor 8</v>
      </c>
      <c r="B41" s="1088"/>
      <c r="C41" s="1089">
        <f>$J14*VARIABLES!B13</f>
        <v>0</v>
      </c>
      <c r="D41" s="1085">
        <f>$J14*VARIABLES!C13</f>
        <v>0</v>
      </c>
      <c r="E41" s="1085">
        <f>$J14*VARIABLES!D13</f>
        <v>0</v>
      </c>
      <c r="F41" s="1085">
        <f>$J14*VARIABLES!E13</f>
        <v>0</v>
      </c>
      <c r="G41" s="1085">
        <f>$J14*VARIABLES!F13</f>
        <v>0</v>
      </c>
      <c r="H41" s="1085">
        <f>$J14*VARIABLES!G13</f>
        <v>0</v>
      </c>
      <c r="I41" s="1085">
        <f>$J14*VARIABLES!H13</f>
        <v>0</v>
      </c>
      <c r="J41" s="1085">
        <f>$J14*VARIABLES!I13</f>
        <v>0</v>
      </c>
      <c r="K41" s="1085">
        <f>$J14*VARIABLES!J13</f>
        <v>0</v>
      </c>
      <c r="L41" s="1085">
        <f>$J14*VARIABLES!K13</f>
        <v>0</v>
      </c>
      <c r="M41" s="1085">
        <f>$J14*VARIABLES!L13</f>
        <v>0</v>
      </c>
      <c r="N41" s="1090">
        <f>$J14*VARIABLES!M13</f>
        <v>0</v>
      </c>
      <c r="O41" s="1091">
        <f t="shared" si="19"/>
        <v>0</v>
      </c>
    </row>
    <row r="42" spans="1:15" s="1092" customFormat="1" ht="10.5" hidden="1" x14ac:dyDescent="0.25">
      <c r="A42" s="1087" t="str">
        <f t="shared" si="20"/>
        <v>Promotor 9</v>
      </c>
      <c r="B42" s="1088"/>
      <c r="C42" s="1089">
        <f>$K14*VARIABLES!B13</f>
        <v>0</v>
      </c>
      <c r="D42" s="1085">
        <f>$K14*VARIABLES!C13</f>
        <v>0</v>
      </c>
      <c r="E42" s="1085">
        <f>$K14*VARIABLES!D13</f>
        <v>0</v>
      </c>
      <c r="F42" s="1085">
        <f>$K14*VARIABLES!E13</f>
        <v>0</v>
      </c>
      <c r="G42" s="1085">
        <f>$K14*VARIABLES!F13</f>
        <v>0</v>
      </c>
      <c r="H42" s="1085">
        <f>$K14*VARIABLES!G13</f>
        <v>0</v>
      </c>
      <c r="I42" s="1085">
        <f>$K14*VARIABLES!H13</f>
        <v>0</v>
      </c>
      <c r="J42" s="1085">
        <f>$K14*VARIABLES!I13</f>
        <v>0</v>
      </c>
      <c r="K42" s="1085">
        <f>$K14*VARIABLES!J13</f>
        <v>0</v>
      </c>
      <c r="L42" s="1085">
        <f>$K14*VARIABLES!K13</f>
        <v>0</v>
      </c>
      <c r="M42" s="1085">
        <f>$K14*VARIABLES!L13</f>
        <v>0</v>
      </c>
      <c r="N42" s="1090">
        <f>$K14*VARIABLES!M13</f>
        <v>0</v>
      </c>
      <c r="O42" s="1091">
        <f t="shared" si="19"/>
        <v>0</v>
      </c>
    </row>
    <row r="43" spans="1:15" s="1092" customFormat="1" ht="10.5" hidden="1" x14ac:dyDescent="0.25">
      <c r="A43" s="1087" t="str">
        <f t="shared" si="20"/>
        <v>Promotor 10</v>
      </c>
      <c r="B43" s="1088"/>
      <c r="C43" s="1089">
        <f>$L14*VARIABLES!B13</f>
        <v>0</v>
      </c>
      <c r="D43" s="1085">
        <f>$L14*VARIABLES!C13</f>
        <v>0</v>
      </c>
      <c r="E43" s="1085">
        <f>$L14*VARIABLES!D13</f>
        <v>0</v>
      </c>
      <c r="F43" s="1085">
        <f>$L14*VARIABLES!E13</f>
        <v>0</v>
      </c>
      <c r="G43" s="1085">
        <f>$L14*VARIABLES!F13</f>
        <v>0</v>
      </c>
      <c r="H43" s="1085">
        <f>$L14*VARIABLES!G13</f>
        <v>0</v>
      </c>
      <c r="I43" s="1085">
        <f>$L14*VARIABLES!H13</f>
        <v>0</v>
      </c>
      <c r="J43" s="1085">
        <f>$L14*VARIABLES!I13</f>
        <v>0</v>
      </c>
      <c r="K43" s="1085">
        <f>$L14*VARIABLES!J13</f>
        <v>0</v>
      </c>
      <c r="L43" s="1085">
        <f>$L14*VARIABLES!K13</f>
        <v>0</v>
      </c>
      <c r="M43" s="1085">
        <f>$L14*VARIABLES!L13</f>
        <v>0</v>
      </c>
      <c r="N43" s="1090">
        <f>$L14*VARIABLES!M13</f>
        <v>0</v>
      </c>
      <c r="O43" s="1091">
        <f t="shared" si="19"/>
        <v>0</v>
      </c>
    </row>
    <row r="44" spans="1:15" s="7" customFormat="1" ht="13" x14ac:dyDescent="0.3">
      <c r="A44" s="1883" t="s">
        <v>364</v>
      </c>
      <c r="B44" s="1883"/>
      <c r="C44" s="1072">
        <f>SUM(C45:C54)</f>
        <v>0</v>
      </c>
      <c r="D44" s="1072">
        <f t="shared" ref="D44:N44" si="21">SUM(D45:D54)</f>
        <v>0</v>
      </c>
      <c r="E44" s="1072">
        <f t="shared" si="21"/>
        <v>0</v>
      </c>
      <c r="F44" s="1072">
        <f t="shared" si="21"/>
        <v>0</v>
      </c>
      <c r="G44" s="1072">
        <f t="shared" si="21"/>
        <v>0</v>
      </c>
      <c r="H44" s="1072">
        <f t="shared" si="21"/>
        <v>0</v>
      </c>
      <c r="I44" s="1072">
        <f t="shared" si="21"/>
        <v>0</v>
      </c>
      <c r="J44" s="1072">
        <f t="shared" si="21"/>
        <v>0</v>
      </c>
      <c r="K44" s="1072">
        <f t="shared" si="21"/>
        <v>0</v>
      </c>
      <c r="L44" s="1072">
        <f t="shared" si="21"/>
        <v>0</v>
      </c>
      <c r="M44" s="1072">
        <f t="shared" si="21"/>
        <v>0</v>
      </c>
      <c r="N44" s="1072">
        <f t="shared" si="21"/>
        <v>0</v>
      </c>
      <c r="O44" s="1072">
        <f>SUM(C44:N44)</f>
        <v>0</v>
      </c>
    </row>
    <row r="45" spans="1:15" s="7" customFormat="1" ht="13" hidden="1" x14ac:dyDescent="0.3">
      <c r="A45" s="1094" t="str">
        <f>A23</f>
        <v>Promotor 1</v>
      </c>
      <c r="B45" s="1094"/>
      <c r="C45" s="1095">
        <f>IF(C$4=C$20,C$17,0)</f>
        <v>0</v>
      </c>
      <c r="D45" s="1095">
        <f t="shared" ref="D45:N45" si="22">IF(AND(C45=0,$C4=D20),$C17,0)+IF(C45=0,0,$C17)</f>
        <v>0</v>
      </c>
      <c r="E45" s="1095">
        <f t="shared" si="22"/>
        <v>0</v>
      </c>
      <c r="F45" s="1095">
        <f t="shared" si="22"/>
        <v>0</v>
      </c>
      <c r="G45" s="1095">
        <f t="shared" si="22"/>
        <v>0</v>
      </c>
      <c r="H45" s="1095">
        <f t="shared" si="22"/>
        <v>0</v>
      </c>
      <c r="I45" s="1095">
        <f t="shared" si="22"/>
        <v>0</v>
      </c>
      <c r="J45" s="1095">
        <f t="shared" si="22"/>
        <v>0</v>
      </c>
      <c r="K45" s="1095">
        <f t="shared" si="22"/>
        <v>0</v>
      </c>
      <c r="L45" s="1095">
        <f t="shared" si="22"/>
        <v>0</v>
      </c>
      <c r="M45" s="1095">
        <f t="shared" si="22"/>
        <v>0</v>
      </c>
      <c r="N45" s="1095">
        <f t="shared" si="22"/>
        <v>0</v>
      </c>
      <c r="O45" s="1095">
        <f t="shared" ref="O45:O54" si="23">SUM(C45:N45)</f>
        <v>0</v>
      </c>
    </row>
    <row r="46" spans="1:15" s="7" customFormat="1" ht="13" hidden="1" x14ac:dyDescent="0.3">
      <c r="A46" s="1094" t="str">
        <f t="shared" ref="A46:A54" si="24">A24</f>
        <v>Promotor 2</v>
      </c>
      <c r="B46" s="1094"/>
      <c r="C46" s="1095">
        <f>IF(D$4=C$20,D$17,0)</f>
        <v>0</v>
      </c>
      <c r="D46" s="1095">
        <f t="shared" ref="D46:N46" si="25">IF(AND(C46=0,$D4=D20),$D17,0)+IF(C46=0,0,$D17)</f>
        <v>0</v>
      </c>
      <c r="E46" s="1095">
        <f t="shared" si="25"/>
        <v>0</v>
      </c>
      <c r="F46" s="1095">
        <f t="shared" si="25"/>
        <v>0</v>
      </c>
      <c r="G46" s="1095">
        <f t="shared" si="25"/>
        <v>0</v>
      </c>
      <c r="H46" s="1095">
        <f t="shared" si="25"/>
        <v>0</v>
      </c>
      <c r="I46" s="1095">
        <f t="shared" si="25"/>
        <v>0</v>
      </c>
      <c r="J46" s="1095">
        <f t="shared" si="25"/>
        <v>0</v>
      </c>
      <c r="K46" s="1095">
        <f t="shared" si="25"/>
        <v>0</v>
      </c>
      <c r="L46" s="1095">
        <f t="shared" si="25"/>
        <v>0</v>
      </c>
      <c r="M46" s="1095">
        <f t="shared" si="25"/>
        <v>0</v>
      </c>
      <c r="N46" s="1095">
        <f t="shared" si="25"/>
        <v>0</v>
      </c>
      <c r="O46" s="1095">
        <f t="shared" si="23"/>
        <v>0</v>
      </c>
    </row>
    <row r="47" spans="1:15" s="7" customFormat="1" ht="13" hidden="1" x14ac:dyDescent="0.3">
      <c r="A47" s="1094" t="str">
        <f t="shared" si="24"/>
        <v>Promotor 3</v>
      </c>
      <c r="B47" s="1094"/>
      <c r="C47" s="1095">
        <f>IF(E$4=C$20,E$17,0)</f>
        <v>0</v>
      </c>
      <c r="D47" s="1095">
        <f t="shared" ref="D47:N47" si="26">IF(AND(C47=0,$E4=D20),$E17,0)+IF(C47=0,0,$E17)</f>
        <v>0</v>
      </c>
      <c r="E47" s="1095">
        <f t="shared" si="26"/>
        <v>0</v>
      </c>
      <c r="F47" s="1095">
        <f t="shared" si="26"/>
        <v>0</v>
      </c>
      <c r="G47" s="1095">
        <f t="shared" si="26"/>
        <v>0</v>
      </c>
      <c r="H47" s="1095">
        <f t="shared" si="26"/>
        <v>0</v>
      </c>
      <c r="I47" s="1095">
        <f t="shared" si="26"/>
        <v>0</v>
      </c>
      <c r="J47" s="1095">
        <f t="shared" si="26"/>
        <v>0</v>
      </c>
      <c r="K47" s="1095">
        <f t="shared" si="26"/>
        <v>0</v>
      </c>
      <c r="L47" s="1095">
        <f t="shared" si="26"/>
        <v>0</v>
      </c>
      <c r="M47" s="1095">
        <f t="shared" si="26"/>
        <v>0</v>
      </c>
      <c r="N47" s="1095">
        <f t="shared" si="26"/>
        <v>0</v>
      </c>
      <c r="O47" s="1095">
        <f t="shared" si="23"/>
        <v>0</v>
      </c>
    </row>
    <row r="48" spans="1:15" s="7" customFormat="1" ht="13" hidden="1" x14ac:dyDescent="0.3">
      <c r="A48" s="1094" t="str">
        <f t="shared" si="24"/>
        <v>Promotor 4</v>
      </c>
      <c r="B48" s="1094"/>
      <c r="C48" s="1095">
        <f>IF(F$4=C$20,F$17,0)</f>
        <v>0</v>
      </c>
      <c r="D48" s="1095">
        <f t="shared" ref="D48:N48" si="27">IF(AND(C48=0,$F4=D20),$F17,0)+IF(C48=0,0,$F17)</f>
        <v>0</v>
      </c>
      <c r="E48" s="1095">
        <f t="shared" si="27"/>
        <v>0</v>
      </c>
      <c r="F48" s="1095">
        <f t="shared" si="27"/>
        <v>0</v>
      </c>
      <c r="G48" s="1095">
        <f t="shared" si="27"/>
        <v>0</v>
      </c>
      <c r="H48" s="1095">
        <f t="shared" si="27"/>
        <v>0</v>
      </c>
      <c r="I48" s="1095">
        <f t="shared" si="27"/>
        <v>0</v>
      </c>
      <c r="J48" s="1095">
        <f t="shared" si="27"/>
        <v>0</v>
      </c>
      <c r="K48" s="1095">
        <f t="shared" si="27"/>
        <v>0</v>
      </c>
      <c r="L48" s="1095">
        <f t="shared" si="27"/>
        <v>0</v>
      </c>
      <c r="M48" s="1095">
        <f t="shared" si="27"/>
        <v>0</v>
      </c>
      <c r="N48" s="1095">
        <f t="shared" si="27"/>
        <v>0</v>
      </c>
      <c r="O48" s="1095">
        <f t="shared" si="23"/>
        <v>0</v>
      </c>
    </row>
    <row r="49" spans="1:15" s="7" customFormat="1" ht="13" hidden="1" x14ac:dyDescent="0.3">
      <c r="A49" s="1094" t="str">
        <f t="shared" si="24"/>
        <v>Promotor 5</v>
      </c>
      <c r="B49" s="1094"/>
      <c r="C49" s="1095">
        <f>IF(G$4=C$20,G$17,0)</f>
        <v>0</v>
      </c>
      <c r="D49" s="1095">
        <f t="shared" ref="D49:N49" si="28">IF(AND(C49=0,$G4=D20),$G17,0)+IF(C49=0,0,$G17)</f>
        <v>0</v>
      </c>
      <c r="E49" s="1095">
        <f t="shared" si="28"/>
        <v>0</v>
      </c>
      <c r="F49" s="1095">
        <f t="shared" si="28"/>
        <v>0</v>
      </c>
      <c r="G49" s="1095">
        <f t="shared" si="28"/>
        <v>0</v>
      </c>
      <c r="H49" s="1095">
        <f t="shared" si="28"/>
        <v>0</v>
      </c>
      <c r="I49" s="1095">
        <f t="shared" si="28"/>
        <v>0</v>
      </c>
      <c r="J49" s="1095">
        <f t="shared" si="28"/>
        <v>0</v>
      </c>
      <c r="K49" s="1095">
        <f t="shared" si="28"/>
        <v>0</v>
      </c>
      <c r="L49" s="1095">
        <f t="shared" si="28"/>
        <v>0</v>
      </c>
      <c r="M49" s="1095">
        <f t="shared" si="28"/>
        <v>0</v>
      </c>
      <c r="N49" s="1095">
        <f t="shared" si="28"/>
        <v>0</v>
      </c>
      <c r="O49" s="1095">
        <f t="shared" si="23"/>
        <v>0</v>
      </c>
    </row>
    <row r="50" spans="1:15" s="7" customFormat="1" ht="13" hidden="1" x14ac:dyDescent="0.3">
      <c r="A50" s="1094" t="str">
        <f t="shared" si="24"/>
        <v>Promotor 6</v>
      </c>
      <c r="B50" s="1094"/>
      <c r="C50" s="1095">
        <f>IF(H$4=C$20,H$17,0)</f>
        <v>0</v>
      </c>
      <c r="D50" s="1095">
        <f t="shared" ref="D50:N50" si="29">IF(AND(C50=0,$H4=D20),$H17,0)+IF(C50=0,0,$H17)</f>
        <v>0</v>
      </c>
      <c r="E50" s="1095">
        <f t="shared" si="29"/>
        <v>0</v>
      </c>
      <c r="F50" s="1095">
        <f t="shared" si="29"/>
        <v>0</v>
      </c>
      <c r="G50" s="1095">
        <f t="shared" si="29"/>
        <v>0</v>
      </c>
      <c r="H50" s="1095">
        <f t="shared" si="29"/>
        <v>0</v>
      </c>
      <c r="I50" s="1095">
        <f t="shared" si="29"/>
        <v>0</v>
      </c>
      <c r="J50" s="1095">
        <f t="shared" si="29"/>
        <v>0</v>
      </c>
      <c r="K50" s="1095">
        <f t="shared" si="29"/>
        <v>0</v>
      </c>
      <c r="L50" s="1095">
        <f t="shared" si="29"/>
        <v>0</v>
      </c>
      <c r="M50" s="1095">
        <f t="shared" si="29"/>
        <v>0</v>
      </c>
      <c r="N50" s="1095">
        <f t="shared" si="29"/>
        <v>0</v>
      </c>
      <c r="O50" s="1095">
        <f t="shared" si="23"/>
        <v>0</v>
      </c>
    </row>
    <row r="51" spans="1:15" s="7" customFormat="1" ht="13" hidden="1" x14ac:dyDescent="0.3">
      <c r="A51" s="1094" t="str">
        <f t="shared" si="24"/>
        <v>Promotor 7</v>
      </c>
      <c r="B51" s="1094"/>
      <c r="C51" s="1095">
        <f>IF(I$4=C$20,I$17,0)</f>
        <v>0</v>
      </c>
      <c r="D51" s="1095">
        <f t="shared" ref="D51:N51" si="30">IF(AND(C51=0,$I4=D20),$I17,0)+IF(C51=0,0,$I17)</f>
        <v>0</v>
      </c>
      <c r="E51" s="1095">
        <f t="shared" si="30"/>
        <v>0</v>
      </c>
      <c r="F51" s="1095">
        <f t="shared" si="30"/>
        <v>0</v>
      </c>
      <c r="G51" s="1095">
        <f t="shared" si="30"/>
        <v>0</v>
      </c>
      <c r="H51" s="1095">
        <f t="shared" si="30"/>
        <v>0</v>
      </c>
      <c r="I51" s="1095">
        <f t="shared" si="30"/>
        <v>0</v>
      </c>
      <c r="J51" s="1095">
        <f t="shared" si="30"/>
        <v>0</v>
      </c>
      <c r="K51" s="1095">
        <f t="shared" si="30"/>
        <v>0</v>
      </c>
      <c r="L51" s="1095">
        <f t="shared" si="30"/>
        <v>0</v>
      </c>
      <c r="M51" s="1095">
        <f t="shared" si="30"/>
        <v>0</v>
      </c>
      <c r="N51" s="1095">
        <f t="shared" si="30"/>
        <v>0</v>
      </c>
      <c r="O51" s="1095">
        <f t="shared" si="23"/>
        <v>0</v>
      </c>
    </row>
    <row r="52" spans="1:15" s="7" customFormat="1" ht="13" hidden="1" x14ac:dyDescent="0.3">
      <c r="A52" s="1094" t="str">
        <f t="shared" si="24"/>
        <v>Promotor 8</v>
      </c>
      <c r="B52" s="1094"/>
      <c r="C52" s="1095">
        <f>IF(J$4=C$20,J$17,0)</f>
        <v>0</v>
      </c>
      <c r="D52" s="1095">
        <f t="shared" ref="D52:N52" si="31">IF(AND(C52=0,$J4=D20),$J17,0)+IF(C52=0,0,$J17)</f>
        <v>0</v>
      </c>
      <c r="E52" s="1095">
        <f t="shared" si="31"/>
        <v>0</v>
      </c>
      <c r="F52" s="1095">
        <f t="shared" si="31"/>
        <v>0</v>
      </c>
      <c r="G52" s="1095">
        <f t="shared" si="31"/>
        <v>0</v>
      </c>
      <c r="H52" s="1095">
        <f t="shared" si="31"/>
        <v>0</v>
      </c>
      <c r="I52" s="1095">
        <f t="shared" si="31"/>
        <v>0</v>
      </c>
      <c r="J52" s="1095">
        <f t="shared" si="31"/>
        <v>0</v>
      </c>
      <c r="K52" s="1095">
        <f t="shared" si="31"/>
        <v>0</v>
      </c>
      <c r="L52" s="1095">
        <f t="shared" si="31"/>
        <v>0</v>
      </c>
      <c r="M52" s="1095">
        <f t="shared" si="31"/>
        <v>0</v>
      </c>
      <c r="N52" s="1095">
        <f t="shared" si="31"/>
        <v>0</v>
      </c>
      <c r="O52" s="1095">
        <f t="shared" si="23"/>
        <v>0</v>
      </c>
    </row>
    <row r="53" spans="1:15" s="7" customFormat="1" ht="13" hidden="1" x14ac:dyDescent="0.3">
      <c r="A53" s="1094" t="str">
        <f t="shared" si="24"/>
        <v>Promotor 9</v>
      </c>
      <c r="B53" s="1094"/>
      <c r="C53" s="1095">
        <f>IF(K$4=C$20,K$17,0)</f>
        <v>0</v>
      </c>
      <c r="D53" s="1095">
        <f t="shared" ref="D53:N53" si="32">IF(AND(C53=0,$K4=D20),$K17,0)+IF(C53=0,0,$K17)</f>
        <v>0</v>
      </c>
      <c r="E53" s="1095">
        <f t="shared" si="32"/>
        <v>0</v>
      </c>
      <c r="F53" s="1095">
        <f t="shared" si="32"/>
        <v>0</v>
      </c>
      <c r="G53" s="1095">
        <f t="shared" si="32"/>
        <v>0</v>
      </c>
      <c r="H53" s="1095">
        <f t="shared" si="32"/>
        <v>0</v>
      </c>
      <c r="I53" s="1095">
        <f t="shared" si="32"/>
        <v>0</v>
      </c>
      <c r="J53" s="1095">
        <f t="shared" si="32"/>
        <v>0</v>
      </c>
      <c r="K53" s="1095">
        <f t="shared" si="32"/>
        <v>0</v>
      </c>
      <c r="L53" s="1095">
        <f t="shared" si="32"/>
        <v>0</v>
      </c>
      <c r="M53" s="1095">
        <f t="shared" si="32"/>
        <v>0</v>
      </c>
      <c r="N53" s="1095">
        <f t="shared" si="32"/>
        <v>0</v>
      </c>
      <c r="O53" s="1095">
        <f t="shared" si="23"/>
        <v>0</v>
      </c>
    </row>
    <row r="54" spans="1:15" s="7" customFormat="1" ht="13" hidden="1" x14ac:dyDescent="0.3">
      <c r="A54" s="1094" t="str">
        <f t="shared" si="24"/>
        <v>Promotor 10</v>
      </c>
      <c r="B54" s="1094"/>
      <c r="C54" s="1095">
        <f>IF(L$4=C$20,L$17,0)</f>
        <v>0</v>
      </c>
      <c r="D54" s="1095">
        <f t="shared" ref="D54:N54" si="33">IF(AND(C54=0,$L4=D20),$L17,0)+IF(C54=0,0,$L17)</f>
        <v>0</v>
      </c>
      <c r="E54" s="1095">
        <f t="shared" si="33"/>
        <v>0</v>
      </c>
      <c r="F54" s="1095">
        <f t="shared" si="33"/>
        <v>0</v>
      </c>
      <c r="G54" s="1095">
        <f t="shared" si="33"/>
        <v>0</v>
      </c>
      <c r="H54" s="1095">
        <f t="shared" si="33"/>
        <v>0</v>
      </c>
      <c r="I54" s="1095">
        <f t="shared" si="33"/>
        <v>0</v>
      </c>
      <c r="J54" s="1095">
        <f t="shared" si="33"/>
        <v>0</v>
      </c>
      <c r="K54" s="1095">
        <f t="shared" si="33"/>
        <v>0</v>
      </c>
      <c r="L54" s="1095">
        <f t="shared" si="33"/>
        <v>0</v>
      </c>
      <c r="M54" s="1095">
        <f t="shared" si="33"/>
        <v>0</v>
      </c>
      <c r="N54" s="1095">
        <f t="shared" si="33"/>
        <v>0</v>
      </c>
      <c r="O54" s="1095">
        <f t="shared" si="23"/>
        <v>0</v>
      </c>
    </row>
    <row r="55" spans="1:15" s="7" customFormat="1" ht="13" x14ac:dyDescent="0.3">
      <c r="A55" s="1781" t="s">
        <v>365</v>
      </c>
      <c r="B55" s="1781"/>
      <c r="C55" s="1096">
        <f t="shared" ref="C55:O55" si="34">C44+C21</f>
        <v>0</v>
      </c>
      <c r="D55" s="1096">
        <f t="shared" si="34"/>
        <v>0</v>
      </c>
      <c r="E55" s="1096">
        <f t="shared" si="34"/>
        <v>0</v>
      </c>
      <c r="F55" s="1096">
        <f t="shared" si="34"/>
        <v>0</v>
      </c>
      <c r="G55" s="1096">
        <f t="shared" si="34"/>
        <v>0</v>
      </c>
      <c r="H55" s="1096">
        <f t="shared" si="34"/>
        <v>0</v>
      </c>
      <c r="I55" s="1096">
        <f t="shared" si="34"/>
        <v>0</v>
      </c>
      <c r="J55" s="1096">
        <f t="shared" si="34"/>
        <v>0</v>
      </c>
      <c r="K55" s="1096">
        <f t="shared" si="34"/>
        <v>0</v>
      </c>
      <c r="L55" s="1096">
        <f t="shared" si="34"/>
        <v>0</v>
      </c>
      <c r="M55" s="1096">
        <f t="shared" si="34"/>
        <v>0</v>
      </c>
      <c r="N55" s="1096">
        <f t="shared" si="34"/>
        <v>0</v>
      </c>
      <c r="O55" s="1096">
        <f t="shared" si="34"/>
        <v>0</v>
      </c>
    </row>
    <row r="56" spans="1:15" ht="13" x14ac:dyDescent="0.3">
      <c r="A56" s="1883" t="s">
        <v>163</v>
      </c>
      <c r="B56" s="1883"/>
      <c r="C56" s="1072">
        <f>SUM(C57:C66)</f>
        <v>0</v>
      </c>
      <c r="D56" s="1072">
        <f t="shared" ref="D56:N56" si="35">SUM(D57:D66)</f>
        <v>0</v>
      </c>
      <c r="E56" s="1072">
        <f t="shared" si="35"/>
        <v>0</v>
      </c>
      <c r="F56" s="1072">
        <f t="shared" si="35"/>
        <v>0</v>
      </c>
      <c r="G56" s="1072">
        <f t="shared" si="35"/>
        <v>0</v>
      </c>
      <c r="H56" s="1072">
        <f t="shared" si="35"/>
        <v>0</v>
      </c>
      <c r="I56" s="1072">
        <f t="shared" si="35"/>
        <v>0</v>
      </c>
      <c r="J56" s="1072">
        <f t="shared" si="35"/>
        <v>0</v>
      </c>
      <c r="K56" s="1072">
        <f t="shared" si="35"/>
        <v>0</v>
      </c>
      <c r="L56" s="1072">
        <f t="shared" si="35"/>
        <v>0</v>
      </c>
      <c r="M56" s="1072">
        <f t="shared" si="35"/>
        <v>0</v>
      </c>
      <c r="N56" s="1072">
        <f t="shared" si="35"/>
        <v>0</v>
      </c>
      <c r="O56" s="1072">
        <f>SUM(C56:N56)</f>
        <v>0</v>
      </c>
    </row>
    <row r="57" spans="1:15" ht="12.75" hidden="1" customHeight="1" x14ac:dyDescent="0.25">
      <c r="A57" s="1094" t="str">
        <f>A23</f>
        <v>Promotor 1</v>
      </c>
      <c r="B57" s="1094"/>
      <c r="C57" s="1095">
        <f>IF(C23=0,0,C23*$C18)</f>
        <v>0</v>
      </c>
      <c r="D57" s="1095">
        <f t="shared" ref="D57:N57" si="36">IF(D23=0,0,D23*$C18)</f>
        <v>0</v>
      </c>
      <c r="E57" s="1095">
        <f t="shared" si="36"/>
        <v>0</v>
      </c>
      <c r="F57" s="1095">
        <f t="shared" si="36"/>
        <v>0</v>
      </c>
      <c r="G57" s="1095">
        <f t="shared" si="36"/>
        <v>0</v>
      </c>
      <c r="H57" s="1095">
        <f t="shared" si="36"/>
        <v>0</v>
      </c>
      <c r="I57" s="1095">
        <f t="shared" si="36"/>
        <v>0</v>
      </c>
      <c r="J57" s="1095">
        <f t="shared" si="36"/>
        <v>0</v>
      </c>
      <c r="K57" s="1095">
        <f t="shared" si="36"/>
        <v>0</v>
      </c>
      <c r="L57" s="1095">
        <f t="shared" si="36"/>
        <v>0</v>
      </c>
      <c r="M57" s="1095">
        <f t="shared" si="36"/>
        <v>0</v>
      </c>
      <c r="N57" s="1095">
        <f t="shared" si="36"/>
        <v>0</v>
      </c>
      <c r="O57" s="1095">
        <f t="shared" ref="O57:O66" si="37">SUM(C57:N57)</f>
        <v>0</v>
      </c>
    </row>
    <row r="58" spans="1:15" ht="12.75" hidden="1" customHeight="1" x14ac:dyDescent="0.25">
      <c r="A58" s="1094" t="str">
        <f t="shared" ref="A58:A66" si="38">A24</f>
        <v>Promotor 2</v>
      </c>
      <c r="B58" s="1094"/>
      <c r="C58" s="1095">
        <f>IF(C24=0,0,C24*$D18)</f>
        <v>0</v>
      </c>
      <c r="D58" s="1095">
        <f t="shared" ref="D58:N58" si="39">IF(D24=0,0,D24*$D18)</f>
        <v>0</v>
      </c>
      <c r="E58" s="1095">
        <f t="shared" si="39"/>
        <v>0</v>
      </c>
      <c r="F58" s="1095">
        <f t="shared" si="39"/>
        <v>0</v>
      </c>
      <c r="G58" s="1095">
        <f t="shared" si="39"/>
        <v>0</v>
      </c>
      <c r="H58" s="1095">
        <f t="shared" si="39"/>
        <v>0</v>
      </c>
      <c r="I58" s="1095">
        <f t="shared" si="39"/>
        <v>0</v>
      </c>
      <c r="J58" s="1095">
        <f t="shared" si="39"/>
        <v>0</v>
      </c>
      <c r="K58" s="1095">
        <f t="shared" si="39"/>
        <v>0</v>
      </c>
      <c r="L58" s="1095">
        <f t="shared" si="39"/>
        <v>0</v>
      </c>
      <c r="M58" s="1095">
        <f t="shared" si="39"/>
        <v>0</v>
      </c>
      <c r="N58" s="1095">
        <f t="shared" si="39"/>
        <v>0</v>
      </c>
      <c r="O58" s="1095">
        <f t="shared" si="37"/>
        <v>0</v>
      </c>
    </row>
    <row r="59" spans="1:15" ht="12.75" hidden="1" customHeight="1" x14ac:dyDescent="0.25">
      <c r="A59" s="1094" t="str">
        <f t="shared" si="38"/>
        <v>Promotor 3</v>
      </c>
      <c r="B59" s="1094"/>
      <c r="C59" s="1095">
        <f>IF(C25=0,0,C25*$E18)</f>
        <v>0</v>
      </c>
      <c r="D59" s="1095">
        <f t="shared" ref="D59:N59" si="40">IF(D25=0,0,D25*$E18)</f>
        <v>0</v>
      </c>
      <c r="E59" s="1095">
        <f t="shared" si="40"/>
        <v>0</v>
      </c>
      <c r="F59" s="1095">
        <f t="shared" si="40"/>
        <v>0</v>
      </c>
      <c r="G59" s="1095">
        <f t="shared" si="40"/>
        <v>0</v>
      </c>
      <c r="H59" s="1095">
        <f t="shared" si="40"/>
        <v>0</v>
      </c>
      <c r="I59" s="1095">
        <f t="shared" si="40"/>
        <v>0</v>
      </c>
      <c r="J59" s="1095">
        <f t="shared" si="40"/>
        <v>0</v>
      </c>
      <c r="K59" s="1095">
        <f t="shared" si="40"/>
        <v>0</v>
      </c>
      <c r="L59" s="1095">
        <f t="shared" si="40"/>
        <v>0</v>
      </c>
      <c r="M59" s="1095">
        <f t="shared" si="40"/>
        <v>0</v>
      </c>
      <c r="N59" s="1095">
        <f t="shared" si="40"/>
        <v>0</v>
      </c>
      <c r="O59" s="1095">
        <f t="shared" si="37"/>
        <v>0</v>
      </c>
    </row>
    <row r="60" spans="1:15" ht="12.75" hidden="1" customHeight="1" x14ac:dyDescent="0.25">
      <c r="A60" s="1094" t="str">
        <f t="shared" si="38"/>
        <v>Promotor 4</v>
      </c>
      <c r="B60" s="1094"/>
      <c r="C60" s="1095">
        <f>IF(C26=0,0,C26*$F18)</f>
        <v>0</v>
      </c>
      <c r="D60" s="1095">
        <f t="shared" ref="D60:N60" si="41">IF(D26=0,0,D26*$F18)</f>
        <v>0</v>
      </c>
      <c r="E60" s="1095">
        <f t="shared" si="41"/>
        <v>0</v>
      </c>
      <c r="F60" s="1095">
        <f t="shared" si="41"/>
        <v>0</v>
      </c>
      <c r="G60" s="1095">
        <f t="shared" si="41"/>
        <v>0</v>
      </c>
      <c r="H60" s="1095">
        <f t="shared" si="41"/>
        <v>0</v>
      </c>
      <c r="I60" s="1095">
        <f t="shared" si="41"/>
        <v>0</v>
      </c>
      <c r="J60" s="1095">
        <f t="shared" si="41"/>
        <v>0</v>
      </c>
      <c r="K60" s="1095">
        <f t="shared" si="41"/>
        <v>0</v>
      </c>
      <c r="L60" s="1095">
        <f t="shared" si="41"/>
        <v>0</v>
      </c>
      <c r="M60" s="1095">
        <f t="shared" si="41"/>
        <v>0</v>
      </c>
      <c r="N60" s="1095">
        <f t="shared" si="41"/>
        <v>0</v>
      </c>
      <c r="O60" s="1095">
        <f t="shared" si="37"/>
        <v>0</v>
      </c>
    </row>
    <row r="61" spans="1:15" ht="12.75" hidden="1" customHeight="1" x14ac:dyDescent="0.25">
      <c r="A61" s="1094" t="str">
        <f t="shared" si="38"/>
        <v>Promotor 5</v>
      </c>
      <c r="B61" s="1094"/>
      <c r="C61" s="1095">
        <f>IF(C27=0,0,C27*$G18)</f>
        <v>0</v>
      </c>
      <c r="D61" s="1095">
        <f t="shared" ref="D61:N61" si="42">IF(D27=0,0,D27*$G18)</f>
        <v>0</v>
      </c>
      <c r="E61" s="1095">
        <f t="shared" si="42"/>
        <v>0</v>
      </c>
      <c r="F61" s="1095">
        <f t="shared" si="42"/>
        <v>0</v>
      </c>
      <c r="G61" s="1095">
        <f t="shared" si="42"/>
        <v>0</v>
      </c>
      <c r="H61" s="1095">
        <f t="shared" si="42"/>
        <v>0</v>
      </c>
      <c r="I61" s="1095">
        <f t="shared" si="42"/>
        <v>0</v>
      </c>
      <c r="J61" s="1095">
        <f t="shared" si="42"/>
        <v>0</v>
      </c>
      <c r="K61" s="1095">
        <f t="shared" si="42"/>
        <v>0</v>
      </c>
      <c r="L61" s="1095">
        <f t="shared" si="42"/>
        <v>0</v>
      </c>
      <c r="M61" s="1095">
        <f t="shared" si="42"/>
        <v>0</v>
      </c>
      <c r="N61" s="1095">
        <f t="shared" si="42"/>
        <v>0</v>
      </c>
      <c r="O61" s="1095">
        <f t="shared" si="37"/>
        <v>0</v>
      </c>
    </row>
    <row r="62" spans="1:15" ht="12.75" hidden="1" customHeight="1" x14ac:dyDescent="0.25">
      <c r="A62" s="1094" t="str">
        <f t="shared" si="38"/>
        <v>Promotor 6</v>
      </c>
      <c r="B62" s="1094"/>
      <c r="C62" s="1095">
        <f>IF(C28=0,0,C28*$H18)</f>
        <v>0</v>
      </c>
      <c r="D62" s="1095">
        <f t="shared" ref="D62:N62" si="43">IF(D28=0,0,D28*$H18)</f>
        <v>0</v>
      </c>
      <c r="E62" s="1095">
        <f t="shared" si="43"/>
        <v>0</v>
      </c>
      <c r="F62" s="1095">
        <f t="shared" si="43"/>
        <v>0</v>
      </c>
      <c r="G62" s="1095">
        <f t="shared" si="43"/>
        <v>0</v>
      </c>
      <c r="H62" s="1095">
        <f t="shared" si="43"/>
        <v>0</v>
      </c>
      <c r="I62" s="1095">
        <f t="shared" si="43"/>
        <v>0</v>
      </c>
      <c r="J62" s="1095">
        <f t="shared" si="43"/>
        <v>0</v>
      </c>
      <c r="K62" s="1095">
        <f t="shared" si="43"/>
        <v>0</v>
      </c>
      <c r="L62" s="1095">
        <f t="shared" si="43"/>
        <v>0</v>
      </c>
      <c r="M62" s="1095">
        <f t="shared" si="43"/>
        <v>0</v>
      </c>
      <c r="N62" s="1095">
        <f t="shared" si="43"/>
        <v>0</v>
      </c>
      <c r="O62" s="1095">
        <f t="shared" si="37"/>
        <v>0</v>
      </c>
    </row>
    <row r="63" spans="1:15" ht="12.75" hidden="1" customHeight="1" x14ac:dyDescent="0.25">
      <c r="A63" s="1094" t="str">
        <f t="shared" si="38"/>
        <v>Promotor 7</v>
      </c>
      <c r="B63" s="1094"/>
      <c r="C63" s="1095">
        <f>IF(C29=0,0,C29*$I18)</f>
        <v>0</v>
      </c>
      <c r="D63" s="1095">
        <f t="shared" ref="D63:N63" si="44">IF(D29=0,0,D29*$I18)</f>
        <v>0</v>
      </c>
      <c r="E63" s="1095">
        <f t="shared" si="44"/>
        <v>0</v>
      </c>
      <c r="F63" s="1095">
        <f t="shared" si="44"/>
        <v>0</v>
      </c>
      <c r="G63" s="1095">
        <f t="shared" si="44"/>
        <v>0</v>
      </c>
      <c r="H63" s="1095">
        <f t="shared" si="44"/>
        <v>0</v>
      </c>
      <c r="I63" s="1095">
        <f t="shared" si="44"/>
        <v>0</v>
      </c>
      <c r="J63" s="1095">
        <f t="shared" si="44"/>
        <v>0</v>
      </c>
      <c r="K63" s="1095">
        <f t="shared" si="44"/>
        <v>0</v>
      </c>
      <c r="L63" s="1095">
        <f t="shared" si="44"/>
        <v>0</v>
      </c>
      <c r="M63" s="1095">
        <f t="shared" si="44"/>
        <v>0</v>
      </c>
      <c r="N63" s="1095">
        <f t="shared" si="44"/>
        <v>0</v>
      </c>
      <c r="O63" s="1095">
        <f t="shared" si="37"/>
        <v>0</v>
      </c>
    </row>
    <row r="64" spans="1:15" ht="12.75" hidden="1" customHeight="1" x14ac:dyDescent="0.25">
      <c r="A64" s="1094" t="str">
        <f t="shared" si="38"/>
        <v>Promotor 8</v>
      </c>
      <c r="B64" s="1094"/>
      <c r="C64" s="1095">
        <f>IF(C30=0,0,C30*$J18)</f>
        <v>0</v>
      </c>
      <c r="D64" s="1095">
        <f t="shared" ref="D64:N64" si="45">IF(D30=0,0,D30*$J18)</f>
        <v>0</v>
      </c>
      <c r="E64" s="1095">
        <f t="shared" si="45"/>
        <v>0</v>
      </c>
      <c r="F64" s="1095">
        <f t="shared" si="45"/>
        <v>0</v>
      </c>
      <c r="G64" s="1095">
        <f t="shared" si="45"/>
        <v>0</v>
      </c>
      <c r="H64" s="1095">
        <f t="shared" si="45"/>
        <v>0</v>
      </c>
      <c r="I64" s="1095">
        <f t="shared" si="45"/>
        <v>0</v>
      </c>
      <c r="J64" s="1095">
        <f t="shared" si="45"/>
        <v>0</v>
      </c>
      <c r="K64" s="1095">
        <f t="shared" si="45"/>
        <v>0</v>
      </c>
      <c r="L64" s="1095">
        <f t="shared" si="45"/>
        <v>0</v>
      </c>
      <c r="M64" s="1095">
        <f t="shared" si="45"/>
        <v>0</v>
      </c>
      <c r="N64" s="1095">
        <f t="shared" si="45"/>
        <v>0</v>
      </c>
      <c r="O64" s="1095">
        <f t="shared" si="37"/>
        <v>0</v>
      </c>
    </row>
    <row r="65" spans="1:15" ht="12.75" hidden="1" customHeight="1" x14ac:dyDescent="0.25">
      <c r="A65" s="1094" t="str">
        <f t="shared" si="38"/>
        <v>Promotor 9</v>
      </c>
      <c r="B65" s="1094"/>
      <c r="C65" s="1095">
        <f>IF(C31=0,0,C31*$K18)</f>
        <v>0</v>
      </c>
      <c r="D65" s="1095">
        <f t="shared" ref="D65:N65" si="46">IF(D31=0,0,D31*$K18)</f>
        <v>0</v>
      </c>
      <c r="E65" s="1095">
        <f t="shared" si="46"/>
        <v>0</v>
      </c>
      <c r="F65" s="1095">
        <f t="shared" si="46"/>
        <v>0</v>
      </c>
      <c r="G65" s="1095">
        <f t="shared" si="46"/>
        <v>0</v>
      </c>
      <c r="H65" s="1095">
        <f t="shared" si="46"/>
        <v>0</v>
      </c>
      <c r="I65" s="1095">
        <f t="shared" si="46"/>
        <v>0</v>
      </c>
      <c r="J65" s="1095">
        <f t="shared" si="46"/>
        <v>0</v>
      </c>
      <c r="K65" s="1095">
        <f t="shared" si="46"/>
        <v>0</v>
      </c>
      <c r="L65" s="1095">
        <f t="shared" si="46"/>
        <v>0</v>
      </c>
      <c r="M65" s="1095">
        <f t="shared" si="46"/>
        <v>0</v>
      </c>
      <c r="N65" s="1095">
        <f t="shared" si="46"/>
        <v>0</v>
      </c>
      <c r="O65" s="1095">
        <f t="shared" si="37"/>
        <v>0</v>
      </c>
    </row>
    <row r="66" spans="1:15" ht="12.75" hidden="1" customHeight="1" x14ac:dyDescent="0.25">
      <c r="A66" s="1094" t="str">
        <f t="shared" si="38"/>
        <v>Promotor 10</v>
      </c>
      <c r="B66" s="1094"/>
      <c r="C66" s="1095">
        <f>IF(C32=0,0,C32*$L18)</f>
        <v>0</v>
      </c>
      <c r="D66" s="1095">
        <f t="shared" ref="D66:N66" si="47">IF(D32=0,0,D32*$L18)</f>
        <v>0</v>
      </c>
      <c r="E66" s="1095">
        <f t="shared" si="47"/>
        <v>0</v>
      </c>
      <c r="F66" s="1095">
        <f t="shared" si="47"/>
        <v>0</v>
      </c>
      <c r="G66" s="1095">
        <f t="shared" si="47"/>
        <v>0</v>
      </c>
      <c r="H66" s="1095">
        <f t="shared" si="47"/>
        <v>0</v>
      </c>
      <c r="I66" s="1095">
        <f t="shared" si="47"/>
        <v>0</v>
      </c>
      <c r="J66" s="1095">
        <f t="shared" si="47"/>
        <v>0</v>
      </c>
      <c r="K66" s="1095">
        <f t="shared" si="47"/>
        <v>0</v>
      </c>
      <c r="L66" s="1095">
        <f t="shared" si="47"/>
        <v>0</v>
      </c>
      <c r="M66" s="1095">
        <f t="shared" si="47"/>
        <v>0</v>
      </c>
      <c r="N66" s="1095">
        <f t="shared" si="47"/>
        <v>0</v>
      </c>
      <c r="O66" s="1095">
        <f t="shared" si="37"/>
        <v>0</v>
      </c>
    </row>
    <row r="67" spans="1:15" ht="13" x14ac:dyDescent="0.3">
      <c r="A67" s="1884" t="s">
        <v>366</v>
      </c>
      <c r="B67" s="1884"/>
      <c r="C67" s="1097">
        <f t="shared" ref="C67:N67" si="48">SUM(C68:C77)+C33</f>
        <v>0</v>
      </c>
      <c r="D67" s="1097">
        <f t="shared" si="48"/>
        <v>0</v>
      </c>
      <c r="E67" s="1097">
        <f t="shared" si="48"/>
        <v>0</v>
      </c>
      <c r="F67" s="1097">
        <f t="shared" si="48"/>
        <v>0</v>
      </c>
      <c r="G67" s="1097">
        <f t="shared" si="48"/>
        <v>0</v>
      </c>
      <c r="H67" s="1097">
        <f t="shared" si="48"/>
        <v>0</v>
      </c>
      <c r="I67" s="1097">
        <f t="shared" si="48"/>
        <v>0</v>
      </c>
      <c r="J67" s="1097">
        <f t="shared" si="48"/>
        <v>0</v>
      </c>
      <c r="K67" s="1097">
        <f t="shared" si="48"/>
        <v>0</v>
      </c>
      <c r="L67" s="1097">
        <f t="shared" si="48"/>
        <v>0</v>
      </c>
      <c r="M67" s="1097">
        <f t="shared" si="48"/>
        <v>0</v>
      </c>
      <c r="N67" s="1097">
        <f t="shared" si="48"/>
        <v>0</v>
      </c>
      <c r="O67" s="1097">
        <f>SUM(C67:N67)</f>
        <v>0</v>
      </c>
    </row>
    <row r="68" spans="1:15" ht="12.75" hidden="1" customHeight="1" x14ac:dyDescent="0.25">
      <c r="A68" s="1098" t="str">
        <f>A23</f>
        <v>Promotor 1</v>
      </c>
      <c r="B68" s="1098"/>
      <c r="C68" s="1099">
        <f t="shared" ref="C68:N77" si="49">C23-C57</f>
        <v>0</v>
      </c>
      <c r="D68" s="1099">
        <f t="shared" si="49"/>
        <v>0</v>
      </c>
      <c r="E68" s="1099">
        <f t="shared" si="49"/>
        <v>0</v>
      </c>
      <c r="F68" s="1099">
        <f t="shared" si="49"/>
        <v>0</v>
      </c>
      <c r="G68" s="1099">
        <f t="shared" si="49"/>
        <v>0</v>
      </c>
      <c r="H68" s="1099">
        <f t="shared" si="49"/>
        <v>0</v>
      </c>
      <c r="I68" s="1099">
        <f t="shared" si="49"/>
        <v>0</v>
      </c>
      <c r="J68" s="1099">
        <f t="shared" si="49"/>
        <v>0</v>
      </c>
      <c r="K68" s="1099">
        <f t="shared" si="49"/>
        <v>0</v>
      </c>
      <c r="L68" s="1099">
        <f t="shared" si="49"/>
        <v>0</v>
      </c>
      <c r="M68" s="1099">
        <f t="shared" si="49"/>
        <v>0</v>
      </c>
      <c r="N68" s="1099">
        <f t="shared" si="49"/>
        <v>0</v>
      </c>
      <c r="O68" s="1099">
        <f t="shared" ref="O68:O77" si="50">SUM(C68:N68)</f>
        <v>0</v>
      </c>
    </row>
    <row r="69" spans="1:15" ht="12.75" hidden="1" customHeight="1" x14ac:dyDescent="0.25">
      <c r="A69" s="1098" t="str">
        <f t="shared" ref="A69:A77" si="51">A24</f>
        <v>Promotor 2</v>
      </c>
      <c r="B69" s="1098"/>
      <c r="C69" s="1099">
        <f t="shared" si="49"/>
        <v>0</v>
      </c>
      <c r="D69" s="1099">
        <f t="shared" si="49"/>
        <v>0</v>
      </c>
      <c r="E69" s="1099">
        <f t="shared" si="49"/>
        <v>0</v>
      </c>
      <c r="F69" s="1099">
        <f t="shared" si="49"/>
        <v>0</v>
      </c>
      <c r="G69" s="1099">
        <f t="shared" si="49"/>
        <v>0</v>
      </c>
      <c r="H69" s="1099">
        <f t="shared" si="49"/>
        <v>0</v>
      </c>
      <c r="I69" s="1099">
        <f t="shared" si="49"/>
        <v>0</v>
      </c>
      <c r="J69" s="1099">
        <f t="shared" si="49"/>
        <v>0</v>
      </c>
      <c r="K69" s="1099">
        <f t="shared" si="49"/>
        <v>0</v>
      </c>
      <c r="L69" s="1099">
        <f t="shared" si="49"/>
        <v>0</v>
      </c>
      <c r="M69" s="1099">
        <f t="shared" si="49"/>
        <v>0</v>
      </c>
      <c r="N69" s="1099">
        <f t="shared" si="49"/>
        <v>0</v>
      </c>
      <c r="O69" s="1099">
        <f t="shared" si="50"/>
        <v>0</v>
      </c>
    </row>
    <row r="70" spans="1:15" ht="12.75" hidden="1" customHeight="1" x14ac:dyDescent="0.25">
      <c r="A70" s="1098" t="str">
        <f t="shared" si="51"/>
        <v>Promotor 3</v>
      </c>
      <c r="B70" s="1098"/>
      <c r="C70" s="1099">
        <f t="shared" si="49"/>
        <v>0</v>
      </c>
      <c r="D70" s="1099">
        <f t="shared" si="49"/>
        <v>0</v>
      </c>
      <c r="E70" s="1099">
        <f t="shared" si="49"/>
        <v>0</v>
      </c>
      <c r="F70" s="1099">
        <f t="shared" si="49"/>
        <v>0</v>
      </c>
      <c r="G70" s="1099">
        <f t="shared" si="49"/>
        <v>0</v>
      </c>
      <c r="H70" s="1099">
        <f t="shared" si="49"/>
        <v>0</v>
      </c>
      <c r="I70" s="1099">
        <f t="shared" si="49"/>
        <v>0</v>
      </c>
      <c r="J70" s="1099">
        <f t="shared" si="49"/>
        <v>0</v>
      </c>
      <c r="K70" s="1099">
        <f t="shared" si="49"/>
        <v>0</v>
      </c>
      <c r="L70" s="1099">
        <f t="shared" si="49"/>
        <v>0</v>
      </c>
      <c r="M70" s="1099">
        <f t="shared" si="49"/>
        <v>0</v>
      </c>
      <c r="N70" s="1099">
        <f t="shared" si="49"/>
        <v>0</v>
      </c>
      <c r="O70" s="1099">
        <f t="shared" si="50"/>
        <v>0</v>
      </c>
    </row>
    <row r="71" spans="1:15" ht="12.75" hidden="1" customHeight="1" x14ac:dyDescent="0.25">
      <c r="A71" s="1098" t="str">
        <f t="shared" si="51"/>
        <v>Promotor 4</v>
      </c>
      <c r="B71" s="1098"/>
      <c r="C71" s="1099">
        <f t="shared" si="49"/>
        <v>0</v>
      </c>
      <c r="D71" s="1099">
        <f t="shared" si="49"/>
        <v>0</v>
      </c>
      <c r="E71" s="1099">
        <f t="shared" si="49"/>
        <v>0</v>
      </c>
      <c r="F71" s="1099">
        <f t="shared" si="49"/>
        <v>0</v>
      </c>
      <c r="G71" s="1099">
        <f t="shared" si="49"/>
        <v>0</v>
      </c>
      <c r="H71" s="1099">
        <f t="shared" si="49"/>
        <v>0</v>
      </c>
      <c r="I71" s="1099">
        <f t="shared" si="49"/>
        <v>0</v>
      </c>
      <c r="J71" s="1099">
        <f t="shared" si="49"/>
        <v>0</v>
      </c>
      <c r="K71" s="1099">
        <f t="shared" si="49"/>
        <v>0</v>
      </c>
      <c r="L71" s="1099">
        <f t="shared" si="49"/>
        <v>0</v>
      </c>
      <c r="M71" s="1099">
        <f t="shared" si="49"/>
        <v>0</v>
      </c>
      <c r="N71" s="1099">
        <f t="shared" si="49"/>
        <v>0</v>
      </c>
      <c r="O71" s="1099">
        <f t="shared" si="50"/>
        <v>0</v>
      </c>
    </row>
    <row r="72" spans="1:15" ht="12.75" hidden="1" customHeight="1" x14ac:dyDescent="0.25">
      <c r="A72" s="1098" t="str">
        <f t="shared" si="51"/>
        <v>Promotor 5</v>
      </c>
      <c r="B72" s="1098"/>
      <c r="C72" s="1099">
        <f t="shared" si="49"/>
        <v>0</v>
      </c>
      <c r="D72" s="1099">
        <f t="shared" si="49"/>
        <v>0</v>
      </c>
      <c r="E72" s="1099">
        <f t="shared" si="49"/>
        <v>0</v>
      </c>
      <c r="F72" s="1099">
        <f t="shared" si="49"/>
        <v>0</v>
      </c>
      <c r="G72" s="1099">
        <f t="shared" si="49"/>
        <v>0</v>
      </c>
      <c r="H72" s="1099">
        <f t="shared" si="49"/>
        <v>0</v>
      </c>
      <c r="I72" s="1099">
        <f t="shared" si="49"/>
        <v>0</v>
      </c>
      <c r="J72" s="1099">
        <f t="shared" si="49"/>
        <v>0</v>
      </c>
      <c r="K72" s="1099">
        <f t="shared" si="49"/>
        <v>0</v>
      </c>
      <c r="L72" s="1099">
        <f t="shared" si="49"/>
        <v>0</v>
      </c>
      <c r="M72" s="1099">
        <f t="shared" si="49"/>
        <v>0</v>
      </c>
      <c r="N72" s="1099">
        <f t="shared" si="49"/>
        <v>0</v>
      </c>
      <c r="O72" s="1099">
        <f t="shared" si="50"/>
        <v>0</v>
      </c>
    </row>
    <row r="73" spans="1:15" ht="12.75" hidden="1" customHeight="1" x14ac:dyDescent="0.25">
      <c r="A73" s="1098" t="str">
        <f t="shared" si="51"/>
        <v>Promotor 6</v>
      </c>
      <c r="B73" s="1098"/>
      <c r="C73" s="1099">
        <f t="shared" si="49"/>
        <v>0</v>
      </c>
      <c r="D73" s="1099">
        <f t="shared" si="49"/>
        <v>0</v>
      </c>
      <c r="E73" s="1099">
        <f t="shared" si="49"/>
        <v>0</v>
      </c>
      <c r="F73" s="1099">
        <f t="shared" si="49"/>
        <v>0</v>
      </c>
      <c r="G73" s="1099">
        <f t="shared" si="49"/>
        <v>0</v>
      </c>
      <c r="H73" s="1099">
        <f t="shared" si="49"/>
        <v>0</v>
      </c>
      <c r="I73" s="1099">
        <f t="shared" si="49"/>
        <v>0</v>
      </c>
      <c r="J73" s="1099">
        <f t="shared" si="49"/>
        <v>0</v>
      </c>
      <c r="K73" s="1099">
        <f t="shared" si="49"/>
        <v>0</v>
      </c>
      <c r="L73" s="1099">
        <f t="shared" si="49"/>
        <v>0</v>
      </c>
      <c r="M73" s="1099">
        <f t="shared" si="49"/>
        <v>0</v>
      </c>
      <c r="N73" s="1099">
        <f t="shared" si="49"/>
        <v>0</v>
      </c>
      <c r="O73" s="1099">
        <f t="shared" si="50"/>
        <v>0</v>
      </c>
    </row>
    <row r="74" spans="1:15" ht="12.75" hidden="1" customHeight="1" x14ac:dyDescent="0.25">
      <c r="A74" s="1098" t="str">
        <f t="shared" si="51"/>
        <v>Promotor 7</v>
      </c>
      <c r="B74" s="1098"/>
      <c r="C74" s="1099">
        <f t="shared" si="49"/>
        <v>0</v>
      </c>
      <c r="D74" s="1099">
        <f t="shared" si="49"/>
        <v>0</v>
      </c>
      <c r="E74" s="1099">
        <f t="shared" si="49"/>
        <v>0</v>
      </c>
      <c r="F74" s="1099">
        <f t="shared" si="49"/>
        <v>0</v>
      </c>
      <c r="G74" s="1099">
        <f t="shared" si="49"/>
        <v>0</v>
      </c>
      <c r="H74" s="1099">
        <f t="shared" si="49"/>
        <v>0</v>
      </c>
      <c r="I74" s="1099">
        <f t="shared" si="49"/>
        <v>0</v>
      </c>
      <c r="J74" s="1099">
        <f t="shared" si="49"/>
        <v>0</v>
      </c>
      <c r="K74" s="1099">
        <f t="shared" si="49"/>
        <v>0</v>
      </c>
      <c r="L74" s="1099">
        <f t="shared" si="49"/>
        <v>0</v>
      </c>
      <c r="M74" s="1099">
        <f t="shared" si="49"/>
        <v>0</v>
      </c>
      <c r="N74" s="1099">
        <f t="shared" si="49"/>
        <v>0</v>
      </c>
      <c r="O74" s="1099">
        <f t="shared" si="50"/>
        <v>0</v>
      </c>
    </row>
    <row r="75" spans="1:15" ht="12.75" hidden="1" customHeight="1" x14ac:dyDescent="0.25">
      <c r="A75" s="1098" t="str">
        <f t="shared" si="51"/>
        <v>Promotor 8</v>
      </c>
      <c r="B75" s="1098"/>
      <c r="C75" s="1099">
        <f t="shared" si="49"/>
        <v>0</v>
      </c>
      <c r="D75" s="1099">
        <f t="shared" si="49"/>
        <v>0</v>
      </c>
      <c r="E75" s="1099">
        <f t="shared" si="49"/>
        <v>0</v>
      </c>
      <c r="F75" s="1099">
        <f t="shared" si="49"/>
        <v>0</v>
      </c>
      <c r="G75" s="1099">
        <f t="shared" si="49"/>
        <v>0</v>
      </c>
      <c r="H75" s="1099">
        <f t="shared" si="49"/>
        <v>0</v>
      </c>
      <c r="I75" s="1099">
        <f t="shared" si="49"/>
        <v>0</v>
      </c>
      <c r="J75" s="1099">
        <f t="shared" si="49"/>
        <v>0</v>
      </c>
      <c r="K75" s="1099">
        <f t="shared" si="49"/>
        <v>0</v>
      </c>
      <c r="L75" s="1099">
        <f t="shared" si="49"/>
        <v>0</v>
      </c>
      <c r="M75" s="1099">
        <f t="shared" si="49"/>
        <v>0</v>
      </c>
      <c r="N75" s="1099">
        <f t="shared" si="49"/>
        <v>0</v>
      </c>
      <c r="O75" s="1099">
        <f t="shared" si="50"/>
        <v>0</v>
      </c>
    </row>
    <row r="76" spans="1:15" ht="12.75" hidden="1" customHeight="1" x14ac:dyDescent="0.25">
      <c r="A76" s="1098" t="str">
        <f t="shared" si="51"/>
        <v>Promotor 9</v>
      </c>
      <c r="B76" s="1098"/>
      <c r="C76" s="1099">
        <f t="shared" si="49"/>
        <v>0</v>
      </c>
      <c r="D76" s="1099">
        <f t="shared" si="49"/>
        <v>0</v>
      </c>
      <c r="E76" s="1099">
        <f t="shared" si="49"/>
        <v>0</v>
      </c>
      <c r="F76" s="1099">
        <f t="shared" si="49"/>
        <v>0</v>
      </c>
      <c r="G76" s="1099">
        <f t="shared" si="49"/>
        <v>0</v>
      </c>
      <c r="H76" s="1099">
        <f t="shared" si="49"/>
        <v>0</v>
      </c>
      <c r="I76" s="1099">
        <f t="shared" si="49"/>
        <v>0</v>
      </c>
      <c r="J76" s="1099">
        <f t="shared" si="49"/>
        <v>0</v>
      </c>
      <c r="K76" s="1099">
        <f t="shared" si="49"/>
        <v>0</v>
      </c>
      <c r="L76" s="1099">
        <f t="shared" si="49"/>
        <v>0</v>
      </c>
      <c r="M76" s="1099">
        <f t="shared" si="49"/>
        <v>0</v>
      </c>
      <c r="N76" s="1099">
        <f t="shared" si="49"/>
        <v>0</v>
      </c>
      <c r="O76" s="1099">
        <f t="shared" si="50"/>
        <v>0</v>
      </c>
    </row>
    <row r="77" spans="1:15" ht="12.75" hidden="1" customHeight="1" x14ac:dyDescent="0.25">
      <c r="A77" s="1098" t="str">
        <f t="shared" si="51"/>
        <v>Promotor 10</v>
      </c>
      <c r="B77" s="1098"/>
      <c r="C77" s="1099">
        <f t="shared" si="49"/>
        <v>0</v>
      </c>
      <c r="D77" s="1099">
        <f t="shared" si="49"/>
        <v>0</v>
      </c>
      <c r="E77" s="1099">
        <f t="shared" si="49"/>
        <v>0</v>
      </c>
      <c r="F77" s="1099">
        <f t="shared" si="49"/>
        <v>0</v>
      </c>
      <c r="G77" s="1099">
        <f t="shared" si="49"/>
        <v>0</v>
      </c>
      <c r="H77" s="1099">
        <f t="shared" si="49"/>
        <v>0</v>
      </c>
      <c r="I77" s="1099">
        <f t="shared" si="49"/>
        <v>0</v>
      </c>
      <c r="J77" s="1099">
        <f t="shared" si="49"/>
        <v>0</v>
      </c>
      <c r="K77" s="1099">
        <f t="shared" si="49"/>
        <v>0</v>
      </c>
      <c r="L77" s="1099">
        <f t="shared" si="49"/>
        <v>0</v>
      </c>
      <c r="M77" s="1099">
        <f t="shared" si="49"/>
        <v>0</v>
      </c>
      <c r="N77" s="1099">
        <f t="shared" si="49"/>
        <v>0</v>
      </c>
      <c r="O77" s="1099">
        <f t="shared" si="50"/>
        <v>0</v>
      </c>
    </row>
    <row r="78" spans="1:15" s="7" customFormat="1" ht="13" x14ac:dyDescent="0.3">
      <c r="A78" s="1883" t="s">
        <v>367</v>
      </c>
      <c r="B78" s="1883"/>
      <c r="C78" s="15">
        <f t="shared" ref="C78:N78" si="52">SUM(C79:C88)+C33</f>
        <v>0</v>
      </c>
      <c r="D78" s="15">
        <f t="shared" si="52"/>
        <v>0</v>
      </c>
      <c r="E78" s="15">
        <f t="shared" si="52"/>
        <v>0</v>
      </c>
      <c r="F78" s="15">
        <f t="shared" si="52"/>
        <v>0</v>
      </c>
      <c r="G78" s="15">
        <f t="shared" si="52"/>
        <v>0</v>
      </c>
      <c r="H78" s="15">
        <f t="shared" si="52"/>
        <v>0</v>
      </c>
      <c r="I78" s="15">
        <f t="shared" si="52"/>
        <v>0</v>
      </c>
      <c r="J78" s="15">
        <f t="shared" si="52"/>
        <v>0</v>
      </c>
      <c r="K78" s="15">
        <f t="shared" si="52"/>
        <v>0</v>
      </c>
      <c r="L78" s="15">
        <f t="shared" si="52"/>
        <v>0</v>
      </c>
      <c r="M78" s="15">
        <f t="shared" si="52"/>
        <v>0</v>
      </c>
      <c r="N78" s="15">
        <f t="shared" si="52"/>
        <v>0</v>
      </c>
      <c r="O78" s="15">
        <f>SUM(C78:N78)</f>
        <v>0</v>
      </c>
    </row>
    <row r="79" spans="1:15" s="1092" customFormat="1" ht="12.75" hidden="1" customHeight="1" x14ac:dyDescent="0.25">
      <c r="A79" s="1100" t="str">
        <f>A23</f>
        <v>Promotor 1</v>
      </c>
      <c r="B79" s="1100"/>
      <c r="C79" s="1101">
        <f>IF($C5=C$20,C68,0)</f>
        <v>0</v>
      </c>
      <c r="D79" s="1101">
        <f t="shared" ref="D79:N79" si="53">IF(AND($C5=D$20,C79=0),D68,0)+IF(C79=0,0,D68)</f>
        <v>0</v>
      </c>
      <c r="E79" s="1101">
        <f t="shared" si="53"/>
        <v>0</v>
      </c>
      <c r="F79" s="1101">
        <f t="shared" si="53"/>
        <v>0</v>
      </c>
      <c r="G79" s="1101">
        <f t="shared" si="53"/>
        <v>0</v>
      </c>
      <c r="H79" s="1101">
        <f t="shared" si="53"/>
        <v>0</v>
      </c>
      <c r="I79" s="1101">
        <f t="shared" si="53"/>
        <v>0</v>
      </c>
      <c r="J79" s="1101">
        <f t="shared" si="53"/>
        <v>0</v>
      </c>
      <c r="K79" s="1101">
        <f t="shared" si="53"/>
        <v>0</v>
      </c>
      <c r="L79" s="1101">
        <f t="shared" si="53"/>
        <v>0</v>
      </c>
      <c r="M79" s="1101">
        <f t="shared" si="53"/>
        <v>0</v>
      </c>
      <c r="N79" s="1101">
        <f t="shared" si="53"/>
        <v>0</v>
      </c>
      <c r="O79" s="1101">
        <f t="shared" ref="O79:O88" si="54">SUM(C79:N79)</f>
        <v>0</v>
      </c>
    </row>
    <row r="80" spans="1:15" s="1092" customFormat="1" ht="12.75" hidden="1" customHeight="1" x14ac:dyDescent="0.25">
      <c r="A80" s="1100" t="str">
        <f t="shared" ref="A80:A88" si="55">A24</f>
        <v>Promotor 2</v>
      </c>
      <c r="B80" s="1100"/>
      <c r="C80" s="1101">
        <f>IF($D5=C$20,C69,0)</f>
        <v>0</v>
      </c>
      <c r="D80" s="1101">
        <f t="shared" ref="D80:N80" si="56">IF(AND($D5=D$20,C80=0),D69,0)+IF(C80=0,0,D69)</f>
        <v>0</v>
      </c>
      <c r="E80" s="1101">
        <f t="shared" si="56"/>
        <v>0</v>
      </c>
      <c r="F80" s="1101">
        <f t="shared" si="56"/>
        <v>0</v>
      </c>
      <c r="G80" s="1101">
        <f t="shared" si="56"/>
        <v>0</v>
      </c>
      <c r="H80" s="1101">
        <f t="shared" si="56"/>
        <v>0</v>
      </c>
      <c r="I80" s="1101">
        <f t="shared" si="56"/>
        <v>0</v>
      </c>
      <c r="J80" s="1101">
        <f t="shared" si="56"/>
        <v>0</v>
      </c>
      <c r="K80" s="1101">
        <f t="shared" si="56"/>
        <v>0</v>
      </c>
      <c r="L80" s="1101">
        <f t="shared" si="56"/>
        <v>0</v>
      </c>
      <c r="M80" s="1101">
        <f t="shared" si="56"/>
        <v>0</v>
      </c>
      <c r="N80" s="1101">
        <f t="shared" si="56"/>
        <v>0</v>
      </c>
      <c r="O80" s="1101">
        <f t="shared" si="54"/>
        <v>0</v>
      </c>
    </row>
    <row r="81" spans="1:15" s="1092" customFormat="1" ht="12.75" hidden="1" customHeight="1" x14ac:dyDescent="0.25">
      <c r="A81" s="1100" t="str">
        <f t="shared" si="55"/>
        <v>Promotor 3</v>
      </c>
      <c r="B81" s="1100"/>
      <c r="C81" s="1101">
        <f>IF($E5=C$20,C70,0)</f>
        <v>0</v>
      </c>
      <c r="D81" s="1101">
        <f t="shared" ref="D81:N81" si="57">IF(AND($E5=D$20,C81=0),D70,0)+IF(C81=0,0,D70)</f>
        <v>0</v>
      </c>
      <c r="E81" s="1101">
        <f t="shared" si="57"/>
        <v>0</v>
      </c>
      <c r="F81" s="1101">
        <f t="shared" si="57"/>
        <v>0</v>
      </c>
      <c r="G81" s="1101">
        <f t="shared" si="57"/>
        <v>0</v>
      </c>
      <c r="H81" s="1101">
        <f t="shared" si="57"/>
        <v>0</v>
      </c>
      <c r="I81" s="1101">
        <f t="shared" si="57"/>
        <v>0</v>
      </c>
      <c r="J81" s="1101">
        <f t="shared" si="57"/>
        <v>0</v>
      </c>
      <c r="K81" s="1101">
        <f t="shared" si="57"/>
        <v>0</v>
      </c>
      <c r="L81" s="1101">
        <f t="shared" si="57"/>
        <v>0</v>
      </c>
      <c r="M81" s="1101">
        <f t="shared" si="57"/>
        <v>0</v>
      </c>
      <c r="N81" s="1101">
        <f t="shared" si="57"/>
        <v>0</v>
      </c>
      <c r="O81" s="1101">
        <f t="shared" si="54"/>
        <v>0</v>
      </c>
    </row>
    <row r="82" spans="1:15" s="1092" customFormat="1" ht="12.75" hidden="1" customHeight="1" x14ac:dyDescent="0.25">
      <c r="A82" s="1100" t="str">
        <f t="shared" si="55"/>
        <v>Promotor 4</v>
      </c>
      <c r="B82" s="1100"/>
      <c r="C82" s="1101">
        <f>IF($F5=C$20,C71,0)</f>
        <v>0</v>
      </c>
      <c r="D82" s="1101">
        <f t="shared" ref="D82:N82" si="58">IF(AND($F5=D$20,C82=0),D71,0)+IF(C82=0,0,D71)</f>
        <v>0</v>
      </c>
      <c r="E82" s="1101">
        <f t="shared" si="58"/>
        <v>0</v>
      </c>
      <c r="F82" s="1101">
        <f t="shared" si="58"/>
        <v>0</v>
      </c>
      <c r="G82" s="1101">
        <f t="shared" si="58"/>
        <v>0</v>
      </c>
      <c r="H82" s="1101">
        <f t="shared" si="58"/>
        <v>0</v>
      </c>
      <c r="I82" s="1101">
        <f t="shared" si="58"/>
        <v>0</v>
      </c>
      <c r="J82" s="1101">
        <f t="shared" si="58"/>
        <v>0</v>
      </c>
      <c r="K82" s="1101">
        <f t="shared" si="58"/>
        <v>0</v>
      </c>
      <c r="L82" s="1101">
        <f t="shared" si="58"/>
        <v>0</v>
      </c>
      <c r="M82" s="1101">
        <f t="shared" si="58"/>
        <v>0</v>
      </c>
      <c r="N82" s="1101">
        <f t="shared" si="58"/>
        <v>0</v>
      </c>
      <c r="O82" s="1101">
        <f t="shared" si="54"/>
        <v>0</v>
      </c>
    </row>
    <row r="83" spans="1:15" s="1092" customFormat="1" ht="12.75" hidden="1" customHeight="1" x14ac:dyDescent="0.25">
      <c r="A83" s="1100" t="str">
        <f t="shared" si="55"/>
        <v>Promotor 5</v>
      </c>
      <c r="B83" s="1100"/>
      <c r="C83" s="1101">
        <f>IF($G5=C$20,C72,0)</f>
        <v>0</v>
      </c>
      <c r="D83" s="1101">
        <f t="shared" ref="D83:N83" si="59">IF(AND($G5=D$20,C83=0),D72,0)+IF(C83=0,0,D72)</f>
        <v>0</v>
      </c>
      <c r="E83" s="1101">
        <f t="shared" si="59"/>
        <v>0</v>
      </c>
      <c r="F83" s="1101">
        <f t="shared" si="59"/>
        <v>0</v>
      </c>
      <c r="G83" s="1101">
        <f t="shared" si="59"/>
        <v>0</v>
      </c>
      <c r="H83" s="1101">
        <f t="shared" si="59"/>
        <v>0</v>
      </c>
      <c r="I83" s="1101">
        <f t="shared" si="59"/>
        <v>0</v>
      </c>
      <c r="J83" s="1101">
        <f t="shared" si="59"/>
        <v>0</v>
      </c>
      <c r="K83" s="1101">
        <f t="shared" si="59"/>
        <v>0</v>
      </c>
      <c r="L83" s="1101">
        <f t="shared" si="59"/>
        <v>0</v>
      </c>
      <c r="M83" s="1101">
        <f t="shared" si="59"/>
        <v>0</v>
      </c>
      <c r="N83" s="1101">
        <f t="shared" si="59"/>
        <v>0</v>
      </c>
      <c r="O83" s="1101">
        <f t="shared" si="54"/>
        <v>0</v>
      </c>
    </row>
    <row r="84" spans="1:15" s="1092" customFormat="1" ht="12.75" hidden="1" customHeight="1" x14ac:dyDescent="0.25">
      <c r="A84" s="1100" t="str">
        <f t="shared" si="55"/>
        <v>Promotor 6</v>
      </c>
      <c r="B84" s="1100"/>
      <c r="C84" s="1101">
        <f>IF($H5=C$20,C73,0)</f>
        <v>0</v>
      </c>
      <c r="D84" s="1101">
        <f t="shared" ref="D84:N84" si="60">IF(AND($H5=D$20,C84=0),D73,0)+IF(C84=0,0,D73)</f>
        <v>0</v>
      </c>
      <c r="E84" s="1101">
        <f t="shared" si="60"/>
        <v>0</v>
      </c>
      <c r="F84" s="1101">
        <f t="shared" si="60"/>
        <v>0</v>
      </c>
      <c r="G84" s="1101">
        <f t="shared" si="60"/>
        <v>0</v>
      </c>
      <c r="H84" s="1101">
        <f t="shared" si="60"/>
        <v>0</v>
      </c>
      <c r="I84" s="1101">
        <f t="shared" si="60"/>
        <v>0</v>
      </c>
      <c r="J84" s="1101">
        <f t="shared" si="60"/>
        <v>0</v>
      </c>
      <c r="K84" s="1101">
        <f t="shared" si="60"/>
        <v>0</v>
      </c>
      <c r="L84" s="1101">
        <f t="shared" si="60"/>
        <v>0</v>
      </c>
      <c r="M84" s="1101">
        <f t="shared" si="60"/>
        <v>0</v>
      </c>
      <c r="N84" s="1101">
        <f t="shared" si="60"/>
        <v>0</v>
      </c>
      <c r="O84" s="1101">
        <f t="shared" si="54"/>
        <v>0</v>
      </c>
    </row>
    <row r="85" spans="1:15" s="1092" customFormat="1" ht="12.75" hidden="1" customHeight="1" x14ac:dyDescent="0.25">
      <c r="A85" s="1100" t="str">
        <f t="shared" si="55"/>
        <v>Promotor 7</v>
      </c>
      <c r="B85" s="1100"/>
      <c r="C85" s="1101">
        <f>IF($I5=C$20,C74,0)</f>
        <v>0</v>
      </c>
      <c r="D85" s="1101">
        <f t="shared" ref="D85:N85" si="61">IF(AND($I5=D$20,C85=0),D74,0)+IF(C85=0,0,D74)</f>
        <v>0</v>
      </c>
      <c r="E85" s="1101">
        <f t="shared" si="61"/>
        <v>0</v>
      </c>
      <c r="F85" s="1101">
        <f t="shared" si="61"/>
        <v>0</v>
      </c>
      <c r="G85" s="1101">
        <f t="shared" si="61"/>
        <v>0</v>
      </c>
      <c r="H85" s="1101">
        <f t="shared" si="61"/>
        <v>0</v>
      </c>
      <c r="I85" s="1101">
        <f t="shared" si="61"/>
        <v>0</v>
      </c>
      <c r="J85" s="1101">
        <f t="shared" si="61"/>
        <v>0</v>
      </c>
      <c r="K85" s="1101">
        <f t="shared" si="61"/>
        <v>0</v>
      </c>
      <c r="L85" s="1101">
        <f t="shared" si="61"/>
        <v>0</v>
      </c>
      <c r="M85" s="1101">
        <f t="shared" si="61"/>
        <v>0</v>
      </c>
      <c r="N85" s="1101">
        <f t="shared" si="61"/>
        <v>0</v>
      </c>
      <c r="O85" s="1101">
        <f t="shared" si="54"/>
        <v>0</v>
      </c>
    </row>
    <row r="86" spans="1:15" s="1092" customFormat="1" ht="12.75" hidden="1" customHeight="1" x14ac:dyDescent="0.25">
      <c r="A86" s="1100" t="str">
        <f t="shared" si="55"/>
        <v>Promotor 8</v>
      </c>
      <c r="B86" s="1100"/>
      <c r="C86" s="1101">
        <f>IF($J5=C$20,C75,0)</f>
        <v>0</v>
      </c>
      <c r="D86" s="1101">
        <f t="shared" ref="D86:N86" si="62">IF(AND($J5=D$20,C86=0),D75,0)+IF(C86=0,0,D75)</f>
        <v>0</v>
      </c>
      <c r="E86" s="1101">
        <f t="shared" si="62"/>
        <v>0</v>
      </c>
      <c r="F86" s="1101">
        <f t="shared" si="62"/>
        <v>0</v>
      </c>
      <c r="G86" s="1101">
        <f t="shared" si="62"/>
        <v>0</v>
      </c>
      <c r="H86" s="1101">
        <f t="shared" si="62"/>
        <v>0</v>
      </c>
      <c r="I86" s="1101">
        <f t="shared" si="62"/>
        <v>0</v>
      </c>
      <c r="J86" s="1101">
        <f t="shared" si="62"/>
        <v>0</v>
      </c>
      <c r="K86" s="1101">
        <f t="shared" si="62"/>
        <v>0</v>
      </c>
      <c r="L86" s="1101">
        <f t="shared" si="62"/>
        <v>0</v>
      </c>
      <c r="M86" s="1101">
        <f t="shared" si="62"/>
        <v>0</v>
      </c>
      <c r="N86" s="1101">
        <f t="shared" si="62"/>
        <v>0</v>
      </c>
      <c r="O86" s="1101">
        <f t="shared" si="54"/>
        <v>0</v>
      </c>
    </row>
    <row r="87" spans="1:15" s="1092" customFormat="1" ht="12.75" hidden="1" customHeight="1" x14ac:dyDescent="0.25">
      <c r="A87" s="1100" t="str">
        <f t="shared" si="55"/>
        <v>Promotor 9</v>
      </c>
      <c r="B87" s="1100"/>
      <c r="C87" s="1101">
        <f>IF($K5=C$20,C76,0)</f>
        <v>0</v>
      </c>
      <c r="D87" s="1101">
        <f t="shared" ref="D87:N87" si="63">IF(AND($K5=D$20,C87=0),D76,0)+IF(C87=0,0,D76)</f>
        <v>0</v>
      </c>
      <c r="E87" s="1101">
        <f t="shared" si="63"/>
        <v>0</v>
      </c>
      <c r="F87" s="1101">
        <f t="shared" si="63"/>
        <v>0</v>
      </c>
      <c r="G87" s="1101">
        <f t="shared" si="63"/>
        <v>0</v>
      </c>
      <c r="H87" s="1101">
        <f t="shared" si="63"/>
        <v>0</v>
      </c>
      <c r="I87" s="1101">
        <f t="shared" si="63"/>
        <v>0</v>
      </c>
      <c r="J87" s="1101">
        <f t="shared" si="63"/>
        <v>0</v>
      </c>
      <c r="K87" s="1101">
        <f t="shared" si="63"/>
        <v>0</v>
      </c>
      <c r="L87" s="1101">
        <f t="shared" si="63"/>
        <v>0</v>
      </c>
      <c r="M87" s="1101">
        <f t="shared" si="63"/>
        <v>0</v>
      </c>
      <c r="N87" s="1101">
        <f t="shared" si="63"/>
        <v>0</v>
      </c>
      <c r="O87" s="1101">
        <f t="shared" si="54"/>
        <v>0</v>
      </c>
    </row>
    <row r="88" spans="1:15" s="1092" customFormat="1" ht="12.75" hidden="1" customHeight="1" x14ac:dyDescent="0.25">
      <c r="A88" s="1100" t="str">
        <f t="shared" si="55"/>
        <v>Promotor 10</v>
      </c>
      <c r="B88" s="1100"/>
      <c r="C88" s="1101">
        <f>IF($L5=C$20,C77,0)</f>
        <v>0</v>
      </c>
      <c r="D88" s="1101">
        <f t="shared" ref="D88:N88" si="64">IF(AND($L5=D$20,C88=0),D77,0)+IF(C88=0,0,D77)</f>
        <v>0</v>
      </c>
      <c r="E88" s="1101">
        <f t="shared" si="64"/>
        <v>0</v>
      </c>
      <c r="F88" s="1101">
        <f t="shared" si="64"/>
        <v>0</v>
      </c>
      <c r="G88" s="1101">
        <f t="shared" si="64"/>
        <v>0</v>
      </c>
      <c r="H88" s="1101">
        <f t="shared" si="64"/>
        <v>0</v>
      </c>
      <c r="I88" s="1101">
        <f t="shared" si="64"/>
        <v>0</v>
      </c>
      <c r="J88" s="1101">
        <f t="shared" si="64"/>
        <v>0</v>
      </c>
      <c r="K88" s="1101">
        <f t="shared" si="64"/>
        <v>0</v>
      </c>
      <c r="L88" s="1101">
        <f t="shared" si="64"/>
        <v>0</v>
      </c>
      <c r="M88" s="1101">
        <f t="shared" si="64"/>
        <v>0</v>
      </c>
      <c r="N88" s="1101">
        <f t="shared" si="64"/>
        <v>0</v>
      </c>
      <c r="O88" s="1101">
        <f t="shared" si="54"/>
        <v>0</v>
      </c>
    </row>
    <row r="89" spans="1:15" s="18" customFormat="1" ht="13" x14ac:dyDescent="0.3">
      <c r="A89" s="1885" t="s">
        <v>368</v>
      </c>
      <c r="B89" s="1885"/>
      <c r="C89" s="1026">
        <f>SUM(C90:C99)</f>
        <v>0</v>
      </c>
      <c r="D89" s="1026">
        <f t="shared" ref="D89:O89" si="65">SUM(D90:D99)</f>
        <v>0</v>
      </c>
      <c r="E89" s="1026">
        <f t="shared" si="65"/>
        <v>0</v>
      </c>
      <c r="F89" s="1026">
        <f t="shared" si="65"/>
        <v>0</v>
      </c>
      <c r="G89" s="1026">
        <f t="shared" si="65"/>
        <v>0</v>
      </c>
      <c r="H89" s="1026">
        <f t="shared" si="65"/>
        <v>0</v>
      </c>
      <c r="I89" s="1026">
        <f t="shared" si="65"/>
        <v>0</v>
      </c>
      <c r="J89" s="1026">
        <f t="shared" si="65"/>
        <v>0</v>
      </c>
      <c r="K89" s="1026">
        <f t="shared" si="65"/>
        <v>0</v>
      </c>
      <c r="L89" s="1026">
        <f t="shared" si="65"/>
        <v>0</v>
      </c>
      <c r="M89" s="1026">
        <f t="shared" si="65"/>
        <v>0</v>
      </c>
      <c r="N89" s="1026">
        <f t="shared" si="65"/>
        <v>0</v>
      </c>
      <c r="O89" s="1026">
        <f t="shared" si="65"/>
        <v>0</v>
      </c>
    </row>
    <row r="90" spans="1:15" s="1108" customFormat="1" ht="10.5" hidden="1" x14ac:dyDescent="0.25">
      <c r="A90" s="1102" t="str">
        <f>A79</f>
        <v>Promotor 1</v>
      </c>
      <c r="B90" s="1103"/>
      <c r="C90" s="1104">
        <f>C68-C79</f>
        <v>0</v>
      </c>
      <c r="D90" s="1105">
        <f t="shared" ref="D90:N90" si="66">D68-D79</f>
        <v>0</v>
      </c>
      <c r="E90" s="1105">
        <f t="shared" si="66"/>
        <v>0</v>
      </c>
      <c r="F90" s="1105">
        <f t="shared" si="66"/>
        <v>0</v>
      </c>
      <c r="G90" s="1105">
        <f t="shared" si="66"/>
        <v>0</v>
      </c>
      <c r="H90" s="1105">
        <f t="shared" si="66"/>
        <v>0</v>
      </c>
      <c r="I90" s="1105">
        <f t="shared" si="66"/>
        <v>0</v>
      </c>
      <c r="J90" s="1105">
        <f t="shared" si="66"/>
        <v>0</v>
      </c>
      <c r="K90" s="1105">
        <f t="shared" si="66"/>
        <v>0</v>
      </c>
      <c r="L90" s="1105">
        <f t="shared" si="66"/>
        <v>0</v>
      </c>
      <c r="M90" s="1105">
        <f t="shared" si="66"/>
        <v>0</v>
      </c>
      <c r="N90" s="1106">
        <f t="shared" si="66"/>
        <v>0</v>
      </c>
      <c r="O90" s="1107">
        <f>SUM(C90:N90)</f>
        <v>0</v>
      </c>
    </row>
    <row r="91" spans="1:15" s="1108" customFormat="1" ht="10.5" hidden="1" x14ac:dyDescent="0.25">
      <c r="A91" s="1102" t="str">
        <f t="shared" ref="A91:A99" si="67">A80</f>
        <v>Promotor 2</v>
      </c>
      <c r="B91" s="1103"/>
      <c r="C91" s="1104">
        <f t="shared" ref="C91:N99" si="68">C69-C80</f>
        <v>0</v>
      </c>
      <c r="D91" s="1105">
        <f t="shared" si="68"/>
        <v>0</v>
      </c>
      <c r="E91" s="1105">
        <f t="shared" si="68"/>
        <v>0</v>
      </c>
      <c r="F91" s="1105">
        <f t="shared" si="68"/>
        <v>0</v>
      </c>
      <c r="G91" s="1105">
        <f t="shared" si="68"/>
        <v>0</v>
      </c>
      <c r="H91" s="1105">
        <f t="shared" si="68"/>
        <v>0</v>
      </c>
      <c r="I91" s="1105">
        <f t="shared" si="68"/>
        <v>0</v>
      </c>
      <c r="J91" s="1105">
        <f t="shared" si="68"/>
        <v>0</v>
      </c>
      <c r="K91" s="1105">
        <f t="shared" si="68"/>
        <v>0</v>
      </c>
      <c r="L91" s="1105">
        <f t="shared" si="68"/>
        <v>0</v>
      </c>
      <c r="M91" s="1105">
        <f t="shared" si="68"/>
        <v>0</v>
      </c>
      <c r="N91" s="1106">
        <f t="shared" si="68"/>
        <v>0</v>
      </c>
      <c r="O91" s="1107">
        <f t="shared" ref="O91:O99" si="69">SUM(C91:N91)</f>
        <v>0</v>
      </c>
    </row>
    <row r="92" spans="1:15" s="1108" customFormat="1" ht="10.5" hidden="1" x14ac:dyDescent="0.25">
      <c r="A92" s="1102" t="str">
        <f t="shared" si="67"/>
        <v>Promotor 3</v>
      </c>
      <c r="B92" s="1103"/>
      <c r="C92" s="1104">
        <f t="shared" si="68"/>
        <v>0</v>
      </c>
      <c r="D92" s="1105">
        <f t="shared" si="68"/>
        <v>0</v>
      </c>
      <c r="E92" s="1105">
        <f t="shared" si="68"/>
        <v>0</v>
      </c>
      <c r="F92" s="1105">
        <f t="shared" si="68"/>
        <v>0</v>
      </c>
      <c r="G92" s="1105">
        <f t="shared" si="68"/>
        <v>0</v>
      </c>
      <c r="H92" s="1105">
        <f t="shared" si="68"/>
        <v>0</v>
      </c>
      <c r="I92" s="1105">
        <f t="shared" si="68"/>
        <v>0</v>
      </c>
      <c r="J92" s="1105">
        <f t="shared" si="68"/>
        <v>0</v>
      </c>
      <c r="K92" s="1105">
        <f t="shared" si="68"/>
        <v>0</v>
      </c>
      <c r="L92" s="1105">
        <f t="shared" si="68"/>
        <v>0</v>
      </c>
      <c r="M92" s="1105">
        <f t="shared" si="68"/>
        <v>0</v>
      </c>
      <c r="N92" s="1106">
        <f t="shared" si="68"/>
        <v>0</v>
      </c>
      <c r="O92" s="1107">
        <f t="shared" si="69"/>
        <v>0</v>
      </c>
    </row>
    <row r="93" spans="1:15" s="1108" customFormat="1" ht="10.5" hidden="1" x14ac:dyDescent="0.25">
      <c r="A93" s="1102" t="str">
        <f t="shared" si="67"/>
        <v>Promotor 4</v>
      </c>
      <c r="B93" s="1103"/>
      <c r="C93" s="1104">
        <f t="shared" si="68"/>
        <v>0</v>
      </c>
      <c r="D93" s="1105">
        <f t="shared" si="68"/>
        <v>0</v>
      </c>
      <c r="E93" s="1105">
        <f t="shared" si="68"/>
        <v>0</v>
      </c>
      <c r="F93" s="1105">
        <f t="shared" si="68"/>
        <v>0</v>
      </c>
      <c r="G93" s="1105">
        <f t="shared" si="68"/>
        <v>0</v>
      </c>
      <c r="H93" s="1105">
        <f t="shared" si="68"/>
        <v>0</v>
      </c>
      <c r="I93" s="1105">
        <f t="shared" si="68"/>
        <v>0</v>
      </c>
      <c r="J93" s="1105">
        <f t="shared" si="68"/>
        <v>0</v>
      </c>
      <c r="K93" s="1105">
        <f t="shared" si="68"/>
        <v>0</v>
      </c>
      <c r="L93" s="1105">
        <f t="shared" si="68"/>
        <v>0</v>
      </c>
      <c r="M93" s="1105">
        <f t="shared" si="68"/>
        <v>0</v>
      </c>
      <c r="N93" s="1106">
        <f t="shared" si="68"/>
        <v>0</v>
      </c>
      <c r="O93" s="1107">
        <f t="shared" si="69"/>
        <v>0</v>
      </c>
    </row>
    <row r="94" spans="1:15" s="1108" customFormat="1" ht="10.5" hidden="1" x14ac:dyDescent="0.25">
      <c r="A94" s="1102" t="str">
        <f t="shared" si="67"/>
        <v>Promotor 5</v>
      </c>
      <c r="B94" s="1103"/>
      <c r="C94" s="1104">
        <f t="shared" si="68"/>
        <v>0</v>
      </c>
      <c r="D94" s="1105">
        <f t="shared" si="68"/>
        <v>0</v>
      </c>
      <c r="E94" s="1105">
        <f t="shared" si="68"/>
        <v>0</v>
      </c>
      <c r="F94" s="1105">
        <f t="shared" si="68"/>
        <v>0</v>
      </c>
      <c r="G94" s="1105">
        <f t="shared" si="68"/>
        <v>0</v>
      </c>
      <c r="H94" s="1105">
        <f t="shared" si="68"/>
        <v>0</v>
      </c>
      <c r="I94" s="1105">
        <f t="shared" si="68"/>
        <v>0</v>
      </c>
      <c r="J94" s="1105">
        <f t="shared" si="68"/>
        <v>0</v>
      </c>
      <c r="K94" s="1105">
        <f t="shared" si="68"/>
        <v>0</v>
      </c>
      <c r="L94" s="1105">
        <f t="shared" si="68"/>
        <v>0</v>
      </c>
      <c r="M94" s="1105">
        <f t="shared" si="68"/>
        <v>0</v>
      </c>
      <c r="N94" s="1106">
        <f t="shared" si="68"/>
        <v>0</v>
      </c>
      <c r="O94" s="1107">
        <f t="shared" si="69"/>
        <v>0</v>
      </c>
    </row>
    <row r="95" spans="1:15" s="1108" customFormat="1" ht="10.5" hidden="1" x14ac:dyDescent="0.25">
      <c r="A95" s="1102" t="str">
        <f t="shared" si="67"/>
        <v>Promotor 6</v>
      </c>
      <c r="B95" s="1103"/>
      <c r="C95" s="1104">
        <f t="shared" si="68"/>
        <v>0</v>
      </c>
      <c r="D95" s="1105">
        <f t="shared" si="68"/>
        <v>0</v>
      </c>
      <c r="E95" s="1105">
        <f t="shared" si="68"/>
        <v>0</v>
      </c>
      <c r="F95" s="1105">
        <f t="shared" si="68"/>
        <v>0</v>
      </c>
      <c r="G95" s="1105">
        <f t="shared" si="68"/>
        <v>0</v>
      </c>
      <c r="H95" s="1105">
        <f t="shared" si="68"/>
        <v>0</v>
      </c>
      <c r="I95" s="1105">
        <f t="shared" si="68"/>
        <v>0</v>
      </c>
      <c r="J95" s="1105">
        <f t="shared" si="68"/>
        <v>0</v>
      </c>
      <c r="K95" s="1105">
        <f t="shared" si="68"/>
        <v>0</v>
      </c>
      <c r="L95" s="1105">
        <f t="shared" si="68"/>
        <v>0</v>
      </c>
      <c r="M95" s="1105">
        <f t="shared" si="68"/>
        <v>0</v>
      </c>
      <c r="N95" s="1106">
        <f t="shared" si="68"/>
        <v>0</v>
      </c>
      <c r="O95" s="1107">
        <f t="shared" si="69"/>
        <v>0</v>
      </c>
    </row>
    <row r="96" spans="1:15" s="1108" customFormat="1" ht="10.5" hidden="1" x14ac:dyDescent="0.25">
      <c r="A96" s="1102" t="str">
        <f t="shared" si="67"/>
        <v>Promotor 7</v>
      </c>
      <c r="B96" s="1103"/>
      <c r="C96" s="1104">
        <f t="shared" si="68"/>
        <v>0</v>
      </c>
      <c r="D96" s="1105">
        <f t="shared" si="68"/>
        <v>0</v>
      </c>
      <c r="E96" s="1105">
        <f t="shared" si="68"/>
        <v>0</v>
      </c>
      <c r="F96" s="1105">
        <f t="shared" si="68"/>
        <v>0</v>
      </c>
      <c r="G96" s="1105">
        <f t="shared" si="68"/>
        <v>0</v>
      </c>
      <c r="H96" s="1105">
        <f t="shared" si="68"/>
        <v>0</v>
      </c>
      <c r="I96" s="1105">
        <f t="shared" si="68"/>
        <v>0</v>
      </c>
      <c r="J96" s="1105">
        <f t="shared" si="68"/>
        <v>0</v>
      </c>
      <c r="K96" s="1105">
        <f t="shared" si="68"/>
        <v>0</v>
      </c>
      <c r="L96" s="1105">
        <f t="shared" si="68"/>
        <v>0</v>
      </c>
      <c r="M96" s="1105">
        <f t="shared" si="68"/>
        <v>0</v>
      </c>
      <c r="N96" s="1106">
        <f t="shared" si="68"/>
        <v>0</v>
      </c>
      <c r="O96" s="1107">
        <f t="shared" si="69"/>
        <v>0</v>
      </c>
    </row>
    <row r="97" spans="1:15" s="1108" customFormat="1" ht="10.5" hidden="1" x14ac:dyDescent="0.25">
      <c r="A97" s="1102" t="str">
        <f t="shared" si="67"/>
        <v>Promotor 8</v>
      </c>
      <c r="B97" s="1103"/>
      <c r="C97" s="1104">
        <f t="shared" si="68"/>
        <v>0</v>
      </c>
      <c r="D97" s="1105">
        <f t="shared" si="68"/>
        <v>0</v>
      </c>
      <c r="E97" s="1105">
        <f t="shared" si="68"/>
        <v>0</v>
      </c>
      <c r="F97" s="1105">
        <f t="shared" si="68"/>
        <v>0</v>
      </c>
      <c r="G97" s="1105">
        <f t="shared" si="68"/>
        <v>0</v>
      </c>
      <c r="H97" s="1105">
        <f t="shared" si="68"/>
        <v>0</v>
      </c>
      <c r="I97" s="1105">
        <f t="shared" si="68"/>
        <v>0</v>
      </c>
      <c r="J97" s="1105">
        <f t="shared" si="68"/>
        <v>0</v>
      </c>
      <c r="K97" s="1105">
        <f t="shared" si="68"/>
        <v>0</v>
      </c>
      <c r="L97" s="1105">
        <f t="shared" si="68"/>
        <v>0</v>
      </c>
      <c r="M97" s="1105">
        <f t="shared" si="68"/>
        <v>0</v>
      </c>
      <c r="N97" s="1106">
        <f t="shared" si="68"/>
        <v>0</v>
      </c>
      <c r="O97" s="1107">
        <f t="shared" si="69"/>
        <v>0</v>
      </c>
    </row>
    <row r="98" spans="1:15" s="1108" customFormat="1" ht="10.5" hidden="1" x14ac:dyDescent="0.25">
      <c r="A98" s="1102" t="str">
        <f t="shared" si="67"/>
        <v>Promotor 9</v>
      </c>
      <c r="B98" s="1103"/>
      <c r="C98" s="1104">
        <f t="shared" si="68"/>
        <v>0</v>
      </c>
      <c r="D98" s="1105">
        <f t="shared" si="68"/>
        <v>0</v>
      </c>
      <c r="E98" s="1105">
        <f t="shared" si="68"/>
        <v>0</v>
      </c>
      <c r="F98" s="1105">
        <f t="shared" si="68"/>
        <v>0</v>
      </c>
      <c r="G98" s="1105">
        <f t="shared" si="68"/>
        <v>0</v>
      </c>
      <c r="H98" s="1105">
        <f t="shared" si="68"/>
        <v>0</v>
      </c>
      <c r="I98" s="1105">
        <f t="shared" si="68"/>
        <v>0</v>
      </c>
      <c r="J98" s="1105">
        <f t="shared" si="68"/>
        <v>0</v>
      </c>
      <c r="K98" s="1105">
        <f t="shared" si="68"/>
        <v>0</v>
      </c>
      <c r="L98" s="1105">
        <f t="shared" si="68"/>
        <v>0</v>
      </c>
      <c r="M98" s="1105">
        <f t="shared" si="68"/>
        <v>0</v>
      </c>
      <c r="N98" s="1106">
        <f t="shared" si="68"/>
        <v>0</v>
      </c>
      <c r="O98" s="1107">
        <f t="shared" si="69"/>
        <v>0</v>
      </c>
    </row>
    <row r="99" spans="1:15" s="1108" customFormat="1" ht="10.5" hidden="1" x14ac:dyDescent="0.25">
      <c r="A99" s="1109" t="str">
        <f t="shared" si="67"/>
        <v>Promotor 10</v>
      </c>
      <c r="B99" s="1110"/>
      <c r="C99" s="1111">
        <f t="shared" si="68"/>
        <v>0</v>
      </c>
      <c r="D99" s="1112">
        <f t="shared" si="68"/>
        <v>0</v>
      </c>
      <c r="E99" s="1112">
        <f t="shared" si="68"/>
        <v>0</v>
      </c>
      <c r="F99" s="1112">
        <f t="shared" si="68"/>
        <v>0</v>
      </c>
      <c r="G99" s="1112">
        <f t="shared" si="68"/>
        <v>0</v>
      </c>
      <c r="H99" s="1112">
        <f t="shared" si="68"/>
        <v>0</v>
      </c>
      <c r="I99" s="1112">
        <f t="shared" si="68"/>
        <v>0</v>
      </c>
      <c r="J99" s="1112">
        <f t="shared" si="68"/>
        <v>0</v>
      </c>
      <c r="K99" s="1112">
        <f t="shared" si="68"/>
        <v>0</v>
      </c>
      <c r="L99" s="1112">
        <f t="shared" si="68"/>
        <v>0</v>
      </c>
      <c r="M99" s="1112">
        <f t="shared" si="68"/>
        <v>0</v>
      </c>
      <c r="N99" s="1113">
        <f t="shared" si="68"/>
        <v>0</v>
      </c>
      <c r="O99" s="1114">
        <f t="shared" si="69"/>
        <v>0</v>
      </c>
    </row>
    <row r="100" spans="1:15" s="12" customFormat="1" x14ac:dyDescent="0.25"/>
    <row r="102" spans="1:15" ht="13" x14ac:dyDescent="0.3">
      <c r="A102" s="1873" t="s">
        <v>47</v>
      </c>
      <c r="B102" s="1873"/>
    </row>
    <row r="104" spans="1:15" ht="13" x14ac:dyDescent="0.3">
      <c r="A104" s="1874"/>
      <c r="B104" s="1874"/>
      <c r="C104" s="1065" t="s">
        <v>192</v>
      </c>
      <c r="D104" s="1065" t="s">
        <v>193</v>
      </c>
      <c r="E104" s="1065" t="s">
        <v>235</v>
      </c>
      <c r="F104" s="1065" t="s">
        <v>236</v>
      </c>
      <c r="G104" s="1065" t="s">
        <v>237</v>
      </c>
      <c r="H104" s="1065" t="s">
        <v>238</v>
      </c>
      <c r="I104" s="1065" t="s">
        <v>239</v>
      </c>
      <c r="J104" s="1065" t="s">
        <v>240</v>
      </c>
      <c r="K104" s="1065" t="s">
        <v>241</v>
      </c>
      <c r="L104" s="1065" t="s">
        <v>242</v>
      </c>
      <c r="M104" s="877" t="s">
        <v>77</v>
      </c>
    </row>
    <row r="105" spans="1:15" ht="13" x14ac:dyDescent="0.3">
      <c r="A105" s="1875" t="s">
        <v>194</v>
      </c>
      <c r="B105" s="1875"/>
      <c r="C105" s="1066" t="str">
        <f>'Introducció dades'!C303</f>
        <v>GENER</v>
      </c>
      <c r="D105" s="1066" t="str">
        <f>'Introducció dades'!D303</f>
        <v>GENER</v>
      </c>
      <c r="E105" s="1066" t="str">
        <f>'Introducció dades'!E303</f>
        <v>GENER</v>
      </c>
      <c r="F105" s="1066" t="str">
        <f>'Introducció dades'!F303</f>
        <v>GENER</v>
      </c>
      <c r="G105" s="1066" t="str">
        <f>'Introducció dades'!G303</f>
        <v>GENER</v>
      </c>
      <c r="H105" s="1066" t="str">
        <f>'Introducció dades'!H303</f>
        <v>GENER</v>
      </c>
      <c r="I105" s="1066" t="str">
        <f>'Introducció dades'!I303</f>
        <v>GENER</v>
      </c>
      <c r="J105" s="1066" t="str">
        <f>'Introducció dades'!J303</f>
        <v>GENER</v>
      </c>
      <c r="K105" s="1066" t="str">
        <f>'Introducció dades'!K303</f>
        <v>GENER</v>
      </c>
      <c r="L105" s="1066" t="str">
        <f>'Introducció dades'!L303</f>
        <v>GENER</v>
      </c>
      <c r="M105" s="28"/>
    </row>
    <row r="106" spans="1:15" ht="13" x14ac:dyDescent="0.3">
      <c r="A106" s="1875" t="s">
        <v>195</v>
      </c>
      <c r="B106" s="1875"/>
      <c r="C106" s="1066" t="str">
        <f>'Introducció dades'!C304</f>
        <v>GENER</v>
      </c>
      <c r="D106" s="1066" t="str">
        <f>'Introducció dades'!D304</f>
        <v>GENER</v>
      </c>
      <c r="E106" s="1066" t="str">
        <f>'Introducció dades'!E304</f>
        <v>GENER</v>
      </c>
      <c r="F106" s="1066" t="str">
        <f>'Introducció dades'!F304</f>
        <v>GENER</v>
      </c>
      <c r="G106" s="1066" t="str">
        <f>'Introducció dades'!G304</f>
        <v>GENER</v>
      </c>
      <c r="H106" s="1066" t="str">
        <f>'Introducció dades'!H304</f>
        <v>GENER</v>
      </c>
      <c r="I106" s="1066" t="str">
        <f>'Introducció dades'!I304</f>
        <v>GENER</v>
      </c>
      <c r="J106" s="1066" t="str">
        <f>'Introducció dades'!J304</f>
        <v>GENER</v>
      </c>
      <c r="K106" s="1066" t="str">
        <f>'Introducció dades'!K304</f>
        <v>GENER</v>
      </c>
      <c r="L106" s="1066" t="str">
        <f>'Introducció dades'!L304</f>
        <v>GENER</v>
      </c>
      <c r="M106" s="28"/>
    </row>
    <row r="107" spans="1:15" ht="12.75" hidden="1" customHeight="1" x14ac:dyDescent="0.3">
      <c r="A107" s="1067" t="s">
        <v>204</v>
      </c>
      <c r="B107" s="662"/>
      <c r="C107" s="1068">
        <f t="shared" ref="C107:L107" si="70">IF(C105=$C121,12)+IF(C105=$D121,11)+IF(C105=$E121,10)+IF(C105=$F121,9)+IF(C105=$G121,8)+IF(C105=$H121,7)+IF(C105=$I121,6)+IF(C105=$J121,5)+IF(C105=$K121,4)+IF(C105=$L121,3)+IF(C105=$M121,2)+IF(C105=$M121,1)</f>
        <v>12</v>
      </c>
      <c r="D107" s="1068">
        <f t="shared" si="70"/>
        <v>12</v>
      </c>
      <c r="E107" s="1068">
        <f t="shared" si="70"/>
        <v>12</v>
      </c>
      <c r="F107" s="1068">
        <f t="shared" si="70"/>
        <v>12</v>
      </c>
      <c r="G107" s="1068">
        <f t="shared" si="70"/>
        <v>12</v>
      </c>
      <c r="H107" s="1068">
        <f t="shared" si="70"/>
        <v>12</v>
      </c>
      <c r="I107" s="1068">
        <f t="shared" si="70"/>
        <v>12</v>
      </c>
      <c r="J107" s="1068">
        <f t="shared" si="70"/>
        <v>12</v>
      </c>
      <c r="K107" s="1068">
        <f t="shared" si="70"/>
        <v>12</v>
      </c>
      <c r="L107" s="1068">
        <f t="shared" si="70"/>
        <v>12</v>
      </c>
      <c r="M107" s="28"/>
    </row>
    <row r="108" spans="1:15" ht="12.75" hidden="1" customHeight="1" x14ac:dyDescent="0.3">
      <c r="A108" s="1067" t="s">
        <v>205</v>
      </c>
      <c r="B108" s="662"/>
      <c r="C108" s="1068">
        <f t="shared" ref="C108:L108" si="71">IF(C106=$C121,12)+IF(C106=$D121,11)+IF(C106=$E121,10)+IF(C106=$F121,9)+IF(C106=$G121,8)+IF(C106=$H121,7)+IF(C106=$I121,6)+IF(C106=$J121,5)+IF(C106=$K121,4)+IF(C106=$L121,3)+IF(C106=$M121,2)+IF(C106=$M121,1)</f>
        <v>12</v>
      </c>
      <c r="D108" s="1068">
        <f t="shared" si="71"/>
        <v>12</v>
      </c>
      <c r="E108" s="1068">
        <f t="shared" si="71"/>
        <v>12</v>
      </c>
      <c r="F108" s="1068">
        <f t="shared" si="71"/>
        <v>12</v>
      </c>
      <c r="G108" s="1068">
        <f t="shared" si="71"/>
        <v>12</v>
      </c>
      <c r="H108" s="1068">
        <f t="shared" si="71"/>
        <v>12</v>
      </c>
      <c r="I108" s="1068">
        <f t="shared" si="71"/>
        <v>12</v>
      </c>
      <c r="J108" s="1068">
        <f t="shared" si="71"/>
        <v>12</v>
      </c>
      <c r="K108" s="1068">
        <f t="shared" si="71"/>
        <v>12</v>
      </c>
      <c r="L108" s="1068">
        <f t="shared" si="71"/>
        <v>12</v>
      </c>
      <c r="M108" s="28"/>
    </row>
    <row r="109" spans="1:15" ht="13" x14ac:dyDescent="0.3">
      <c r="A109" s="1876" t="s">
        <v>211</v>
      </c>
      <c r="B109" s="1876"/>
      <c r="C109" s="1069"/>
      <c r="D109" s="1069"/>
      <c r="E109" s="1069"/>
      <c r="F109" s="1069"/>
      <c r="G109" s="1069"/>
      <c r="H109" s="1069"/>
      <c r="I109" s="1069"/>
      <c r="J109" s="1069"/>
      <c r="K109" s="1069"/>
      <c r="L109" s="1069"/>
      <c r="M109" s="1070"/>
    </row>
    <row r="110" spans="1:15" ht="13" x14ac:dyDescent="0.3">
      <c r="A110" s="1876" t="s">
        <v>197</v>
      </c>
      <c r="B110" s="1876"/>
      <c r="C110" s="1115">
        <f>'Introducció dades'!C308</f>
        <v>0</v>
      </c>
      <c r="D110" s="1115">
        <f>'Introducció dades'!D308</f>
        <v>0</v>
      </c>
      <c r="E110" s="1115">
        <f>'Introducció dades'!E308</f>
        <v>0</v>
      </c>
      <c r="F110" s="1115">
        <f>'Introducció dades'!F308</f>
        <v>0</v>
      </c>
      <c r="G110" s="1115">
        <f>'Introducció dades'!G308</f>
        <v>0</v>
      </c>
      <c r="H110" s="1115">
        <f>'Introducció dades'!H308</f>
        <v>0</v>
      </c>
      <c r="I110" s="1115">
        <f>'Introducció dades'!I308</f>
        <v>0</v>
      </c>
      <c r="J110" s="1115">
        <f>'Introducció dades'!J308</f>
        <v>0</v>
      </c>
      <c r="K110" s="1115">
        <f>'Introducció dades'!K308</f>
        <v>0</v>
      </c>
      <c r="L110" s="1115">
        <f>'Introducció dades'!L308</f>
        <v>0</v>
      </c>
      <c r="M110" s="1072"/>
    </row>
    <row r="111" spans="1:15" ht="12.75" customHeight="1" x14ac:dyDescent="0.25">
      <c r="A111" s="1876" t="s">
        <v>358</v>
      </c>
      <c r="B111" s="1876"/>
      <c r="C111" s="1073">
        <f t="shared" ref="C111:L111" si="72">C110*C107</f>
        <v>0</v>
      </c>
      <c r="D111" s="1073">
        <f t="shared" si="72"/>
        <v>0</v>
      </c>
      <c r="E111" s="1073">
        <f t="shared" si="72"/>
        <v>0</v>
      </c>
      <c r="F111" s="1073">
        <f t="shared" si="72"/>
        <v>0</v>
      </c>
      <c r="G111" s="1073">
        <f t="shared" si="72"/>
        <v>0</v>
      </c>
      <c r="H111" s="1073">
        <f t="shared" si="72"/>
        <v>0</v>
      </c>
      <c r="I111" s="1073">
        <f t="shared" si="72"/>
        <v>0</v>
      </c>
      <c r="J111" s="1073">
        <f t="shared" si="72"/>
        <v>0</v>
      </c>
      <c r="K111" s="1073">
        <f t="shared" si="72"/>
        <v>0</v>
      </c>
      <c r="L111" s="1073">
        <f t="shared" si="72"/>
        <v>0</v>
      </c>
      <c r="M111" s="1073">
        <f>SUM(C111:L111)</f>
        <v>0</v>
      </c>
    </row>
    <row r="112" spans="1:15" x14ac:dyDescent="0.25">
      <c r="A112" s="1877" t="s">
        <v>198</v>
      </c>
      <c r="B112" s="1877"/>
      <c r="C112" s="1116"/>
      <c r="D112" s="1116"/>
      <c r="E112" s="1116"/>
      <c r="F112" s="1116"/>
      <c r="G112" s="1116"/>
      <c r="H112" s="1116"/>
      <c r="I112" s="1116"/>
      <c r="J112" s="1116"/>
      <c r="K112" s="1116"/>
      <c r="L112" s="1116"/>
      <c r="M112" s="1116"/>
    </row>
    <row r="113" spans="1:15" x14ac:dyDescent="0.25">
      <c r="A113" s="1878" t="s">
        <v>199</v>
      </c>
      <c r="B113" s="1878"/>
      <c r="C113" s="1117">
        <f>'Introducció dades'!C310</f>
        <v>0</v>
      </c>
      <c r="D113" s="1117">
        <f>'Introducció dades'!D310</f>
        <v>0</v>
      </c>
      <c r="E113" s="1117">
        <f>'Introducció dades'!E310</f>
        <v>0</v>
      </c>
      <c r="F113" s="1117">
        <f>'Introducció dades'!F310</f>
        <v>0</v>
      </c>
      <c r="G113" s="1117">
        <f>'Introducció dades'!G310</f>
        <v>0</v>
      </c>
      <c r="H113" s="1117">
        <f>'Introducció dades'!H310</f>
        <v>0</v>
      </c>
      <c r="I113" s="1117">
        <f>'Introducció dades'!I310</f>
        <v>0</v>
      </c>
      <c r="J113" s="1117">
        <f>'Introducció dades'!J310</f>
        <v>0</v>
      </c>
      <c r="K113" s="1117">
        <f>'Introducció dades'!K310</f>
        <v>0</v>
      </c>
      <c r="L113" s="1117">
        <f>'Introducció dades'!L310</f>
        <v>0</v>
      </c>
      <c r="M113" s="1075">
        <f>SUM(C113:L113)</f>
        <v>0</v>
      </c>
    </row>
    <row r="114" spans="1:15" x14ac:dyDescent="0.25">
      <c r="A114" s="1878" t="s">
        <v>200</v>
      </c>
      <c r="B114" s="1878"/>
      <c r="C114" s="1117">
        <f>'Introducció dades'!C311</f>
        <v>0</v>
      </c>
      <c r="D114" s="1117">
        <f>'Introducció dades'!D311</f>
        <v>0</v>
      </c>
      <c r="E114" s="1117">
        <f>'Introducció dades'!E311</f>
        <v>0</v>
      </c>
      <c r="F114" s="1117">
        <f>'Introducció dades'!F311</f>
        <v>0</v>
      </c>
      <c r="G114" s="1117">
        <f>'Introducció dades'!G311</f>
        <v>0</v>
      </c>
      <c r="H114" s="1117">
        <f>'Introducció dades'!H311</f>
        <v>0</v>
      </c>
      <c r="I114" s="1117">
        <f>'Introducció dades'!I311</f>
        <v>0</v>
      </c>
      <c r="J114" s="1117">
        <f>'Introducció dades'!J311</f>
        <v>0</v>
      </c>
      <c r="K114" s="1117">
        <f>'Introducció dades'!K311</f>
        <v>0</v>
      </c>
      <c r="L114" s="1117">
        <f>'Introducció dades'!L311</f>
        <v>0</v>
      </c>
      <c r="M114" s="1075">
        <f>M115</f>
        <v>0</v>
      </c>
    </row>
    <row r="115" spans="1:15" ht="12.75" hidden="1" customHeight="1" x14ac:dyDescent="0.25">
      <c r="A115" s="1879" t="s">
        <v>359</v>
      </c>
      <c r="B115" s="1879"/>
      <c r="C115" s="1118">
        <f t="shared" ref="C115:L115" si="73">C113*C114</f>
        <v>0</v>
      </c>
      <c r="D115" s="1118">
        <f t="shared" si="73"/>
        <v>0</v>
      </c>
      <c r="E115" s="1118">
        <f t="shared" si="73"/>
        <v>0</v>
      </c>
      <c r="F115" s="1118">
        <f t="shared" si="73"/>
        <v>0</v>
      </c>
      <c r="G115" s="1118">
        <f t="shared" si="73"/>
        <v>0</v>
      </c>
      <c r="H115" s="1118">
        <f t="shared" si="73"/>
        <v>0</v>
      </c>
      <c r="I115" s="1118">
        <f t="shared" si="73"/>
        <v>0</v>
      </c>
      <c r="J115" s="1118">
        <f t="shared" si="73"/>
        <v>0</v>
      </c>
      <c r="K115" s="1118">
        <f t="shared" si="73"/>
        <v>0</v>
      </c>
      <c r="L115" s="1118">
        <f t="shared" si="73"/>
        <v>0</v>
      </c>
      <c r="M115" s="1076">
        <f>SUM(C115:L115)</f>
        <v>0</v>
      </c>
    </row>
    <row r="116" spans="1:15" ht="13" x14ac:dyDescent="0.3">
      <c r="A116" s="1876" t="s">
        <v>201</v>
      </c>
      <c r="B116" s="1876"/>
      <c r="C116" s="1119">
        <f>'Introducció dades'!C312</f>
        <v>0</v>
      </c>
      <c r="D116" s="1119">
        <f>'Introducció dades'!D312</f>
        <v>0</v>
      </c>
      <c r="E116" s="1119">
        <f>'Introducció dades'!E312</f>
        <v>0</v>
      </c>
      <c r="F116" s="1119">
        <f>'Introducció dades'!F312</f>
        <v>0</v>
      </c>
      <c r="G116" s="1119">
        <f>'Introducció dades'!G312</f>
        <v>0</v>
      </c>
      <c r="H116" s="1119">
        <f>'Introducció dades'!H312</f>
        <v>0</v>
      </c>
      <c r="I116" s="1119">
        <f>'Introducció dades'!I312</f>
        <v>0</v>
      </c>
      <c r="J116" s="1119">
        <f>'Introducció dades'!J312</f>
        <v>0</v>
      </c>
      <c r="K116" s="1119">
        <f>'Introducció dades'!K312</f>
        <v>0</v>
      </c>
      <c r="L116" s="1119">
        <f>'Introducció dades'!L312</f>
        <v>0</v>
      </c>
      <c r="M116" s="1120"/>
      <c r="N116" s="7"/>
      <c r="O116" s="7"/>
    </row>
    <row r="117" spans="1:15" ht="13" x14ac:dyDescent="0.3">
      <c r="A117" s="1876" t="s">
        <v>202</v>
      </c>
      <c r="B117" s="1876"/>
      <c r="C117" s="1121">
        <f>'Introducció dades'!C313</f>
        <v>0.29799999999999999</v>
      </c>
      <c r="D117" s="1121">
        <f>'Introducció dades'!D313</f>
        <v>0.29799999999999999</v>
      </c>
      <c r="E117" s="1121">
        <f>'Introducció dades'!E313</f>
        <v>0.29799999999999999</v>
      </c>
      <c r="F117" s="1121">
        <f>'Introducció dades'!F313</f>
        <v>0.29799999999999999</v>
      </c>
      <c r="G117" s="1121">
        <f>'Introducció dades'!G313</f>
        <v>0.29799999999999999</v>
      </c>
      <c r="H117" s="1121">
        <f>'Introducció dades'!H313</f>
        <v>0.29799999999999999</v>
      </c>
      <c r="I117" s="1121">
        <f>'Introducció dades'!I313</f>
        <v>0.29799999999999999</v>
      </c>
      <c r="J117" s="1121">
        <f>'Introducció dades'!J313</f>
        <v>0.29799999999999999</v>
      </c>
      <c r="K117" s="1121">
        <f>'Introducció dades'!K313</f>
        <v>0.29799999999999999</v>
      </c>
      <c r="L117" s="1121">
        <f>'Introducció dades'!L313</f>
        <v>0.29799999999999999</v>
      </c>
      <c r="M117" s="30"/>
      <c r="N117" s="7"/>
      <c r="O117" s="7"/>
    </row>
    <row r="118" spans="1:15" ht="13" x14ac:dyDescent="0.3">
      <c r="A118" s="1876" t="s">
        <v>360</v>
      </c>
      <c r="B118" s="1876"/>
      <c r="C118" s="15">
        <f t="shared" ref="C118:L118" si="74">C116*C117</f>
        <v>0</v>
      </c>
      <c r="D118" s="15">
        <f t="shared" si="74"/>
        <v>0</v>
      </c>
      <c r="E118" s="15">
        <f t="shared" si="74"/>
        <v>0</v>
      </c>
      <c r="F118" s="15">
        <f t="shared" si="74"/>
        <v>0</v>
      </c>
      <c r="G118" s="15">
        <f t="shared" si="74"/>
        <v>0</v>
      </c>
      <c r="H118" s="15">
        <f t="shared" si="74"/>
        <v>0</v>
      </c>
      <c r="I118" s="15">
        <f t="shared" si="74"/>
        <v>0</v>
      </c>
      <c r="J118" s="15">
        <f t="shared" si="74"/>
        <v>0</v>
      </c>
      <c r="K118" s="15">
        <f t="shared" si="74"/>
        <v>0</v>
      </c>
      <c r="L118" s="15">
        <f t="shared" si="74"/>
        <v>0</v>
      </c>
      <c r="M118" s="1072">
        <f>SUM(C118:L118)</f>
        <v>0</v>
      </c>
      <c r="N118" s="7"/>
      <c r="O118" s="7"/>
    </row>
    <row r="119" spans="1:15" ht="13" x14ac:dyDescent="0.3">
      <c r="A119" s="1876" t="s">
        <v>203</v>
      </c>
      <c r="B119" s="1876"/>
      <c r="C119" s="1077">
        <f>'Introducció dades'!C314</f>
        <v>0.1</v>
      </c>
      <c r="D119" s="1077">
        <f>'Introducció dades'!D314</f>
        <v>0</v>
      </c>
      <c r="E119" s="1077">
        <f>'Introducció dades'!E314</f>
        <v>0</v>
      </c>
      <c r="F119" s="1077">
        <f>'Introducció dades'!F314</f>
        <v>0</v>
      </c>
      <c r="G119" s="1077">
        <f>'Introducció dades'!G314</f>
        <v>0</v>
      </c>
      <c r="H119" s="1077">
        <f>'Introducció dades'!H314</f>
        <v>0</v>
      </c>
      <c r="I119" s="1077">
        <f>'Introducció dades'!I314</f>
        <v>0</v>
      </c>
      <c r="J119" s="1077">
        <f>'Introducció dades'!J314</f>
        <v>0</v>
      </c>
      <c r="K119" s="1077">
        <f>'Introducció dades'!K314</f>
        <v>0</v>
      </c>
      <c r="L119" s="1077">
        <f>'Introducció dades'!L314</f>
        <v>0</v>
      </c>
      <c r="M119" s="1079">
        <f>IF(M111&gt;0,(C111*C119+D111*D119+E111*E119+F111*F119+G111*G119+H111*H119+I111*I119+J111*J119+K111*K119+L111*L119)/M111,0)</f>
        <v>0</v>
      </c>
      <c r="N119" s="7"/>
      <c r="O119" s="7"/>
    </row>
    <row r="121" spans="1:15" ht="13" x14ac:dyDescent="0.3">
      <c r="A121" s="1874"/>
      <c r="B121" s="1874"/>
      <c r="C121" s="1080" t="str">
        <f>C20</f>
        <v>GENER</v>
      </c>
      <c r="D121" s="1080" t="str">
        <f t="shared" ref="D121:N121" si="75">D20</f>
        <v>FEBRER</v>
      </c>
      <c r="E121" s="1080" t="str">
        <f t="shared" si="75"/>
        <v>MARÇ</v>
      </c>
      <c r="F121" s="1080" t="str">
        <f t="shared" si="75"/>
        <v>ABRIL</v>
      </c>
      <c r="G121" s="1080" t="str">
        <f t="shared" si="75"/>
        <v>MAIG</v>
      </c>
      <c r="H121" s="1080" t="str">
        <f t="shared" si="75"/>
        <v>JUNY</v>
      </c>
      <c r="I121" s="1080" t="str">
        <f t="shared" si="75"/>
        <v>JULIOL</v>
      </c>
      <c r="J121" s="1080" t="str">
        <f t="shared" si="75"/>
        <v>AGOST</v>
      </c>
      <c r="K121" s="1080" t="str">
        <f t="shared" si="75"/>
        <v>SETEMBRE</v>
      </c>
      <c r="L121" s="1080" t="str">
        <f t="shared" si="75"/>
        <v>OCTUBRE</v>
      </c>
      <c r="M121" s="1080" t="str">
        <f t="shared" si="75"/>
        <v>NOVEMBRE</v>
      </c>
      <c r="N121" s="1080" t="str">
        <f t="shared" si="75"/>
        <v>DESEMBRE</v>
      </c>
      <c r="O121" s="1080" t="str">
        <f>O20</f>
        <v>TOTAL</v>
      </c>
    </row>
    <row r="122" spans="1:15" ht="13" x14ac:dyDescent="0.3">
      <c r="A122" s="1880" t="s">
        <v>361</v>
      </c>
      <c r="B122" s="1880"/>
      <c r="C122" s="1081">
        <f>C123+C134</f>
        <v>0</v>
      </c>
      <c r="D122" s="1081">
        <f t="shared" ref="D122:N122" si="76">D123+D134</f>
        <v>0</v>
      </c>
      <c r="E122" s="1081">
        <f t="shared" si="76"/>
        <v>0</v>
      </c>
      <c r="F122" s="1081">
        <f t="shared" si="76"/>
        <v>0</v>
      </c>
      <c r="G122" s="1081">
        <f t="shared" si="76"/>
        <v>0</v>
      </c>
      <c r="H122" s="1081">
        <f t="shared" si="76"/>
        <v>0</v>
      </c>
      <c r="I122" s="1081">
        <f t="shared" si="76"/>
        <v>0</v>
      </c>
      <c r="J122" s="1081">
        <f t="shared" si="76"/>
        <v>0</v>
      </c>
      <c r="K122" s="1081">
        <f t="shared" si="76"/>
        <v>0</v>
      </c>
      <c r="L122" s="1081">
        <f t="shared" si="76"/>
        <v>0</v>
      </c>
      <c r="M122" s="1081">
        <f t="shared" si="76"/>
        <v>0</v>
      </c>
      <c r="N122" s="1081">
        <f t="shared" si="76"/>
        <v>0</v>
      </c>
      <c r="O122" s="1081">
        <f>O123+O134</f>
        <v>0</v>
      </c>
    </row>
    <row r="123" spans="1:15" ht="18.75" customHeight="1" x14ac:dyDescent="0.3">
      <c r="A123" s="1881" t="s">
        <v>362</v>
      </c>
      <c r="B123" s="1881"/>
      <c r="C123" s="1082">
        <f>SUM(C124:C133)</f>
        <v>0</v>
      </c>
      <c r="D123" s="1082">
        <f t="shared" ref="D123:N123" si="77">SUM(D124:D133)</f>
        <v>0</v>
      </c>
      <c r="E123" s="1082">
        <f t="shared" si="77"/>
        <v>0</v>
      </c>
      <c r="F123" s="1082">
        <f t="shared" si="77"/>
        <v>0</v>
      </c>
      <c r="G123" s="1082">
        <f t="shared" si="77"/>
        <v>0</v>
      </c>
      <c r="H123" s="1082">
        <f t="shared" si="77"/>
        <v>0</v>
      </c>
      <c r="I123" s="1082">
        <f t="shared" si="77"/>
        <v>0</v>
      </c>
      <c r="J123" s="1082">
        <f t="shared" si="77"/>
        <v>0</v>
      </c>
      <c r="K123" s="1082">
        <f t="shared" si="77"/>
        <v>0</v>
      </c>
      <c r="L123" s="1082">
        <f t="shared" si="77"/>
        <v>0</v>
      </c>
      <c r="M123" s="1082">
        <f t="shared" si="77"/>
        <v>0</v>
      </c>
      <c r="N123" s="1082">
        <f t="shared" si="77"/>
        <v>0</v>
      </c>
      <c r="O123" s="1082">
        <f>SUM(C123:N123)</f>
        <v>0</v>
      </c>
    </row>
    <row r="124" spans="1:15" hidden="1" x14ac:dyDescent="0.25">
      <c r="A124" s="1083" t="str">
        <f>C$3</f>
        <v>Promotor 1</v>
      </c>
      <c r="B124" s="1084"/>
      <c r="C124" s="1085">
        <f>IF($C105=C121,$C110,0)</f>
        <v>0</v>
      </c>
      <c r="D124" s="1085">
        <f>IF(AND(C124=0,D121=$C105),$C110,0)+IF(C124=0,0,$C110)</f>
        <v>0</v>
      </c>
      <c r="E124" s="1085">
        <f t="shared" ref="E124:N124" si="78">IF(AND(D124=0,E121=$C105),$C110,0)+IF(D124=0,0,$C110)</f>
        <v>0</v>
      </c>
      <c r="F124" s="1085">
        <f t="shared" si="78"/>
        <v>0</v>
      </c>
      <c r="G124" s="1085">
        <f t="shared" si="78"/>
        <v>0</v>
      </c>
      <c r="H124" s="1085">
        <f t="shared" si="78"/>
        <v>0</v>
      </c>
      <c r="I124" s="1085">
        <f t="shared" si="78"/>
        <v>0</v>
      </c>
      <c r="J124" s="1085">
        <f t="shared" si="78"/>
        <v>0</v>
      </c>
      <c r="K124" s="1085">
        <f t="shared" si="78"/>
        <v>0</v>
      </c>
      <c r="L124" s="1085">
        <f t="shared" si="78"/>
        <v>0</v>
      </c>
      <c r="M124" s="1085">
        <f t="shared" si="78"/>
        <v>0</v>
      </c>
      <c r="N124" s="1085">
        <f t="shared" si="78"/>
        <v>0</v>
      </c>
      <c r="O124" s="1085">
        <f t="shared" ref="O124:O133" si="79">SUM(C124:N124)</f>
        <v>0</v>
      </c>
    </row>
    <row r="125" spans="1:15" hidden="1" x14ac:dyDescent="0.25">
      <c r="A125" s="1083" t="str">
        <f>D$3</f>
        <v>Promotor 2</v>
      </c>
      <c r="B125" s="1084"/>
      <c r="C125" s="1085">
        <f>IF($D105=C121,$D110,0)</f>
        <v>0</v>
      </c>
      <c r="D125" s="1085">
        <f>IF(AND(C125=0,D121=$D105),$D110,0)+IF(C125=0,0,$D110)</f>
        <v>0</v>
      </c>
      <c r="E125" s="1085">
        <f t="shared" ref="E125:N125" si="80">IF(AND(D125=0,E121=$D105),$D110,0)+IF(D125=0,0,$D110)</f>
        <v>0</v>
      </c>
      <c r="F125" s="1085">
        <f t="shared" si="80"/>
        <v>0</v>
      </c>
      <c r="G125" s="1085">
        <f t="shared" si="80"/>
        <v>0</v>
      </c>
      <c r="H125" s="1085">
        <f t="shared" si="80"/>
        <v>0</v>
      </c>
      <c r="I125" s="1085">
        <f t="shared" si="80"/>
        <v>0</v>
      </c>
      <c r="J125" s="1085">
        <f t="shared" si="80"/>
        <v>0</v>
      </c>
      <c r="K125" s="1085">
        <f t="shared" si="80"/>
        <v>0</v>
      </c>
      <c r="L125" s="1085">
        <f t="shared" si="80"/>
        <v>0</v>
      </c>
      <c r="M125" s="1085">
        <f t="shared" si="80"/>
        <v>0</v>
      </c>
      <c r="N125" s="1085">
        <f t="shared" si="80"/>
        <v>0</v>
      </c>
      <c r="O125" s="1085">
        <f t="shared" si="79"/>
        <v>0</v>
      </c>
    </row>
    <row r="126" spans="1:15" hidden="1" x14ac:dyDescent="0.25">
      <c r="A126" s="1083" t="str">
        <f>E$3</f>
        <v>Promotor 3</v>
      </c>
      <c r="B126" s="1084"/>
      <c r="C126" s="1085">
        <f>IF($E105=C121,$E110,0)</f>
        <v>0</v>
      </c>
      <c r="D126" s="1085">
        <f>IF(AND(C126=0,D121=$E105),$E110,0)+IF(C126=0,0,$E110)</f>
        <v>0</v>
      </c>
      <c r="E126" s="1085">
        <f t="shared" ref="E126:N126" si="81">IF(AND(D126=0,E121=$E105),$E110,0)+IF(D126=0,0,$E110)</f>
        <v>0</v>
      </c>
      <c r="F126" s="1085">
        <f t="shared" si="81"/>
        <v>0</v>
      </c>
      <c r="G126" s="1085">
        <f t="shared" si="81"/>
        <v>0</v>
      </c>
      <c r="H126" s="1085">
        <f t="shared" si="81"/>
        <v>0</v>
      </c>
      <c r="I126" s="1085">
        <f t="shared" si="81"/>
        <v>0</v>
      </c>
      <c r="J126" s="1085">
        <f t="shared" si="81"/>
        <v>0</v>
      </c>
      <c r="K126" s="1085">
        <f t="shared" si="81"/>
        <v>0</v>
      </c>
      <c r="L126" s="1085">
        <f t="shared" si="81"/>
        <v>0</v>
      </c>
      <c r="M126" s="1085">
        <f t="shared" si="81"/>
        <v>0</v>
      </c>
      <c r="N126" s="1085">
        <f t="shared" si="81"/>
        <v>0</v>
      </c>
      <c r="O126" s="1085">
        <f t="shared" si="79"/>
        <v>0</v>
      </c>
    </row>
    <row r="127" spans="1:15" hidden="1" x14ac:dyDescent="0.25">
      <c r="A127" s="1083" t="str">
        <f>F$3</f>
        <v>Promotor 4</v>
      </c>
      <c r="B127" s="1084"/>
      <c r="C127" s="1085">
        <f>IF($F105=C121,$F110,0)</f>
        <v>0</v>
      </c>
      <c r="D127" s="1085">
        <f>IF(AND(C127=0,D121=$F105),$F110,0)+IF(C127=0,0,$F110)</f>
        <v>0</v>
      </c>
      <c r="E127" s="1085">
        <f t="shared" ref="E127:N127" si="82">IF(AND(D127=0,E121=$F105),$F110,0)+IF(D127=0,0,$F110)</f>
        <v>0</v>
      </c>
      <c r="F127" s="1085">
        <f t="shared" si="82"/>
        <v>0</v>
      </c>
      <c r="G127" s="1085">
        <f t="shared" si="82"/>
        <v>0</v>
      </c>
      <c r="H127" s="1085">
        <f t="shared" si="82"/>
        <v>0</v>
      </c>
      <c r="I127" s="1085">
        <f t="shared" si="82"/>
        <v>0</v>
      </c>
      <c r="J127" s="1085">
        <f t="shared" si="82"/>
        <v>0</v>
      </c>
      <c r="K127" s="1085">
        <f t="shared" si="82"/>
        <v>0</v>
      </c>
      <c r="L127" s="1085">
        <f t="shared" si="82"/>
        <v>0</v>
      </c>
      <c r="M127" s="1085">
        <f t="shared" si="82"/>
        <v>0</v>
      </c>
      <c r="N127" s="1085">
        <f t="shared" si="82"/>
        <v>0</v>
      </c>
      <c r="O127" s="1085">
        <f t="shared" si="79"/>
        <v>0</v>
      </c>
    </row>
    <row r="128" spans="1:15" hidden="1" x14ac:dyDescent="0.25">
      <c r="A128" s="1083" t="str">
        <f>G$3</f>
        <v>Promotor 5</v>
      </c>
      <c r="B128" s="1084"/>
      <c r="C128" s="1085">
        <f>IF($G105=C121,$G110,0)</f>
        <v>0</v>
      </c>
      <c r="D128" s="1085">
        <f>IF(AND(C128=0,D121=$G105),$G110,0)+IF(C128=0,0,$G110)</f>
        <v>0</v>
      </c>
      <c r="E128" s="1085">
        <f t="shared" ref="E128:N128" si="83">IF(AND(D128=0,E121=$G105),$G110,0)+IF(D128=0,0,$G110)</f>
        <v>0</v>
      </c>
      <c r="F128" s="1085">
        <f t="shared" si="83"/>
        <v>0</v>
      </c>
      <c r="G128" s="1085">
        <f t="shared" si="83"/>
        <v>0</v>
      </c>
      <c r="H128" s="1085">
        <f t="shared" si="83"/>
        <v>0</v>
      </c>
      <c r="I128" s="1085">
        <f t="shared" si="83"/>
        <v>0</v>
      </c>
      <c r="J128" s="1085">
        <f t="shared" si="83"/>
        <v>0</v>
      </c>
      <c r="K128" s="1085">
        <f t="shared" si="83"/>
        <v>0</v>
      </c>
      <c r="L128" s="1085">
        <f t="shared" si="83"/>
        <v>0</v>
      </c>
      <c r="M128" s="1085">
        <f t="shared" si="83"/>
        <v>0</v>
      </c>
      <c r="N128" s="1085">
        <f t="shared" si="83"/>
        <v>0</v>
      </c>
      <c r="O128" s="1085">
        <f t="shared" si="79"/>
        <v>0</v>
      </c>
    </row>
    <row r="129" spans="1:15" hidden="1" x14ac:dyDescent="0.25">
      <c r="A129" s="1083" t="str">
        <f>H$3</f>
        <v>Promotor 6</v>
      </c>
      <c r="B129" s="1084"/>
      <c r="C129" s="1085">
        <f>IF($H105=C121,$H110,0)</f>
        <v>0</v>
      </c>
      <c r="D129" s="1085">
        <f>IF(AND(C129=0,D121=$H105),$H110,0)+IF(C129=0,0,$H110)</f>
        <v>0</v>
      </c>
      <c r="E129" s="1085">
        <f t="shared" ref="E129:N129" si="84">IF(AND(D129=0,E121=$H105),$H110,0)+IF(D129=0,0,$H110)</f>
        <v>0</v>
      </c>
      <c r="F129" s="1085">
        <f t="shared" si="84"/>
        <v>0</v>
      </c>
      <c r="G129" s="1085">
        <f t="shared" si="84"/>
        <v>0</v>
      </c>
      <c r="H129" s="1085">
        <f t="shared" si="84"/>
        <v>0</v>
      </c>
      <c r="I129" s="1085">
        <f t="shared" si="84"/>
        <v>0</v>
      </c>
      <c r="J129" s="1085">
        <f t="shared" si="84"/>
        <v>0</v>
      </c>
      <c r="K129" s="1085">
        <f t="shared" si="84"/>
        <v>0</v>
      </c>
      <c r="L129" s="1085">
        <f t="shared" si="84"/>
        <v>0</v>
      </c>
      <c r="M129" s="1085">
        <f t="shared" si="84"/>
        <v>0</v>
      </c>
      <c r="N129" s="1085">
        <f t="shared" si="84"/>
        <v>0</v>
      </c>
      <c r="O129" s="1085">
        <f t="shared" si="79"/>
        <v>0</v>
      </c>
    </row>
    <row r="130" spans="1:15" hidden="1" x14ac:dyDescent="0.25">
      <c r="A130" s="1083" t="str">
        <f>I$3</f>
        <v>Promotor 7</v>
      </c>
      <c r="B130" s="1084"/>
      <c r="C130" s="1085">
        <f>IF($I105=C121,$I110,0)</f>
        <v>0</v>
      </c>
      <c r="D130" s="1085">
        <f>IF(AND(C130=0,D121=$I105),$I110,0)+IF(C130=0,0,$I110)</f>
        <v>0</v>
      </c>
      <c r="E130" s="1085">
        <f t="shared" ref="E130:N130" si="85">IF(AND(D130=0,E121=$I105),$I110,0)+IF(D130=0,0,$I110)</f>
        <v>0</v>
      </c>
      <c r="F130" s="1085">
        <f t="shared" si="85"/>
        <v>0</v>
      </c>
      <c r="G130" s="1085">
        <f t="shared" si="85"/>
        <v>0</v>
      </c>
      <c r="H130" s="1085">
        <f t="shared" si="85"/>
        <v>0</v>
      </c>
      <c r="I130" s="1085">
        <f t="shared" si="85"/>
        <v>0</v>
      </c>
      <c r="J130" s="1085">
        <f t="shared" si="85"/>
        <v>0</v>
      </c>
      <c r="K130" s="1085">
        <f t="shared" si="85"/>
        <v>0</v>
      </c>
      <c r="L130" s="1085">
        <f t="shared" si="85"/>
        <v>0</v>
      </c>
      <c r="M130" s="1085">
        <f t="shared" si="85"/>
        <v>0</v>
      </c>
      <c r="N130" s="1085">
        <f t="shared" si="85"/>
        <v>0</v>
      </c>
      <c r="O130" s="1085">
        <f t="shared" si="79"/>
        <v>0</v>
      </c>
    </row>
    <row r="131" spans="1:15" hidden="1" x14ac:dyDescent="0.25">
      <c r="A131" s="1083" t="str">
        <f>J$3</f>
        <v>Promotor 8</v>
      </c>
      <c r="B131" s="1084"/>
      <c r="C131" s="1085">
        <f>IF($J105=C121,$J110,0)</f>
        <v>0</v>
      </c>
      <c r="D131" s="1085">
        <f>IF(AND(C131=0,D121=$J105),$J110,0)+IF(C131=0,0,$J110)</f>
        <v>0</v>
      </c>
      <c r="E131" s="1085">
        <f t="shared" ref="E131:N131" si="86">IF(AND(D131=0,E121=$J105),$J110,0)+IF(D131=0,0,$J110)</f>
        <v>0</v>
      </c>
      <c r="F131" s="1085">
        <f t="shared" si="86"/>
        <v>0</v>
      </c>
      <c r="G131" s="1085">
        <f t="shared" si="86"/>
        <v>0</v>
      </c>
      <c r="H131" s="1085">
        <f t="shared" si="86"/>
        <v>0</v>
      </c>
      <c r="I131" s="1085">
        <f t="shared" si="86"/>
        <v>0</v>
      </c>
      <c r="J131" s="1085">
        <f t="shared" si="86"/>
        <v>0</v>
      </c>
      <c r="K131" s="1085">
        <f t="shared" si="86"/>
        <v>0</v>
      </c>
      <c r="L131" s="1085">
        <f t="shared" si="86"/>
        <v>0</v>
      </c>
      <c r="M131" s="1085">
        <f t="shared" si="86"/>
        <v>0</v>
      </c>
      <c r="N131" s="1085">
        <f t="shared" si="86"/>
        <v>0</v>
      </c>
      <c r="O131" s="1085">
        <f t="shared" si="79"/>
        <v>0</v>
      </c>
    </row>
    <row r="132" spans="1:15" ht="21.75" customHeight="1" x14ac:dyDescent="0.25">
      <c r="A132" s="1083" t="str">
        <f>K$3</f>
        <v>Promotor 9</v>
      </c>
      <c r="B132" s="1084"/>
      <c r="C132" s="1085">
        <f>IF($K105=C121,$K110,0)</f>
        <v>0</v>
      </c>
      <c r="D132" s="1085">
        <f>IF(AND(C132=0,D121=$K105),$K110,0)+IF(C132=0,0,$K110)</f>
        <v>0</v>
      </c>
      <c r="E132" s="1085">
        <f t="shared" ref="E132:M132" si="87">IF(AND(D132=0,E121=$K105),$K110,0)+IF(D132=0,0,$K110)</f>
        <v>0</v>
      </c>
      <c r="F132" s="1085">
        <f t="shared" si="87"/>
        <v>0</v>
      </c>
      <c r="G132" s="1085">
        <f t="shared" si="87"/>
        <v>0</v>
      </c>
      <c r="H132" s="1085">
        <f t="shared" si="87"/>
        <v>0</v>
      </c>
      <c r="I132" s="1085">
        <f t="shared" si="87"/>
        <v>0</v>
      </c>
      <c r="J132" s="1085">
        <f t="shared" si="87"/>
        <v>0</v>
      </c>
      <c r="K132" s="1085">
        <f t="shared" si="87"/>
        <v>0</v>
      </c>
      <c r="L132" s="1085">
        <f t="shared" si="87"/>
        <v>0</v>
      </c>
      <c r="M132" s="1085">
        <f t="shared" si="87"/>
        <v>0</v>
      </c>
      <c r="N132" s="1085">
        <f>IF(AND(M132=0,N121=$K105),$K110,0)+IF(M132=0,0,$K110)</f>
        <v>0</v>
      </c>
      <c r="O132" s="1085">
        <f t="shared" si="79"/>
        <v>0</v>
      </c>
    </row>
    <row r="133" spans="1:15" ht="20.25" customHeight="1" x14ac:dyDescent="0.25">
      <c r="A133" s="1083" t="str">
        <f>L$3</f>
        <v>Promotor 10</v>
      </c>
      <c r="B133" s="1084"/>
      <c r="C133" s="1085">
        <f>IF($L105=C121,$L110,0)</f>
        <v>0</v>
      </c>
      <c r="D133" s="1085">
        <f>IF(AND(C133=0,D121=$L105),$L110,0)+IF(C133=0,0,$L110)</f>
        <v>0</v>
      </c>
      <c r="E133" s="1085">
        <f t="shared" ref="E133:N133" si="88">IF(AND(D133=0,E121=$L105),$L110,0)+IF(D133=0,0,$L110)</f>
        <v>0</v>
      </c>
      <c r="F133" s="1085">
        <f t="shared" si="88"/>
        <v>0</v>
      </c>
      <c r="G133" s="1085">
        <f t="shared" si="88"/>
        <v>0</v>
      </c>
      <c r="H133" s="1085">
        <f t="shared" si="88"/>
        <v>0</v>
      </c>
      <c r="I133" s="1085">
        <f t="shared" si="88"/>
        <v>0</v>
      </c>
      <c r="J133" s="1085">
        <f t="shared" si="88"/>
        <v>0</v>
      </c>
      <c r="K133" s="1085">
        <f t="shared" si="88"/>
        <v>0</v>
      </c>
      <c r="L133" s="1085">
        <f t="shared" si="88"/>
        <v>0</v>
      </c>
      <c r="M133" s="1085">
        <f t="shared" si="88"/>
        <v>0</v>
      </c>
      <c r="N133" s="1085">
        <f t="shared" si="88"/>
        <v>0</v>
      </c>
      <c r="O133" s="1085">
        <f t="shared" si="79"/>
        <v>0</v>
      </c>
    </row>
    <row r="134" spans="1:15" ht="13" x14ac:dyDescent="0.3">
      <c r="A134" s="1882" t="s">
        <v>363</v>
      </c>
      <c r="B134" s="1882"/>
      <c r="C134" s="1086">
        <f t="shared" ref="C134:N134" si="89">SUM(C135:C144)</f>
        <v>0</v>
      </c>
      <c r="D134" s="1086">
        <f t="shared" si="89"/>
        <v>0</v>
      </c>
      <c r="E134" s="1086">
        <f t="shared" si="89"/>
        <v>0</v>
      </c>
      <c r="F134" s="1086">
        <f t="shared" si="89"/>
        <v>0</v>
      </c>
      <c r="G134" s="1086">
        <f t="shared" si="89"/>
        <v>0</v>
      </c>
      <c r="H134" s="1086">
        <f t="shared" si="89"/>
        <v>0</v>
      </c>
      <c r="I134" s="1086">
        <f t="shared" si="89"/>
        <v>0</v>
      </c>
      <c r="J134" s="1086">
        <f t="shared" si="89"/>
        <v>0</v>
      </c>
      <c r="K134" s="1086">
        <f t="shared" si="89"/>
        <v>0</v>
      </c>
      <c r="L134" s="1086">
        <f t="shared" si="89"/>
        <v>0</v>
      </c>
      <c r="M134" s="1086">
        <f t="shared" si="89"/>
        <v>0</v>
      </c>
      <c r="N134" s="1086">
        <f t="shared" si="89"/>
        <v>0</v>
      </c>
      <c r="O134" s="1086">
        <f>SUM(C134:N134)</f>
        <v>0</v>
      </c>
    </row>
    <row r="135" spans="1:15" hidden="1" x14ac:dyDescent="0.25">
      <c r="A135" s="1087" t="str">
        <f>A124</f>
        <v>Promotor 1</v>
      </c>
      <c r="B135" s="1088"/>
      <c r="C135" s="1089">
        <f>$C115*VARIABLES!B75</f>
        <v>0</v>
      </c>
      <c r="D135" s="1085">
        <f>$C115*VARIABLES!C75</f>
        <v>0</v>
      </c>
      <c r="E135" s="1085">
        <f>$C115*VARIABLES!D75</f>
        <v>0</v>
      </c>
      <c r="F135" s="1085">
        <f>$C115*VARIABLES!E75</f>
        <v>0</v>
      </c>
      <c r="G135" s="1085">
        <f>$C115*VARIABLES!F75</f>
        <v>0</v>
      </c>
      <c r="H135" s="1085">
        <f>$C115*VARIABLES!G75</f>
        <v>0</v>
      </c>
      <c r="I135" s="1085">
        <f>$C115*VARIABLES!H75</f>
        <v>0</v>
      </c>
      <c r="J135" s="1085">
        <f>$C115*VARIABLES!I75</f>
        <v>0</v>
      </c>
      <c r="K135" s="1085">
        <f>$C115*VARIABLES!J75</f>
        <v>0</v>
      </c>
      <c r="L135" s="1085">
        <f>$C115*VARIABLES!K75</f>
        <v>0</v>
      </c>
      <c r="M135" s="1085">
        <f>$C115*VARIABLES!L75</f>
        <v>0</v>
      </c>
      <c r="N135" s="1090">
        <f>$C115*VARIABLES!M75</f>
        <v>0</v>
      </c>
      <c r="O135" s="1091">
        <f t="shared" ref="O135:O144" si="90">SUM(C135:N135)</f>
        <v>0</v>
      </c>
    </row>
    <row r="136" spans="1:15" hidden="1" x14ac:dyDescent="0.25">
      <c r="A136" s="1087" t="str">
        <f t="shared" ref="A136:A144" si="91">A125</f>
        <v>Promotor 2</v>
      </c>
      <c r="B136" s="1088"/>
      <c r="C136" s="1089">
        <f>$D115*VARIABLES!B75</f>
        <v>0</v>
      </c>
      <c r="D136" s="1085">
        <f>$D115*VARIABLES!C75</f>
        <v>0</v>
      </c>
      <c r="E136" s="1085">
        <f>$D115*VARIABLES!D75</f>
        <v>0</v>
      </c>
      <c r="F136" s="1085">
        <f>$D115*VARIABLES!E75</f>
        <v>0</v>
      </c>
      <c r="G136" s="1085">
        <f>$D115*VARIABLES!F75</f>
        <v>0</v>
      </c>
      <c r="H136" s="1085">
        <f>$D115*VARIABLES!G75</f>
        <v>0</v>
      </c>
      <c r="I136" s="1085">
        <f>$D115*VARIABLES!H75</f>
        <v>0</v>
      </c>
      <c r="J136" s="1085">
        <f>$D115*VARIABLES!I75</f>
        <v>0</v>
      </c>
      <c r="K136" s="1085">
        <f>$D115*VARIABLES!J75</f>
        <v>0</v>
      </c>
      <c r="L136" s="1085">
        <f>$D115*VARIABLES!K75</f>
        <v>0</v>
      </c>
      <c r="M136" s="1085">
        <f>$D115*VARIABLES!L75</f>
        <v>0</v>
      </c>
      <c r="N136" s="1090">
        <f>$D115*VARIABLES!M75</f>
        <v>0</v>
      </c>
      <c r="O136" s="1091">
        <f t="shared" si="90"/>
        <v>0</v>
      </c>
    </row>
    <row r="137" spans="1:15" hidden="1" x14ac:dyDescent="0.25">
      <c r="A137" s="1087" t="str">
        <f t="shared" si="91"/>
        <v>Promotor 3</v>
      </c>
      <c r="B137" s="1088"/>
      <c r="C137" s="1089">
        <f>$E115*VARIABLES!B75</f>
        <v>0</v>
      </c>
      <c r="D137" s="1085">
        <f>$E115*VARIABLES!C75</f>
        <v>0</v>
      </c>
      <c r="E137" s="1085">
        <f>$E115*VARIABLES!D75</f>
        <v>0</v>
      </c>
      <c r="F137" s="1085">
        <f>$E115*VARIABLES!E75</f>
        <v>0</v>
      </c>
      <c r="G137" s="1085">
        <f>$E115*VARIABLES!F75</f>
        <v>0</v>
      </c>
      <c r="H137" s="1085">
        <f>$E115*VARIABLES!G75</f>
        <v>0</v>
      </c>
      <c r="I137" s="1085">
        <f>$E115*VARIABLES!H75</f>
        <v>0</v>
      </c>
      <c r="J137" s="1085">
        <f>$E115*VARIABLES!I75</f>
        <v>0</v>
      </c>
      <c r="K137" s="1085">
        <f>$E115*VARIABLES!J75</f>
        <v>0</v>
      </c>
      <c r="L137" s="1085">
        <f>$E115*VARIABLES!K75</f>
        <v>0</v>
      </c>
      <c r="M137" s="1085">
        <f>$E115*VARIABLES!L75</f>
        <v>0</v>
      </c>
      <c r="N137" s="1090">
        <f>$E115*VARIABLES!M75</f>
        <v>0</v>
      </c>
      <c r="O137" s="1091">
        <f t="shared" si="90"/>
        <v>0</v>
      </c>
    </row>
    <row r="138" spans="1:15" hidden="1" x14ac:dyDescent="0.25">
      <c r="A138" s="1087" t="str">
        <f t="shared" si="91"/>
        <v>Promotor 4</v>
      </c>
      <c r="B138" s="1088"/>
      <c r="C138" s="1089">
        <f>$F115*VARIABLES!B75</f>
        <v>0</v>
      </c>
      <c r="D138" s="1085">
        <f>$F115*VARIABLES!C75</f>
        <v>0</v>
      </c>
      <c r="E138" s="1085">
        <f>$F115*VARIABLES!D75</f>
        <v>0</v>
      </c>
      <c r="F138" s="1085">
        <f>$F115*VARIABLES!E75</f>
        <v>0</v>
      </c>
      <c r="G138" s="1085">
        <f>$F115*VARIABLES!F75</f>
        <v>0</v>
      </c>
      <c r="H138" s="1085">
        <f>$F115*VARIABLES!G75</f>
        <v>0</v>
      </c>
      <c r="I138" s="1085">
        <f>$F115*VARIABLES!H75</f>
        <v>0</v>
      </c>
      <c r="J138" s="1085">
        <f>$F115*VARIABLES!I75</f>
        <v>0</v>
      </c>
      <c r="K138" s="1085">
        <f>$F115*VARIABLES!J75</f>
        <v>0</v>
      </c>
      <c r="L138" s="1085">
        <f>$F115*VARIABLES!K75</f>
        <v>0</v>
      </c>
      <c r="M138" s="1085">
        <f>$F115*VARIABLES!L75</f>
        <v>0</v>
      </c>
      <c r="N138" s="1090">
        <f>$F115*VARIABLES!M75</f>
        <v>0</v>
      </c>
      <c r="O138" s="1091">
        <f t="shared" si="90"/>
        <v>0</v>
      </c>
    </row>
    <row r="139" spans="1:15" hidden="1" x14ac:dyDescent="0.25">
      <c r="A139" s="1087" t="str">
        <f t="shared" si="91"/>
        <v>Promotor 5</v>
      </c>
      <c r="B139" s="1088"/>
      <c r="C139" s="1089">
        <f>$G115*VARIABLES!B75</f>
        <v>0</v>
      </c>
      <c r="D139" s="1085">
        <f>$G115*VARIABLES!C75</f>
        <v>0</v>
      </c>
      <c r="E139" s="1085">
        <f>$G115*VARIABLES!D75</f>
        <v>0</v>
      </c>
      <c r="F139" s="1085">
        <f>$G115*VARIABLES!E75</f>
        <v>0</v>
      </c>
      <c r="G139" s="1085">
        <f>$G115*VARIABLES!F75</f>
        <v>0</v>
      </c>
      <c r="H139" s="1085">
        <f>$G115*VARIABLES!G75</f>
        <v>0</v>
      </c>
      <c r="I139" s="1085">
        <f>$G115*VARIABLES!H75</f>
        <v>0</v>
      </c>
      <c r="J139" s="1085">
        <f>$G115*VARIABLES!I75</f>
        <v>0</v>
      </c>
      <c r="K139" s="1085">
        <f>$G115*VARIABLES!J75</f>
        <v>0</v>
      </c>
      <c r="L139" s="1085">
        <f>$G115*VARIABLES!K75</f>
        <v>0</v>
      </c>
      <c r="M139" s="1085">
        <f>$G115*VARIABLES!L75</f>
        <v>0</v>
      </c>
      <c r="N139" s="1090">
        <f>$G115*VARIABLES!M75</f>
        <v>0</v>
      </c>
      <c r="O139" s="1091">
        <f t="shared" si="90"/>
        <v>0</v>
      </c>
    </row>
    <row r="140" spans="1:15" hidden="1" x14ac:dyDescent="0.25">
      <c r="A140" s="1087" t="str">
        <f t="shared" si="91"/>
        <v>Promotor 6</v>
      </c>
      <c r="B140" s="1088"/>
      <c r="C140" s="1089">
        <f>$H115*VARIABLES!B75</f>
        <v>0</v>
      </c>
      <c r="D140" s="1085">
        <f>$H115*VARIABLES!C75</f>
        <v>0</v>
      </c>
      <c r="E140" s="1085">
        <f>$H115*VARIABLES!D75</f>
        <v>0</v>
      </c>
      <c r="F140" s="1085">
        <f>$H115*VARIABLES!E75</f>
        <v>0</v>
      </c>
      <c r="G140" s="1085">
        <f>$H115*VARIABLES!F75</f>
        <v>0</v>
      </c>
      <c r="H140" s="1085">
        <f>$H115*VARIABLES!G75</f>
        <v>0</v>
      </c>
      <c r="I140" s="1085">
        <f>$H115*VARIABLES!H75</f>
        <v>0</v>
      </c>
      <c r="J140" s="1085">
        <f>$H115*VARIABLES!I75</f>
        <v>0</v>
      </c>
      <c r="K140" s="1085">
        <f>$H115*VARIABLES!J75</f>
        <v>0</v>
      </c>
      <c r="L140" s="1085">
        <f>$H115*VARIABLES!K75</f>
        <v>0</v>
      </c>
      <c r="M140" s="1085">
        <f>$H115*VARIABLES!L75</f>
        <v>0</v>
      </c>
      <c r="N140" s="1090">
        <f>$H115*VARIABLES!M75</f>
        <v>0</v>
      </c>
      <c r="O140" s="1091">
        <f t="shared" si="90"/>
        <v>0</v>
      </c>
    </row>
    <row r="141" spans="1:15" hidden="1" x14ac:dyDescent="0.25">
      <c r="A141" s="1087" t="str">
        <f t="shared" si="91"/>
        <v>Promotor 7</v>
      </c>
      <c r="B141" s="1088"/>
      <c r="C141" s="1089">
        <f>$I115*VARIABLES!B75</f>
        <v>0</v>
      </c>
      <c r="D141" s="1085">
        <f>$I115*VARIABLES!C75</f>
        <v>0</v>
      </c>
      <c r="E141" s="1085">
        <f>$I115*VARIABLES!D75</f>
        <v>0</v>
      </c>
      <c r="F141" s="1085">
        <f>$I115*VARIABLES!E75</f>
        <v>0</v>
      </c>
      <c r="G141" s="1085">
        <f>$I115*VARIABLES!F75</f>
        <v>0</v>
      </c>
      <c r="H141" s="1085">
        <f>$I115*VARIABLES!G75</f>
        <v>0</v>
      </c>
      <c r="I141" s="1085">
        <f>$I115*VARIABLES!H75</f>
        <v>0</v>
      </c>
      <c r="J141" s="1085">
        <f>$I115*VARIABLES!I75</f>
        <v>0</v>
      </c>
      <c r="K141" s="1085">
        <f>$I115*VARIABLES!J75</f>
        <v>0</v>
      </c>
      <c r="L141" s="1085">
        <f>$I115*VARIABLES!K75</f>
        <v>0</v>
      </c>
      <c r="M141" s="1085">
        <f>$I115*VARIABLES!L75</f>
        <v>0</v>
      </c>
      <c r="N141" s="1090">
        <f>$I115*VARIABLES!M75</f>
        <v>0</v>
      </c>
      <c r="O141" s="1091">
        <f t="shared" si="90"/>
        <v>0</v>
      </c>
    </row>
    <row r="142" spans="1:15" hidden="1" x14ac:dyDescent="0.25">
      <c r="A142" s="1087" t="str">
        <f t="shared" si="91"/>
        <v>Promotor 8</v>
      </c>
      <c r="B142" s="1088"/>
      <c r="C142" s="1089">
        <f>$J115*VARIABLES!B75</f>
        <v>0</v>
      </c>
      <c r="D142" s="1085">
        <f>$J115*VARIABLES!C75</f>
        <v>0</v>
      </c>
      <c r="E142" s="1085">
        <f>$J115*VARIABLES!D75</f>
        <v>0</v>
      </c>
      <c r="F142" s="1085">
        <f>$J115*VARIABLES!E75</f>
        <v>0</v>
      </c>
      <c r="G142" s="1085">
        <f>$J115*VARIABLES!F75</f>
        <v>0</v>
      </c>
      <c r="H142" s="1085">
        <f>$J115*VARIABLES!G75</f>
        <v>0</v>
      </c>
      <c r="I142" s="1085">
        <f>$J115*VARIABLES!H75</f>
        <v>0</v>
      </c>
      <c r="J142" s="1085">
        <f>$J115*VARIABLES!I75</f>
        <v>0</v>
      </c>
      <c r="K142" s="1085">
        <f>$J115*VARIABLES!J75</f>
        <v>0</v>
      </c>
      <c r="L142" s="1085">
        <f>$J115*VARIABLES!K75</f>
        <v>0</v>
      </c>
      <c r="M142" s="1085">
        <f>$J115*VARIABLES!L75</f>
        <v>0</v>
      </c>
      <c r="N142" s="1090">
        <f>$J115*VARIABLES!M75</f>
        <v>0</v>
      </c>
      <c r="O142" s="1091">
        <f t="shared" si="90"/>
        <v>0</v>
      </c>
    </row>
    <row r="143" spans="1:15" hidden="1" x14ac:dyDescent="0.25">
      <c r="A143" s="1087" t="str">
        <f t="shared" si="91"/>
        <v>Promotor 9</v>
      </c>
      <c r="B143" s="1088"/>
      <c r="C143" s="1089">
        <f>$K115*VARIABLES!B75</f>
        <v>0</v>
      </c>
      <c r="D143" s="1085">
        <f>$K115*VARIABLES!C75</f>
        <v>0</v>
      </c>
      <c r="E143" s="1085">
        <f>$K115*VARIABLES!D75</f>
        <v>0</v>
      </c>
      <c r="F143" s="1085">
        <f>$K115*VARIABLES!E75</f>
        <v>0</v>
      </c>
      <c r="G143" s="1085">
        <f>$K115*VARIABLES!F75</f>
        <v>0</v>
      </c>
      <c r="H143" s="1085">
        <f>$K115*VARIABLES!G75</f>
        <v>0</v>
      </c>
      <c r="I143" s="1085">
        <f>$K115*VARIABLES!H75</f>
        <v>0</v>
      </c>
      <c r="J143" s="1085">
        <f>$K115*VARIABLES!I75</f>
        <v>0</v>
      </c>
      <c r="K143" s="1085">
        <f>$K115*VARIABLES!J75</f>
        <v>0</v>
      </c>
      <c r="L143" s="1085">
        <f>$K115*VARIABLES!K75</f>
        <v>0</v>
      </c>
      <c r="M143" s="1085">
        <f>$K115*VARIABLES!L75</f>
        <v>0</v>
      </c>
      <c r="N143" s="1090">
        <f>$K115*VARIABLES!M75</f>
        <v>0</v>
      </c>
      <c r="O143" s="1091">
        <f t="shared" si="90"/>
        <v>0</v>
      </c>
    </row>
    <row r="144" spans="1:15" hidden="1" x14ac:dyDescent="0.25">
      <c r="A144" s="1087" t="str">
        <f t="shared" si="91"/>
        <v>Promotor 10</v>
      </c>
      <c r="B144" s="1088"/>
      <c r="C144" s="1089">
        <f>$L115*VARIABLES!B75</f>
        <v>0</v>
      </c>
      <c r="D144" s="1085">
        <f>$L115*VARIABLES!C75</f>
        <v>0</v>
      </c>
      <c r="E144" s="1085">
        <f>$L115*VARIABLES!D75</f>
        <v>0</v>
      </c>
      <c r="F144" s="1085">
        <f>$L115*VARIABLES!E75</f>
        <v>0</v>
      </c>
      <c r="G144" s="1085">
        <f>$L115*VARIABLES!F75</f>
        <v>0</v>
      </c>
      <c r="H144" s="1085">
        <f>$L115*VARIABLES!G75</f>
        <v>0</v>
      </c>
      <c r="I144" s="1085">
        <f>$L115*VARIABLES!H75</f>
        <v>0</v>
      </c>
      <c r="J144" s="1085">
        <f>$L115*VARIABLES!I75</f>
        <v>0</v>
      </c>
      <c r="K144" s="1085">
        <f>$L115*VARIABLES!J75</f>
        <v>0</v>
      </c>
      <c r="L144" s="1085">
        <f>$L115*VARIABLES!K75</f>
        <v>0</v>
      </c>
      <c r="M144" s="1085">
        <f>$L115*VARIABLES!L75</f>
        <v>0</v>
      </c>
      <c r="N144" s="1090">
        <f>$L115*VARIABLES!M75</f>
        <v>0</v>
      </c>
      <c r="O144" s="1091">
        <f t="shared" si="90"/>
        <v>0</v>
      </c>
    </row>
    <row r="145" spans="1:15" ht="12.75" customHeight="1" x14ac:dyDescent="0.3">
      <c r="A145" s="1883" t="s">
        <v>364</v>
      </c>
      <c r="B145" s="1883"/>
      <c r="C145" s="1072">
        <f t="shared" ref="C145:N145" si="92">SUM(C146:C155)</f>
        <v>0</v>
      </c>
      <c r="D145" s="1072">
        <f t="shared" si="92"/>
        <v>0</v>
      </c>
      <c r="E145" s="1072">
        <f t="shared" si="92"/>
        <v>0</v>
      </c>
      <c r="F145" s="1072">
        <f t="shared" si="92"/>
        <v>0</v>
      </c>
      <c r="G145" s="1072">
        <f t="shared" si="92"/>
        <v>0</v>
      </c>
      <c r="H145" s="1072">
        <f t="shared" si="92"/>
        <v>0</v>
      </c>
      <c r="I145" s="1072">
        <f t="shared" si="92"/>
        <v>0</v>
      </c>
      <c r="J145" s="1072">
        <f t="shared" si="92"/>
        <v>0</v>
      </c>
      <c r="K145" s="1072">
        <f t="shared" si="92"/>
        <v>0</v>
      </c>
      <c r="L145" s="1072">
        <f t="shared" si="92"/>
        <v>0</v>
      </c>
      <c r="M145" s="1072">
        <f t="shared" si="92"/>
        <v>0</v>
      </c>
      <c r="N145" s="1072">
        <f t="shared" si="92"/>
        <v>0</v>
      </c>
      <c r="O145" s="1072">
        <f>SUM(C145:N145)</f>
        <v>0</v>
      </c>
    </row>
    <row r="146" spans="1:15" ht="12.75" hidden="1" customHeight="1" x14ac:dyDescent="0.25">
      <c r="A146" s="1094" t="str">
        <f>A124</f>
        <v>Promotor 1</v>
      </c>
      <c r="B146" s="1094"/>
      <c r="C146" s="1095">
        <f>IF(C$105=C$121,C$118,0)</f>
        <v>0</v>
      </c>
      <c r="D146" s="1095">
        <f>IF(AND(C146=0,$C105=D121),$C118,0)+IF(C146=0,0,$C118)</f>
        <v>0</v>
      </c>
      <c r="E146" s="1095">
        <f t="shared" ref="E146:N146" si="93">IF(AND(D146=0,$C105=E121),$C118,0)+IF(D146=0,0,$C118)</f>
        <v>0</v>
      </c>
      <c r="F146" s="1095">
        <f t="shared" si="93"/>
        <v>0</v>
      </c>
      <c r="G146" s="1095">
        <f t="shared" si="93"/>
        <v>0</v>
      </c>
      <c r="H146" s="1095">
        <f t="shared" si="93"/>
        <v>0</v>
      </c>
      <c r="I146" s="1095">
        <f t="shared" si="93"/>
        <v>0</v>
      </c>
      <c r="J146" s="1095">
        <f t="shared" si="93"/>
        <v>0</v>
      </c>
      <c r="K146" s="1095">
        <f t="shared" si="93"/>
        <v>0</v>
      </c>
      <c r="L146" s="1095">
        <f t="shared" si="93"/>
        <v>0</v>
      </c>
      <c r="M146" s="1095">
        <f t="shared" si="93"/>
        <v>0</v>
      </c>
      <c r="N146" s="1095">
        <f t="shared" si="93"/>
        <v>0</v>
      </c>
      <c r="O146" s="1095">
        <f t="shared" ref="O146:O155" si="94">SUM(C146:N146)</f>
        <v>0</v>
      </c>
    </row>
    <row r="147" spans="1:15" ht="12.75" hidden="1" customHeight="1" x14ac:dyDescent="0.25">
      <c r="A147" s="1094" t="str">
        <f t="shared" ref="A147:A155" si="95">A125</f>
        <v>Promotor 2</v>
      </c>
      <c r="B147" s="1094"/>
      <c r="C147" s="1095">
        <f>IF(D$105=C$121,D$118,0)</f>
        <v>0</v>
      </c>
      <c r="D147" s="1095">
        <f>IF(AND(C147=0,$D105=D121),$D118,0)+IF(C147=0,0,$D118)</f>
        <v>0</v>
      </c>
      <c r="E147" s="1095">
        <f t="shared" ref="E147:N147" si="96">IF(AND(D147=0,$D105=E121),$D118,0)+IF(D147=0,0,$D118)</f>
        <v>0</v>
      </c>
      <c r="F147" s="1095">
        <f t="shared" si="96"/>
        <v>0</v>
      </c>
      <c r="G147" s="1095">
        <f t="shared" si="96"/>
        <v>0</v>
      </c>
      <c r="H147" s="1095">
        <f t="shared" si="96"/>
        <v>0</v>
      </c>
      <c r="I147" s="1095">
        <f t="shared" si="96"/>
        <v>0</v>
      </c>
      <c r="J147" s="1095">
        <f t="shared" si="96"/>
        <v>0</v>
      </c>
      <c r="K147" s="1095">
        <f t="shared" si="96"/>
        <v>0</v>
      </c>
      <c r="L147" s="1095">
        <f t="shared" si="96"/>
        <v>0</v>
      </c>
      <c r="M147" s="1095">
        <f t="shared" si="96"/>
        <v>0</v>
      </c>
      <c r="N147" s="1095">
        <f t="shared" si="96"/>
        <v>0</v>
      </c>
      <c r="O147" s="1095">
        <f t="shared" si="94"/>
        <v>0</v>
      </c>
    </row>
    <row r="148" spans="1:15" ht="12.75" hidden="1" customHeight="1" x14ac:dyDescent="0.25">
      <c r="A148" s="1094" t="str">
        <f t="shared" si="95"/>
        <v>Promotor 3</v>
      </c>
      <c r="B148" s="1094"/>
      <c r="C148" s="1095">
        <f>IF(E$105=C$121,E$118,0)</f>
        <v>0</v>
      </c>
      <c r="D148" s="1095">
        <f>IF(AND(C148=0,$E105=D121),$E118,0)+IF(C148=0,0,$E118)</f>
        <v>0</v>
      </c>
      <c r="E148" s="1095">
        <f t="shared" ref="E148:N148" si="97">IF(AND(D148=0,$E105=E121),$E118,0)+IF(D148=0,0,$E118)</f>
        <v>0</v>
      </c>
      <c r="F148" s="1095">
        <f t="shared" si="97"/>
        <v>0</v>
      </c>
      <c r="G148" s="1095">
        <f t="shared" si="97"/>
        <v>0</v>
      </c>
      <c r="H148" s="1095">
        <f t="shared" si="97"/>
        <v>0</v>
      </c>
      <c r="I148" s="1095">
        <f t="shared" si="97"/>
        <v>0</v>
      </c>
      <c r="J148" s="1095">
        <f t="shared" si="97"/>
        <v>0</v>
      </c>
      <c r="K148" s="1095">
        <f t="shared" si="97"/>
        <v>0</v>
      </c>
      <c r="L148" s="1095">
        <f t="shared" si="97"/>
        <v>0</v>
      </c>
      <c r="M148" s="1095">
        <f t="shared" si="97"/>
        <v>0</v>
      </c>
      <c r="N148" s="1095">
        <f t="shared" si="97"/>
        <v>0</v>
      </c>
      <c r="O148" s="1095">
        <f t="shared" si="94"/>
        <v>0</v>
      </c>
    </row>
    <row r="149" spans="1:15" ht="12.75" hidden="1" customHeight="1" x14ac:dyDescent="0.25">
      <c r="A149" s="1094" t="str">
        <f t="shared" si="95"/>
        <v>Promotor 4</v>
      </c>
      <c r="B149" s="1094"/>
      <c r="C149" s="1095">
        <f>IF(F$105=C$121,F$118,0)</f>
        <v>0</v>
      </c>
      <c r="D149" s="1095">
        <f>IF(AND(C149=0,$F105=D121),$F118,0)+IF(C149=0,0,$F118)</f>
        <v>0</v>
      </c>
      <c r="E149" s="1095">
        <f t="shared" ref="E149:N149" si="98">IF(AND(D149=0,$F105=E121),$F118,0)+IF(D149=0,0,$F118)</f>
        <v>0</v>
      </c>
      <c r="F149" s="1095">
        <f t="shared" si="98"/>
        <v>0</v>
      </c>
      <c r="G149" s="1095">
        <f t="shared" si="98"/>
        <v>0</v>
      </c>
      <c r="H149" s="1095">
        <f t="shared" si="98"/>
        <v>0</v>
      </c>
      <c r="I149" s="1095">
        <f t="shared" si="98"/>
        <v>0</v>
      </c>
      <c r="J149" s="1095">
        <f t="shared" si="98"/>
        <v>0</v>
      </c>
      <c r="K149" s="1095">
        <f t="shared" si="98"/>
        <v>0</v>
      </c>
      <c r="L149" s="1095">
        <f t="shared" si="98"/>
        <v>0</v>
      </c>
      <c r="M149" s="1095">
        <f t="shared" si="98"/>
        <v>0</v>
      </c>
      <c r="N149" s="1095">
        <f t="shared" si="98"/>
        <v>0</v>
      </c>
      <c r="O149" s="1095">
        <f t="shared" si="94"/>
        <v>0</v>
      </c>
    </row>
    <row r="150" spans="1:15" ht="12.75" hidden="1" customHeight="1" x14ac:dyDescent="0.25">
      <c r="A150" s="1094" t="str">
        <f t="shared" si="95"/>
        <v>Promotor 5</v>
      </c>
      <c r="B150" s="1094"/>
      <c r="C150" s="1095">
        <f>IF(G$105=C$121,G$118,0)</f>
        <v>0</v>
      </c>
      <c r="D150" s="1095">
        <f>IF(AND(C150=0,$G105=D121),$G118,0)+IF(C150=0,0,$G118)</f>
        <v>0</v>
      </c>
      <c r="E150" s="1095">
        <f t="shared" ref="E150:N150" si="99">IF(AND(D150=0,$G105=E121),$G118,0)+IF(D150=0,0,$G118)</f>
        <v>0</v>
      </c>
      <c r="F150" s="1095">
        <f t="shared" si="99"/>
        <v>0</v>
      </c>
      <c r="G150" s="1095">
        <f t="shared" si="99"/>
        <v>0</v>
      </c>
      <c r="H150" s="1095">
        <f t="shared" si="99"/>
        <v>0</v>
      </c>
      <c r="I150" s="1095">
        <f t="shared" si="99"/>
        <v>0</v>
      </c>
      <c r="J150" s="1095">
        <f t="shared" si="99"/>
        <v>0</v>
      </c>
      <c r="K150" s="1095">
        <f t="shared" si="99"/>
        <v>0</v>
      </c>
      <c r="L150" s="1095">
        <f t="shared" si="99"/>
        <v>0</v>
      </c>
      <c r="M150" s="1095">
        <f t="shared" si="99"/>
        <v>0</v>
      </c>
      <c r="N150" s="1095">
        <f t="shared" si="99"/>
        <v>0</v>
      </c>
      <c r="O150" s="1095">
        <f t="shared" si="94"/>
        <v>0</v>
      </c>
    </row>
    <row r="151" spans="1:15" ht="12.75" hidden="1" customHeight="1" x14ac:dyDescent="0.25">
      <c r="A151" s="1094" t="str">
        <f t="shared" si="95"/>
        <v>Promotor 6</v>
      </c>
      <c r="B151" s="1094"/>
      <c r="C151" s="1095">
        <f>IF(H$105=C$121,H$118,0)</f>
        <v>0</v>
      </c>
      <c r="D151" s="1095">
        <f>IF(AND(C151=0,$H105=D121),$H118,0)+IF(C151=0,0,$H118)</f>
        <v>0</v>
      </c>
      <c r="E151" s="1095">
        <f t="shared" ref="E151:N151" si="100">IF(AND(D151=0,$H105=E121),$H118,0)+IF(D151=0,0,$H118)</f>
        <v>0</v>
      </c>
      <c r="F151" s="1095">
        <f t="shared" si="100"/>
        <v>0</v>
      </c>
      <c r="G151" s="1095">
        <f t="shared" si="100"/>
        <v>0</v>
      </c>
      <c r="H151" s="1095">
        <f t="shared" si="100"/>
        <v>0</v>
      </c>
      <c r="I151" s="1095">
        <f t="shared" si="100"/>
        <v>0</v>
      </c>
      <c r="J151" s="1095">
        <f t="shared" si="100"/>
        <v>0</v>
      </c>
      <c r="K151" s="1095">
        <f t="shared" si="100"/>
        <v>0</v>
      </c>
      <c r="L151" s="1095">
        <f t="shared" si="100"/>
        <v>0</v>
      </c>
      <c r="M151" s="1095">
        <f t="shared" si="100"/>
        <v>0</v>
      </c>
      <c r="N151" s="1095">
        <f t="shared" si="100"/>
        <v>0</v>
      </c>
      <c r="O151" s="1095">
        <f t="shared" si="94"/>
        <v>0</v>
      </c>
    </row>
    <row r="152" spans="1:15" ht="12.75" hidden="1" customHeight="1" x14ac:dyDescent="0.25">
      <c r="A152" s="1094" t="str">
        <f t="shared" si="95"/>
        <v>Promotor 7</v>
      </c>
      <c r="B152" s="1094"/>
      <c r="C152" s="1095">
        <f>IF(I$105=C$121,I$118,0)</f>
        <v>0</v>
      </c>
      <c r="D152" s="1095">
        <f>IF(AND(C152=0,$I105=D121),$I118,0)+IF(C152=0,0,$I118)</f>
        <v>0</v>
      </c>
      <c r="E152" s="1095">
        <f t="shared" ref="E152:N152" si="101">IF(AND(D152=0,$I105=E121),$I118,0)+IF(D152=0,0,$I118)</f>
        <v>0</v>
      </c>
      <c r="F152" s="1095">
        <f t="shared" si="101"/>
        <v>0</v>
      </c>
      <c r="G152" s="1095">
        <f t="shared" si="101"/>
        <v>0</v>
      </c>
      <c r="H152" s="1095">
        <f t="shared" si="101"/>
        <v>0</v>
      </c>
      <c r="I152" s="1095">
        <f t="shared" si="101"/>
        <v>0</v>
      </c>
      <c r="J152" s="1095">
        <f t="shared" si="101"/>
        <v>0</v>
      </c>
      <c r="K152" s="1095">
        <f t="shared" si="101"/>
        <v>0</v>
      </c>
      <c r="L152" s="1095">
        <f t="shared" si="101"/>
        <v>0</v>
      </c>
      <c r="M152" s="1095">
        <f t="shared" si="101"/>
        <v>0</v>
      </c>
      <c r="N152" s="1095">
        <f t="shared" si="101"/>
        <v>0</v>
      </c>
      <c r="O152" s="1095">
        <f t="shared" si="94"/>
        <v>0</v>
      </c>
    </row>
    <row r="153" spans="1:15" ht="12.75" hidden="1" customHeight="1" x14ac:dyDescent="0.25">
      <c r="A153" s="1094" t="str">
        <f t="shared" si="95"/>
        <v>Promotor 8</v>
      </c>
      <c r="B153" s="1094"/>
      <c r="C153" s="1095">
        <f>IF(J$105=C$121,J$118,0)</f>
        <v>0</v>
      </c>
      <c r="D153" s="1095">
        <f>IF(AND(C153=0,$J105=D121),$J118,0)+IF(C153=0,0,$J118)</f>
        <v>0</v>
      </c>
      <c r="E153" s="1095">
        <f t="shared" ref="E153:N153" si="102">IF(AND(D153=0,$J105=E121),$J118,0)+IF(D153=0,0,$J118)</f>
        <v>0</v>
      </c>
      <c r="F153" s="1095">
        <f t="shared" si="102"/>
        <v>0</v>
      </c>
      <c r="G153" s="1095">
        <f t="shared" si="102"/>
        <v>0</v>
      </c>
      <c r="H153" s="1095">
        <f t="shared" si="102"/>
        <v>0</v>
      </c>
      <c r="I153" s="1095">
        <f t="shared" si="102"/>
        <v>0</v>
      </c>
      <c r="J153" s="1095">
        <f t="shared" si="102"/>
        <v>0</v>
      </c>
      <c r="K153" s="1095">
        <f t="shared" si="102"/>
        <v>0</v>
      </c>
      <c r="L153" s="1095">
        <f t="shared" si="102"/>
        <v>0</v>
      </c>
      <c r="M153" s="1095">
        <f t="shared" si="102"/>
        <v>0</v>
      </c>
      <c r="N153" s="1095">
        <f t="shared" si="102"/>
        <v>0</v>
      </c>
      <c r="O153" s="1095">
        <f t="shared" si="94"/>
        <v>0</v>
      </c>
    </row>
    <row r="154" spans="1:15" ht="12.75" hidden="1" customHeight="1" x14ac:dyDescent="0.25">
      <c r="A154" s="1094" t="str">
        <f t="shared" si="95"/>
        <v>Promotor 9</v>
      </c>
      <c r="B154" s="1094"/>
      <c r="C154" s="1095">
        <f>IF(K$105=C$121,K$118,0)</f>
        <v>0</v>
      </c>
      <c r="D154" s="1095">
        <f>IF(AND(C154=0,$K105=D121),$K118,0)+IF(C154=0,0,$K118)</f>
        <v>0</v>
      </c>
      <c r="E154" s="1095">
        <f t="shared" ref="E154:N154" si="103">IF(AND(D154=0,$K105=E121),$K118,0)+IF(D154=0,0,$K118)</f>
        <v>0</v>
      </c>
      <c r="F154" s="1095">
        <f t="shared" si="103"/>
        <v>0</v>
      </c>
      <c r="G154" s="1095">
        <f t="shared" si="103"/>
        <v>0</v>
      </c>
      <c r="H154" s="1095">
        <f t="shared" si="103"/>
        <v>0</v>
      </c>
      <c r="I154" s="1095">
        <f t="shared" si="103"/>
        <v>0</v>
      </c>
      <c r="J154" s="1095">
        <f t="shared" si="103"/>
        <v>0</v>
      </c>
      <c r="K154" s="1095">
        <f t="shared" si="103"/>
        <v>0</v>
      </c>
      <c r="L154" s="1095">
        <f t="shared" si="103"/>
        <v>0</v>
      </c>
      <c r="M154" s="1095">
        <f t="shared" si="103"/>
        <v>0</v>
      </c>
      <c r="N154" s="1095">
        <f t="shared" si="103"/>
        <v>0</v>
      </c>
      <c r="O154" s="1095">
        <f t="shared" si="94"/>
        <v>0</v>
      </c>
    </row>
    <row r="155" spans="1:15" ht="12.75" hidden="1" customHeight="1" x14ac:dyDescent="0.25">
      <c r="A155" s="1094" t="str">
        <f t="shared" si="95"/>
        <v>Promotor 10</v>
      </c>
      <c r="B155" s="1094"/>
      <c r="C155" s="1095">
        <f>IF(L$105=C$121,L$118,0)</f>
        <v>0</v>
      </c>
      <c r="D155" s="1095">
        <f>IF(AND(C155=0,$L105=D121),$L118,0)+IF(C155=0,0,$L118)</f>
        <v>0</v>
      </c>
      <c r="E155" s="1095">
        <f t="shared" ref="E155:N155" si="104">IF(AND(D155=0,$L105=E121),$L118,0)+IF(D155=0,0,$L118)</f>
        <v>0</v>
      </c>
      <c r="F155" s="1095">
        <f t="shared" si="104"/>
        <v>0</v>
      </c>
      <c r="G155" s="1095">
        <f t="shared" si="104"/>
        <v>0</v>
      </c>
      <c r="H155" s="1095">
        <f t="shared" si="104"/>
        <v>0</v>
      </c>
      <c r="I155" s="1095">
        <f t="shared" si="104"/>
        <v>0</v>
      </c>
      <c r="J155" s="1095">
        <f t="shared" si="104"/>
        <v>0</v>
      </c>
      <c r="K155" s="1095">
        <f t="shared" si="104"/>
        <v>0</v>
      </c>
      <c r="L155" s="1095">
        <f t="shared" si="104"/>
        <v>0</v>
      </c>
      <c r="M155" s="1095">
        <f t="shared" si="104"/>
        <v>0</v>
      </c>
      <c r="N155" s="1095">
        <f t="shared" si="104"/>
        <v>0</v>
      </c>
      <c r="O155" s="1095">
        <f t="shared" si="94"/>
        <v>0</v>
      </c>
    </row>
    <row r="156" spans="1:15" ht="13" x14ac:dyDescent="0.3">
      <c r="A156" s="1781" t="s">
        <v>365</v>
      </c>
      <c r="B156" s="1781"/>
      <c r="C156" s="1096">
        <f t="shared" ref="C156:O156" si="105">C145+C122</f>
        <v>0</v>
      </c>
      <c r="D156" s="1096">
        <f t="shared" si="105"/>
        <v>0</v>
      </c>
      <c r="E156" s="1096">
        <f t="shared" si="105"/>
        <v>0</v>
      </c>
      <c r="F156" s="1096">
        <f t="shared" si="105"/>
        <v>0</v>
      </c>
      <c r="G156" s="1096">
        <f t="shared" si="105"/>
        <v>0</v>
      </c>
      <c r="H156" s="1096">
        <f t="shared" si="105"/>
        <v>0</v>
      </c>
      <c r="I156" s="1096">
        <f t="shared" si="105"/>
        <v>0</v>
      </c>
      <c r="J156" s="1096">
        <f t="shared" si="105"/>
        <v>0</v>
      </c>
      <c r="K156" s="1096">
        <f t="shared" si="105"/>
        <v>0</v>
      </c>
      <c r="L156" s="1096">
        <f t="shared" si="105"/>
        <v>0</v>
      </c>
      <c r="M156" s="1096">
        <f t="shared" si="105"/>
        <v>0</v>
      </c>
      <c r="N156" s="1096">
        <f t="shared" si="105"/>
        <v>0</v>
      </c>
      <c r="O156" s="1096">
        <f t="shared" si="105"/>
        <v>0</v>
      </c>
    </row>
    <row r="157" spans="1:15" ht="13" x14ac:dyDescent="0.3">
      <c r="A157" s="1883" t="s">
        <v>163</v>
      </c>
      <c r="B157" s="1883"/>
      <c r="C157" s="1072">
        <f t="shared" ref="C157:N157" si="106">SUM(C158:C167)</f>
        <v>0</v>
      </c>
      <c r="D157" s="1072">
        <f t="shared" si="106"/>
        <v>0</v>
      </c>
      <c r="E157" s="1072">
        <f t="shared" si="106"/>
        <v>0</v>
      </c>
      <c r="F157" s="1072">
        <f t="shared" si="106"/>
        <v>0</v>
      </c>
      <c r="G157" s="1072">
        <f t="shared" si="106"/>
        <v>0</v>
      </c>
      <c r="H157" s="1072">
        <f t="shared" si="106"/>
        <v>0</v>
      </c>
      <c r="I157" s="1072">
        <f t="shared" si="106"/>
        <v>0</v>
      </c>
      <c r="J157" s="1072">
        <f t="shared" si="106"/>
        <v>0</v>
      </c>
      <c r="K157" s="1072">
        <f t="shared" si="106"/>
        <v>0</v>
      </c>
      <c r="L157" s="1072">
        <f t="shared" si="106"/>
        <v>0</v>
      </c>
      <c r="M157" s="1072">
        <f t="shared" si="106"/>
        <v>0</v>
      </c>
      <c r="N157" s="1072">
        <f t="shared" si="106"/>
        <v>0</v>
      </c>
      <c r="O157" s="1072">
        <f>SUM(C157:N157)</f>
        <v>0</v>
      </c>
    </row>
    <row r="158" spans="1:15" hidden="1" x14ac:dyDescent="0.25">
      <c r="A158" s="1094" t="str">
        <f>A124</f>
        <v>Promotor 1</v>
      </c>
      <c r="B158" s="1094"/>
      <c r="C158" s="1095">
        <f>IF(C124=0,0,C124*$C119)</f>
        <v>0</v>
      </c>
      <c r="D158" s="1095">
        <f t="shared" ref="D158:N158" si="107">IF(D124=0,0,D124*$C119)</f>
        <v>0</v>
      </c>
      <c r="E158" s="1095">
        <f t="shared" si="107"/>
        <v>0</v>
      </c>
      <c r="F158" s="1095">
        <f t="shared" si="107"/>
        <v>0</v>
      </c>
      <c r="G158" s="1095">
        <f t="shared" si="107"/>
        <v>0</v>
      </c>
      <c r="H158" s="1095">
        <f t="shared" si="107"/>
        <v>0</v>
      </c>
      <c r="I158" s="1095">
        <f t="shared" si="107"/>
        <v>0</v>
      </c>
      <c r="J158" s="1095">
        <f t="shared" si="107"/>
        <v>0</v>
      </c>
      <c r="K158" s="1095">
        <f t="shared" si="107"/>
        <v>0</v>
      </c>
      <c r="L158" s="1095">
        <f t="shared" si="107"/>
        <v>0</v>
      </c>
      <c r="M158" s="1095">
        <f t="shared" si="107"/>
        <v>0</v>
      </c>
      <c r="N158" s="1095">
        <f t="shared" si="107"/>
        <v>0</v>
      </c>
      <c r="O158" s="1095">
        <f t="shared" ref="O158:O167" si="108">SUM(C158:N158)</f>
        <v>0</v>
      </c>
    </row>
    <row r="159" spans="1:15" hidden="1" x14ac:dyDescent="0.25">
      <c r="A159" s="1094" t="str">
        <f t="shared" ref="A159:A167" si="109">A125</f>
        <v>Promotor 2</v>
      </c>
      <c r="B159" s="1094"/>
      <c r="C159" s="1095">
        <f>IF(C125=0,0,C125*$D119)</f>
        <v>0</v>
      </c>
      <c r="D159" s="1095">
        <f t="shared" ref="D159:N159" si="110">IF(D125=0,0,D125*$D119)</f>
        <v>0</v>
      </c>
      <c r="E159" s="1095">
        <f t="shared" si="110"/>
        <v>0</v>
      </c>
      <c r="F159" s="1095">
        <f t="shared" si="110"/>
        <v>0</v>
      </c>
      <c r="G159" s="1095">
        <f t="shared" si="110"/>
        <v>0</v>
      </c>
      <c r="H159" s="1095">
        <f t="shared" si="110"/>
        <v>0</v>
      </c>
      <c r="I159" s="1095">
        <f t="shared" si="110"/>
        <v>0</v>
      </c>
      <c r="J159" s="1095">
        <f t="shared" si="110"/>
        <v>0</v>
      </c>
      <c r="K159" s="1095">
        <f t="shared" si="110"/>
        <v>0</v>
      </c>
      <c r="L159" s="1095">
        <f t="shared" si="110"/>
        <v>0</v>
      </c>
      <c r="M159" s="1095">
        <f t="shared" si="110"/>
        <v>0</v>
      </c>
      <c r="N159" s="1095">
        <f t="shared" si="110"/>
        <v>0</v>
      </c>
      <c r="O159" s="1095">
        <f t="shared" si="108"/>
        <v>0</v>
      </c>
    </row>
    <row r="160" spans="1:15" hidden="1" x14ac:dyDescent="0.25">
      <c r="A160" s="1094" t="str">
        <f t="shared" si="109"/>
        <v>Promotor 3</v>
      </c>
      <c r="B160" s="1094"/>
      <c r="C160" s="1095">
        <f>IF(C126=0,0,C126*$E119)</f>
        <v>0</v>
      </c>
      <c r="D160" s="1095">
        <f t="shared" ref="D160:N160" si="111">IF(D126=0,0,D126*$E119)</f>
        <v>0</v>
      </c>
      <c r="E160" s="1095">
        <f t="shared" si="111"/>
        <v>0</v>
      </c>
      <c r="F160" s="1095">
        <f t="shared" si="111"/>
        <v>0</v>
      </c>
      <c r="G160" s="1095">
        <f t="shared" si="111"/>
        <v>0</v>
      </c>
      <c r="H160" s="1095">
        <f t="shared" si="111"/>
        <v>0</v>
      </c>
      <c r="I160" s="1095">
        <f t="shared" si="111"/>
        <v>0</v>
      </c>
      <c r="J160" s="1095">
        <f t="shared" si="111"/>
        <v>0</v>
      </c>
      <c r="K160" s="1095">
        <f t="shared" si="111"/>
        <v>0</v>
      </c>
      <c r="L160" s="1095">
        <f t="shared" si="111"/>
        <v>0</v>
      </c>
      <c r="M160" s="1095">
        <f t="shared" si="111"/>
        <v>0</v>
      </c>
      <c r="N160" s="1095">
        <f t="shared" si="111"/>
        <v>0</v>
      </c>
      <c r="O160" s="1095">
        <f t="shared" si="108"/>
        <v>0</v>
      </c>
    </row>
    <row r="161" spans="1:15" hidden="1" x14ac:dyDescent="0.25">
      <c r="A161" s="1094" t="str">
        <f t="shared" si="109"/>
        <v>Promotor 4</v>
      </c>
      <c r="B161" s="1094"/>
      <c r="C161" s="1095">
        <f>IF(C127=0,0,C127*$F119)</f>
        <v>0</v>
      </c>
      <c r="D161" s="1095">
        <f t="shared" ref="D161:N161" si="112">IF(D127=0,0,D127*$F119)</f>
        <v>0</v>
      </c>
      <c r="E161" s="1095">
        <f t="shared" si="112"/>
        <v>0</v>
      </c>
      <c r="F161" s="1095">
        <f t="shared" si="112"/>
        <v>0</v>
      </c>
      <c r="G161" s="1095">
        <f t="shared" si="112"/>
        <v>0</v>
      </c>
      <c r="H161" s="1095">
        <f t="shared" si="112"/>
        <v>0</v>
      </c>
      <c r="I161" s="1095">
        <f t="shared" si="112"/>
        <v>0</v>
      </c>
      <c r="J161" s="1095">
        <f t="shared" si="112"/>
        <v>0</v>
      </c>
      <c r="K161" s="1095">
        <f t="shared" si="112"/>
        <v>0</v>
      </c>
      <c r="L161" s="1095">
        <f t="shared" si="112"/>
        <v>0</v>
      </c>
      <c r="M161" s="1095">
        <f t="shared" si="112"/>
        <v>0</v>
      </c>
      <c r="N161" s="1095">
        <f t="shared" si="112"/>
        <v>0</v>
      </c>
      <c r="O161" s="1095">
        <f t="shared" si="108"/>
        <v>0</v>
      </c>
    </row>
    <row r="162" spans="1:15" hidden="1" x14ac:dyDescent="0.25">
      <c r="A162" s="1094" t="str">
        <f t="shared" si="109"/>
        <v>Promotor 5</v>
      </c>
      <c r="B162" s="1094"/>
      <c r="C162" s="1095">
        <f>IF(C128=0,0,C128*$G119)</f>
        <v>0</v>
      </c>
      <c r="D162" s="1095">
        <f t="shared" ref="D162:N162" si="113">IF(D128=0,0,D128*$G119)</f>
        <v>0</v>
      </c>
      <c r="E162" s="1095">
        <f t="shared" si="113"/>
        <v>0</v>
      </c>
      <c r="F162" s="1095">
        <f t="shared" si="113"/>
        <v>0</v>
      </c>
      <c r="G162" s="1095">
        <f t="shared" si="113"/>
        <v>0</v>
      </c>
      <c r="H162" s="1095">
        <f t="shared" si="113"/>
        <v>0</v>
      </c>
      <c r="I162" s="1095">
        <f t="shared" si="113"/>
        <v>0</v>
      </c>
      <c r="J162" s="1095">
        <f t="shared" si="113"/>
        <v>0</v>
      </c>
      <c r="K162" s="1095">
        <f t="shared" si="113"/>
        <v>0</v>
      </c>
      <c r="L162" s="1095">
        <f t="shared" si="113"/>
        <v>0</v>
      </c>
      <c r="M162" s="1095">
        <f t="shared" si="113"/>
        <v>0</v>
      </c>
      <c r="N162" s="1095">
        <f t="shared" si="113"/>
        <v>0</v>
      </c>
      <c r="O162" s="1095">
        <f t="shared" si="108"/>
        <v>0</v>
      </c>
    </row>
    <row r="163" spans="1:15" hidden="1" x14ac:dyDescent="0.25">
      <c r="A163" s="1094" t="str">
        <f t="shared" si="109"/>
        <v>Promotor 6</v>
      </c>
      <c r="B163" s="1094"/>
      <c r="C163" s="1095">
        <f>IF(C129=0,0,C129*$H119)</f>
        <v>0</v>
      </c>
      <c r="D163" s="1095">
        <f t="shared" ref="D163:N163" si="114">IF(D129=0,0,D129*$H119)</f>
        <v>0</v>
      </c>
      <c r="E163" s="1095">
        <f t="shared" si="114"/>
        <v>0</v>
      </c>
      <c r="F163" s="1095">
        <f t="shared" si="114"/>
        <v>0</v>
      </c>
      <c r="G163" s="1095">
        <f t="shared" si="114"/>
        <v>0</v>
      </c>
      <c r="H163" s="1095">
        <f t="shared" si="114"/>
        <v>0</v>
      </c>
      <c r="I163" s="1095">
        <f t="shared" si="114"/>
        <v>0</v>
      </c>
      <c r="J163" s="1095">
        <f t="shared" si="114"/>
        <v>0</v>
      </c>
      <c r="K163" s="1095">
        <f t="shared" si="114"/>
        <v>0</v>
      </c>
      <c r="L163" s="1095">
        <f t="shared" si="114"/>
        <v>0</v>
      </c>
      <c r="M163" s="1095">
        <f t="shared" si="114"/>
        <v>0</v>
      </c>
      <c r="N163" s="1095">
        <f t="shared" si="114"/>
        <v>0</v>
      </c>
      <c r="O163" s="1095">
        <f t="shared" si="108"/>
        <v>0</v>
      </c>
    </row>
    <row r="164" spans="1:15" hidden="1" x14ac:dyDescent="0.25">
      <c r="A164" s="1094" t="str">
        <f t="shared" si="109"/>
        <v>Promotor 7</v>
      </c>
      <c r="B164" s="1094"/>
      <c r="C164" s="1095">
        <f>IF(C130=0,0,C130*$I119)</f>
        <v>0</v>
      </c>
      <c r="D164" s="1095">
        <f t="shared" ref="D164:N164" si="115">IF(D130=0,0,D130*$I119)</f>
        <v>0</v>
      </c>
      <c r="E164" s="1095">
        <f t="shared" si="115"/>
        <v>0</v>
      </c>
      <c r="F164" s="1095">
        <f t="shared" si="115"/>
        <v>0</v>
      </c>
      <c r="G164" s="1095">
        <f t="shared" si="115"/>
        <v>0</v>
      </c>
      <c r="H164" s="1095">
        <f t="shared" si="115"/>
        <v>0</v>
      </c>
      <c r="I164" s="1095">
        <f t="shared" si="115"/>
        <v>0</v>
      </c>
      <c r="J164" s="1095">
        <f t="shared" si="115"/>
        <v>0</v>
      </c>
      <c r="K164" s="1095">
        <f t="shared" si="115"/>
        <v>0</v>
      </c>
      <c r="L164" s="1095">
        <f t="shared" si="115"/>
        <v>0</v>
      </c>
      <c r="M164" s="1095">
        <f t="shared" si="115"/>
        <v>0</v>
      </c>
      <c r="N164" s="1095">
        <f t="shared" si="115"/>
        <v>0</v>
      </c>
      <c r="O164" s="1095">
        <f t="shared" si="108"/>
        <v>0</v>
      </c>
    </row>
    <row r="165" spans="1:15" hidden="1" x14ac:dyDescent="0.25">
      <c r="A165" s="1094" t="str">
        <f t="shared" si="109"/>
        <v>Promotor 8</v>
      </c>
      <c r="B165" s="1094"/>
      <c r="C165" s="1095">
        <f>IF(C131=0,0,C131*$J119)</f>
        <v>0</v>
      </c>
      <c r="D165" s="1095">
        <f t="shared" ref="D165:N165" si="116">IF(D131=0,0,D131*$J119)</f>
        <v>0</v>
      </c>
      <c r="E165" s="1095">
        <f t="shared" si="116"/>
        <v>0</v>
      </c>
      <c r="F165" s="1095">
        <f t="shared" si="116"/>
        <v>0</v>
      </c>
      <c r="G165" s="1095">
        <f t="shared" si="116"/>
        <v>0</v>
      </c>
      <c r="H165" s="1095">
        <f t="shared" si="116"/>
        <v>0</v>
      </c>
      <c r="I165" s="1095">
        <f t="shared" si="116"/>
        <v>0</v>
      </c>
      <c r="J165" s="1095">
        <f t="shared" si="116"/>
        <v>0</v>
      </c>
      <c r="K165" s="1095">
        <f t="shared" si="116"/>
        <v>0</v>
      </c>
      <c r="L165" s="1095">
        <f t="shared" si="116"/>
        <v>0</v>
      </c>
      <c r="M165" s="1095">
        <f t="shared" si="116"/>
        <v>0</v>
      </c>
      <c r="N165" s="1095">
        <f t="shared" si="116"/>
        <v>0</v>
      </c>
      <c r="O165" s="1095">
        <f t="shared" si="108"/>
        <v>0</v>
      </c>
    </row>
    <row r="166" spans="1:15" hidden="1" x14ac:dyDescent="0.25">
      <c r="A166" s="1094" t="str">
        <f t="shared" si="109"/>
        <v>Promotor 9</v>
      </c>
      <c r="B166" s="1094"/>
      <c r="C166" s="1095">
        <f>IF(C132=0,0,C132*$K119)</f>
        <v>0</v>
      </c>
      <c r="D166" s="1095">
        <f t="shared" ref="D166:N166" si="117">IF(D132=0,0,D132*$K119)</f>
        <v>0</v>
      </c>
      <c r="E166" s="1095">
        <f t="shared" si="117"/>
        <v>0</v>
      </c>
      <c r="F166" s="1095">
        <f t="shared" si="117"/>
        <v>0</v>
      </c>
      <c r="G166" s="1095">
        <f t="shared" si="117"/>
        <v>0</v>
      </c>
      <c r="H166" s="1095">
        <f t="shared" si="117"/>
        <v>0</v>
      </c>
      <c r="I166" s="1095">
        <f t="shared" si="117"/>
        <v>0</v>
      </c>
      <c r="J166" s="1095">
        <f t="shared" si="117"/>
        <v>0</v>
      </c>
      <c r="K166" s="1095">
        <f t="shared" si="117"/>
        <v>0</v>
      </c>
      <c r="L166" s="1095">
        <f t="shared" si="117"/>
        <v>0</v>
      </c>
      <c r="M166" s="1095">
        <f t="shared" si="117"/>
        <v>0</v>
      </c>
      <c r="N166" s="1095">
        <f t="shared" si="117"/>
        <v>0</v>
      </c>
      <c r="O166" s="1095">
        <f t="shared" si="108"/>
        <v>0</v>
      </c>
    </row>
    <row r="167" spans="1:15" hidden="1" x14ac:dyDescent="0.25">
      <c r="A167" s="1094" t="str">
        <f t="shared" si="109"/>
        <v>Promotor 10</v>
      </c>
      <c r="B167" s="1094"/>
      <c r="C167" s="1095">
        <f>IF(C133=0,0,C133*$L119)</f>
        <v>0</v>
      </c>
      <c r="D167" s="1095">
        <f t="shared" ref="D167:N167" si="118">IF(D133=0,0,D133*$L119)</f>
        <v>0</v>
      </c>
      <c r="E167" s="1095">
        <f t="shared" si="118"/>
        <v>0</v>
      </c>
      <c r="F167" s="1095">
        <f t="shared" si="118"/>
        <v>0</v>
      </c>
      <c r="G167" s="1095">
        <f t="shared" si="118"/>
        <v>0</v>
      </c>
      <c r="H167" s="1095">
        <f t="shared" si="118"/>
        <v>0</v>
      </c>
      <c r="I167" s="1095">
        <f t="shared" si="118"/>
        <v>0</v>
      </c>
      <c r="J167" s="1095">
        <f t="shared" si="118"/>
        <v>0</v>
      </c>
      <c r="K167" s="1095">
        <f t="shared" si="118"/>
        <v>0</v>
      </c>
      <c r="L167" s="1095">
        <f t="shared" si="118"/>
        <v>0</v>
      </c>
      <c r="M167" s="1095">
        <f t="shared" si="118"/>
        <v>0</v>
      </c>
      <c r="N167" s="1095">
        <f t="shared" si="118"/>
        <v>0</v>
      </c>
      <c r="O167" s="1095">
        <f t="shared" si="108"/>
        <v>0</v>
      </c>
    </row>
    <row r="168" spans="1:15" ht="13" x14ac:dyDescent="0.3">
      <c r="A168" s="1884" t="s">
        <v>366</v>
      </c>
      <c r="B168" s="1884"/>
      <c r="C168" s="1097">
        <f>SUM(C169:C178)+C134</f>
        <v>0</v>
      </c>
      <c r="D168" s="1097">
        <f t="shared" ref="D168:N168" si="119">SUM(D169:D178)+D134</f>
        <v>0</v>
      </c>
      <c r="E168" s="1097">
        <f t="shared" si="119"/>
        <v>0</v>
      </c>
      <c r="F168" s="1097">
        <f t="shared" si="119"/>
        <v>0</v>
      </c>
      <c r="G168" s="1097">
        <f t="shared" si="119"/>
        <v>0</v>
      </c>
      <c r="H168" s="1097">
        <f t="shared" si="119"/>
        <v>0</v>
      </c>
      <c r="I168" s="1097">
        <f t="shared" si="119"/>
        <v>0</v>
      </c>
      <c r="J168" s="1097">
        <f t="shared" si="119"/>
        <v>0</v>
      </c>
      <c r="K168" s="1097">
        <f t="shared" si="119"/>
        <v>0</v>
      </c>
      <c r="L168" s="1097">
        <f t="shared" si="119"/>
        <v>0</v>
      </c>
      <c r="M168" s="1097">
        <f t="shared" si="119"/>
        <v>0</v>
      </c>
      <c r="N168" s="1097">
        <f t="shared" si="119"/>
        <v>0</v>
      </c>
      <c r="O168" s="1097">
        <f>SUM(C168:N168)</f>
        <v>0</v>
      </c>
    </row>
    <row r="169" spans="1:15" hidden="1" x14ac:dyDescent="0.25">
      <c r="A169" s="1098" t="str">
        <f>A124</f>
        <v>Promotor 1</v>
      </c>
      <c r="B169" s="1098"/>
      <c r="C169" s="1099">
        <f t="shared" ref="C169:N178" si="120">C124-C158+C90</f>
        <v>0</v>
      </c>
      <c r="D169" s="1099">
        <f t="shared" si="120"/>
        <v>0</v>
      </c>
      <c r="E169" s="1099">
        <f t="shared" si="120"/>
        <v>0</v>
      </c>
      <c r="F169" s="1099">
        <f t="shared" si="120"/>
        <v>0</v>
      </c>
      <c r="G169" s="1099">
        <f t="shared" si="120"/>
        <v>0</v>
      </c>
      <c r="H169" s="1099">
        <f t="shared" si="120"/>
        <v>0</v>
      </c>
      <c r="I169" s="1099">
        <f t="shared" si="120"/>
        <v>0</v>
      </c>
      <c r="J169" s="1099">
        <f t="shared" si="120"/>
        <v>0</v>
      </c>
      <c r="K169" s="1099">
        <f t="shared" si="120"/>
        <v>0</v>
      </c>
      <c r="L169" s="1099">
        <f t="shared" si="120"/>
        <v>0</v>
      </c>
      <c r="M169" s="1099">
        <f t="shared" si="120"/>
        <v>0</v>
      </c>
      <c r="N169" s="1099">
        <f t="shared" si="120"/>
        <v>0</v>
      </c>
      <c r="O169" s="1099">
        <f t="shared" ref="O169:O178" si="121">SUM(C169:N169)</f>
        <v>0</v>
      </c>
    </row>
    <row r="170" spans="1:15" hidden="1" x14ac:dyDescent="0.25">
      <c r="A170" s="1098" t="str">
        <f t="shared" ref="A170:A178" si="122">A125</f>
        <v>Promotor 2</v>
      </c>
      <c r="B170" s="1098"/>
      <c r="C170" s="1099">
        <f t="shared" si="120"/>
        <v>0</v>
      </c>
      <c r="D170" s="1099">
        <f t="shared" si="120"/>
        <v>0</v>
      </c>
      <c r="E170" s="1099">
        <f t="shared" si="120"/>
        <v>0</v>
      </c>
      <c r="F170" s="1099">
        <f t="shared" si="120"/>
        <v>0</v>
      </c>
      <c r="G170" s="1099">
        <f t="shared" si="120"/>
        <v>0</v>
      </c>
      <c r="H170" s="1099">
        <f t="shared" si="120"/>
        <v>0</v>
      </c>
      <c r="I170" s="1099">
        <f t="shared" si="120"/>
        <v>0</v>
      </c>
      <c r="J170" s="1099">
        <f t="shared" si="120"/>
        <v>0</v>
      </c>
      <c r="K170" s="1099">
        <f t="shared" si="120"/>
        <v>0</v>
      </c>
      <c r="L170" s="1099">
        <f t="shared" si="120"/>
        <v>0</v>
      </c>
      <c r="M170" s="1099">
        <f t="shared" si="120"/>
        <v>0</v>
      </c>
      <c r="N170" s="1099">
        <f t="shared" si="120"/>
        <v>0</v>
      </c>
      <c r="O170" s="1099">
        <f t="shared" si="121"/>
        <v>0</v>
      </c>
    </row>
    <row r="171" spans="1:15" hidden="1" x14ac:dyDescent="0.25">
      <c r="A171" s="1098" t="str">
        <f t="shared" si="122"/>
        <v>Promotor 3</v>
      </c>
      <c r="B171" s="1098"/>
      <c r="C171" s="1099">
        <f t="shared" si="120"/>
        <v>0</v>
      </c>
      <c r="D171" s="1099">
        <f t="shared" si="120"/>
        <v>0</v>
      </c>
      <c r="E171" s="1099">
        <f t="shared" si="120"/>
        <v>0</v>
      </c>
      <c r="F171" s="1099">
        <f t="shared" si="120"/>
        <v>0</v>
      </c>
      <c r="G171" s="1099">
        <f t="shared" si="120"/>
        <v>0</v>
      </c>
      <c r="H171" s="1099">
        <f t="shared" si="120"/>
        <v>0</v>
      </c>
      <c r="I171" s="1099">
        <f t="shared" si="120"/>
        <v>0</v>
      </c>
      <c r="J171" s="1099">
        <f t="shared" si="120"/>
        <v>0</v>
      </c>
      <c r="K171" s="1099">
        <f t="shared" si="120"/>
        <v>0</v>
      </c>
      <c r="L171" s="1099">
        <f t="shared" si="120"/>
        <v>0</v>
      </c>
      <c r="M171" s="1099">
        <f t="shared" si="120"/>
        <v>0</v>
      </c>
      <c r="N171" s="1099">
        <f t="shared" si="120"/>
        <v>0</v>
      </c>
      <c r="O171" s="1099">
        <f t="shared" si="121"/>
        <v>0</v>
      </c>
    </row>
    <row r="172" spans="1:15" hidden="1" x14ac:dyDescent="0.25">
      <c r="A172" s="1098" t="str">
        <f t="shared" si="122"/>
        <v>Promotor 4</v>
      </c>
      <c r="B172" s="1098"/>
      <c r="C172" s="1099">
        <f t="shared" si="120"/>
        <v>0</v>
      </c>
      <c r="D172" s="1099">
        <f t="shared" si="120"/>
        <v>0</v>
      </c>
      <c r="E172" s="1099">
        <f t="shared" si="120"/>
        <v>0</v>
      </c>
      <c r="F172" s="1099">
        <f t="shared" si="120"/>
        <v>0</v>
      </c>
      <c r="G172" s="1099">
        <f t="shared" si="120"/>
        <v>0</v>
      </c>
      <c r="H172" s="1099">
        <f t="shared" si="120"/>
        <v>0</v>
      </c>
      <c r="I172" s="1099">
        <f t="shared" si="120"/>
        <v>0</v>
      </c>
      <c r="J172" s="1099">
        <f t="shared" si="120"/>
        <v>0</v>
      </c>
      <c r="K172" s="1099">
        <f t="shared" si="120"/>
        <v>0</v>
      </c>
      <c r="L172" s="1099">
        <f t="shared" si="120"/>
        <v>0</v>
      </c>
      <c r="M172" s="1099">
        <f t="shared" si="120"/>
        <v>0</v>
      </c>
      <c r="N172" s="1099">
        <f t="shared" si="120"/>
        <v>0</v>
      </c>
      <c r="O172" s="1099">
        <f t="shared" si="121"/>
        <v>0</v>
      </c>
    </row>
    <row r="173" spans="1:15" hidden="1" x14ac:dyDescent="0.25">
      <c r="A173" s="1098" t="str">
        <f t="shared" si="122"/>
        <v>Promotor 5</v>
      </c>
      <c r="B173" s="1098"/>
      <c r="C173" s="1099">
        <f t="shared" si="120"/>
        <v>0</v>
      </c>
      <c r="D173" s="1099">
        <f t="shared" si="120"/>
        <v>0</v>
      </c>
      <c r="E173" s="1099">
        <f t="shared" si="120"/>
        <v>0</v>
      </c>
      <c r="F173" s="1099">
        <f t="shared" si="120"/>
        <v>0</v>
      </c>
      <c r="G173" s="1099">
        <f t="shared" si="120"/>
        <v>0</v>
      </c>
      <c r="H173" s="1099">
        <f t="shared" si="120"/>
        <v>0</v>
      </c>
      <c r="I173" s="1099">
        <f t="shared" si="120"/>
        <v>0</v>
      </c>
      <c r="J173" s="1099">
        <f t="shared" si="120"/>
        <v>0</v>
      </c>
      <c r="K173" s="1099">
        <f t="shared" si="120"/>
        <v>0</v>
      </c>
      <c r="L173" s="1099">
        <f t="shared" si="120"/>
        <v>0</v>
      </c>
      <c r="M173" s="1099">
        <f t="shared" si="120"/>
        <v>0</v>
      </c>
      <c r="N173" s="1099">
        <f t="shared" si="120"/>
        <v>0</v>
      </c>
      <c r="O173" s="1099">
        <f t="shared" si="121"/>
        <v>0</v>
      </c>
    </row>
    <row r="174" spans="1:15" hidden="1" x14ac:dyDescent="0.25">
      <c r="A174" s="1098" t="str">
        <f t="shared" si="122"/>
        <v>Promotor 6</v>
      </c>
      <c r="B174" s="1098"/>
      <c r="C174" s="1099">
        <f t="shared" si="120"/>
        <v>0</v>
      </c>
      <c r="D174" s="1099">
        <f t="shared" si="120"/>
        <v>0</v>
      </c>
      <c r="E174" s="1099">
        <f t="shared" si="120"/>
        <v>0</v>
      </c>
      <c r="F174" s="1099">
        <f t="shared" si="120"/>
        <v>0</v>
      </c>
      <c r="G174" s="1099">
        <f t="shared" si="120"/>
        <v>0</v>
      </c>
      <c r="H174" s="1099">
        <f t="shared" si="120"/>
        <v>0</v>
      </c>
      <c r="I174" s="1099">
        <f t="shared" si="120"/>
        <v>0</v>
      </c>
      <c r="J174" s="1099">
        <f t="shared" si="120"/>
        <v>0</v>
      </c>
      <c r="K174" s="1099">
        <f t="shared" si="120"/>
        <v>0</v>
      </c>
      <c r="L174" s="1099">
        <f t="shared" si="120"/>
        <v>0</v>
      </c>
      <c r="M174" s="1099">
        <f t="shared" si="120"/>
        <v>0</v>
      </c>
      <c r="N174" s="1099">
        <f t="shared" si="120"/>
        <v>0</v>
      </c>
      <c r="O174" s="1099">
        <f t="shared" si="121"/>
        <v>0</v>
      </c>
    </row>
    <row r="175" spans="1:15" hidden="1" x14ac:dyDescent="0.25">
      <c r="A175" s="1098" t="str">
        <f t="shared" si="122"/>
        <v>Promotor 7</v>
      </c>
      <c r="B175" s="1098"/>
      <c r="C175" s="1099">
        <f t="shared" si="120"/>
        <v>0</v>
      </c>
      <c r="D175" s="1099">
        <f t="shared" si="120"/>
        <v>0</v>
      </c>
      <c r="E175" s="1099">
        <f t="shared" si="120"/>
        <v>0</v>
      </c>
      <c r="F175" s="1099">
        <f t="shared" si="120"/>
        <v>0</v>
      </c>
      <c r="G175" s="1099">
        <f t="shared" si="120"/>
        <v>0</v>
      </c>
      <c r="H175" s="1099">
        <f t="shared" si="120"/>
        <v>0</v>
      </c>
      <c r="I175" s="1099">
        <f t="shared" si="120"/>
        <v>0</v>
      </c>
      <c r="J175" s="1099">
        <f t="shared" si="120"/>
        <v>0</v>
      </c>
      <c r="K175" s="1099">
        <f t="shared" si="120"/>
        <v>0</v>
      </c>
      <c r="L175" s="1099">
        <f t="shared" si="120"/>
        <v>0</v>
      </c>
      <c r="M175" s="1099">
        <f t="shared" si="120"/>
        <v>0</v>
      </c>
      <c r="N175" s="1099">
        <f t="shared" si="120"/>
        <v>0</v>
      </c>
      <c r="O175" s="1099">
        <f t="shared" si="121"/>
        <v>0</v>
      </c>
    </row>
    <row r="176" spans="1:15" hidden="1" x14ac:dyDescent="0.25">
      <c r="A176" s="1098" t="str">
        <f t="shared" si="122"/>
        <v>Promotor 8</v>
      </c>
      <c r="B176" s="1098"/>
      <c r="C176" s="1099">
        <f t="shared" si="120"/>
        <v>0</v>
      </c>
      <c r="D176" s="1099">
        <f t="shared" si="120"/>
        <v>0</v>
      </c>
      <c r="E176" s="1099">
        <f t="shared" si="120"/>
        <v>0</v>
      </c>
      <c r="F176" s="1099">
        <f t="shared" si="120"/>
        <v>0</v>
      </c>
      <c r="G176" s="1099">
        <f t="shared" si="120"/>
        <v>0</v>
      </c>
      <c r="H176" s="1099">
        <f t="shared" si="120"/>
        <v>0</v>
      </c>
      <c r="I176" s="1099">
        <f t="shared" si="120"/>
        <v>0</v>
      </c>
      <c r="J176" s="1099">
        <f t="shared" si="120"/>
        <v>0</v>
      </c>
      <c r="K176" s="1099">
        <f t="shared" si="120"/>
        <v>0</v>
      </c>
      <c r="L176" s="1099">
        <f t="shared" si="120"/>
        <v>0</v>
      </c>
      <c r="M176" s="1099">
        <f t="shared" si="120"/>
        <v>0</v>
      </c>
      <c r="N176" s="1099">
        <f t="shared" si="120"/>
        <v>0</v>
      </c>
      <c r="O176" s="1099">
        <f t="shared" si="121"/>
        <v>0</v>
      </c>
    </row>
    <row r="177" spans="1:15" hidden="1" x14ac:dyDescent="0.25">
      <c r="A177" s="1098" t="str">
        <f t="shared" si="122"/>
        <v>Promotor 9</v>
      </c>
      <c r="B177" s="1098"/>
      <c r="C177" s="1099">
        <f t="shared" si="120"/>
        <v>0</v>
      </c>
      <c r="D177" s="1099">
        <f t="shared" si="120"/>
        <v>0</v>
      </c>
      <c r="E177" s="1099">
        <f t="shared" si="120"/>
        <v>0</v>
      </c>
      <c r="F177" s="1099">
        <f t="shared" si="120"/>
        <v>0</v>
      </c>
      <c r="G177" s="1099">
        <f t="shared" si="120"/>
        <v>0</v>
      </c>
      <c r="H177" s="1099">
        <f t="shared" si="120"/>
        <v>0</v>
      </c>
      <c r="I177" s="1099">
        <f t="shared" si="120"/>
        <v>0</v>
      </c>
      <c r="J177" s="1099">
        <f t="shared" si="120"/>
        <v>0</v>
      </c>
      <c r="K177" s="1099">
        <f t="shared" si="120"/>
        <v>0</v>
      </c>
      <c r="L177" s="1099">
        <f t="shared" si="120"/>
        <v>0</v>
      </c>
      <c r="M177" s="1099">
        <f t="shared" si="120"/>
        <v>0</v>
      </c>
      <c r="N177" s="1099">
        <f t="shared" si="120"/>
        <v>0</v>
      </c>
      <c r="O177" s="1099">
        <f t="shared" si="121"/>
        <v>0</v>
      </c>
    </row>
    <row r="178" spans="1:15" hidden="1" x14ac:dyDescent="0.25">
      <c r="A178" s="1098" t="str">
        <f t="shared" si="122"/>
        <v>Promotor 10</v>
      </c>
      <c r="B178" s="1098"/>
      <c r="C178" s="1099">
        <f t="shared" si="120"/>
        <v>0</v>
      </c>
      <c r="D178" s="1099">
        <f t="shared" si="120"/>
        <v>0</v>
      </c>
      <c r="E178" s="1099">
        <f t="shared" si="120"/>
        <v>0</v>
      </c>
      <c r="F178" s="1099">
        <f t="shared" si="120"/>
        <v>0</v>
      </c>
      <c r="G178" s="1099">
        <f t="shared" si="120"/>
        <v>0</v>
      </c>
      <c r="H178" s="1099">
        <f t="shared" si="120"/>
        <v>0</v>
      </c>
      <c r="I178" s="1099">
        <f t="shared" si="120"/>
        <v>0</v>
      </c>
      <c r="J178" s="1099">
        <f t="shared" si="120"/>
        <v>0</v>
      </c>
      <c r="K178" s="1099">
        <f t="shared" si="120"/>
        <v>0</v>
      </c>
      <c r="L178" s="1099">
        <f t="shared" si="120"/>
        <v>0</v>
      </c>
      <c r="M178" s="1099">
        <f t="shared" si="120"/>
        <v>0</v>
      </c>
      <c r="N178" s="1099">
        <f t="shared" si="120"/>
        <v>0</v>
      </c>
      <c r="O178" s="1099">
        <f t="shared" si="121"/>
        <v>0</v>
      </c>
    </row>
    <row r="179" spans="1:15" ht="13" x14ac:dyDescent="0.3">
      <c r="A179" s="1883" t="s">
        <v>367</v>
      </c>
      <c r="B179" s="1883"/>
      <c r="C179" s="15">
        <f>SUM(C180:C189)+C134</f>
        <v>0</v>
      </c>
      <c r="D179" s="15">
        <f t="shared" ref="D179:N179" si="123">SUM(D180:D189)+D134</f>
        <v>0</v>
      </c>
      <c r="E179" s="15">
        <f t="shared" si="123"/>
        <v>0</v>
      </c>
      <c r="F179" s="15">
        <f t="shared" si="123"/>
        <v>0</v>
      </c>
      <c r="G179" s="15">
        <f t="shared" si="123"/>
        <v>0</v>
      </c>
      <c r="H179" s="15">
        <f t="shared" si="123"/>
        <v>0</v>
      </c>
      <c r="I179" s="15">
        <f t="shared" si="123"/>
        <v>0</v>
      </c>
      <c r="J179" s="15">
        <f t="shared" si="123"/>
        <v>0</v>
      </c>
      <c r="K179" s="15">
        <f t="shared" si="123"/>
        <v>0</v>
      </c>
      <c r="L179" s="15">
        <f t="shared" si="123"/>
        <v>0</v>
      </c>
      <c r="M179" s="15">
        <f t="shared" si="123"/>
        <v>0</v>
      </c>
      <c r="N179" s="15">
        <f t="shared" si="123"/>
        <v>0</v>
      </c>
      <c r="O179" s="15">
        <f>SUM(C179:N179)</f>
        <v>0</v>
      </c>
    </row>
    <row r="180" spans="1:15" hidden="1" x14ac:dyDescent="0.25">
      <c r="A180" s="1100" t="str">
        <f>A124</f>
        <v>Promotor 1</v>
      </c>
      <c r="B180" s="1100"/>
      <c r="C180" s="1101">
        <f>IF($C106=C$121,C169,0)</f>
        <v>0</v>
      </c>
      <c r="D180" s="1101">
        <f>IF(AND($C106=D$121,C180=0),D169,0)+IF(C180=0,0,D169)</f>
        <v>0</v>
      </c>
      <c r="E180" s="1101">
        <f t="shared" ref="E180:N180" si="124">IF(AND($C106=E$121,D180=0),E169,0)+IF(D180=0,0,E169)</f>
        <v>0</v>
      </c>
      <c r="F180" s="1101">
        <f t="shared" si="124"/>
        <v>0</v>
      </c>
      <c r="G180" s="1101">
        <f t="shared" si="124"/>
        <v>0</v>
      </c>
      <c r="H180" s="1101">
        <f t="shared" si="124"/>
        <v>0</v>
      </c>
      <c r="I180" s="1101">
        <f t="shared" si="124"/>
        <v>0</v>
      </c>
      <c r="J180" s="1101">
        <f t="shared" si="124"/>
        <v>0</v>
      </c>
      <c r="K180" s="1101">
        <f t="shared" si="124"/>
        <v>0</v>
      </c>
      <c r="L180" s="1101">
        <f t="shared" si="124"/>
        <v>0</v>
      </c>
      <c r="M180" s="1101">
        <f t="shared" si="124"/>
        <v>0</v>
      </c>
      <c r="N180" s="1101">
        <f t="shared" si="124"/>
        <v>0</v>
      </c>
      <c r="O180" s="1101">
        <f t="shared" ref="O180:O189" si="125">SUM(C180:N180)</f>
        <v>0</v>
      </c>
    </row>
    <row r="181" spans="1:15" hidden="1" x14ac:dyDescent="0.25">
      <c r="A181" s="1100" t="str">
        <f t="shared" ref="A181:A189" si="126">A125</f>
        <v>Promotor 2</v>
      </c>
      <c r="B181" s="1100"/>
      <c r="C181" s="1101">
        <f>IF($D106=C$121,C170,0)</f>
        <v>0</v>
      </c>
      <c r="D181" s="1101">
        <f>IF(AND($D106=D$121,C181=0),D170,0)+IF(C181=0,0,D170)</f>
        <v>0</v>
      </c>
      <c r="E181" s="1101">
        <f t="shared" ref="E181:N181" si="127">IF(AND($D106=E$121,D181=0),E170,0)+IF(D181=0,0,E170)</f>
        <v>0</v>
      </c>
      <c r="F181" s="1101">
        <f t="shared" si="127"/>
        <v>0</v>
      </c>
      <c r="G181" s="1101">
        <f t="shared" si="127"/>
        <v>0</v>
      </c>
      <c r="H181" s="1101">
        <f t="shared" si="127"/>
        <v>0</v>
      </c>
      <c r="I181" s="1101">
        <f t="shared" si="127"/>
        <v>0</v>
      </c>
      <c r="J181" s="1101">
        <f t="shared" si="127"/>
        <v>0</v>
      </c>
      <c r="K181" s="1101">
        <f t="shared" si="127"/>
        <v>0</v>
      </c>
      <c r="L181" s="1101">
        <f t="shared" si="127"/>
        <v>0</v>
      </c>
      <c r="M181" s="1101">
        <f t="shared" si="127"/>
        <v>0</v>
      </c>
      <c r="N181" s="1101">
        <f t="shared" si="127"/>
        <v>0</v>
      </c>
      <c r="O181" s="1101">
        <f t="shared" si="125"/>
        <v>0</v>
      </c>
    </row>
    <row r="182" spans="1:15" hidden="1" x14ac:dyDescent="0.25">
      <c r="A182" s="1100" t="str">
        <f t="shared" si="126"/>
        <v>Promotor 3</v>
      </c>
      <c r="B182" s="1100"/>
      <c r="C182" s="1101">
        <f>IF($E106=C$121,C171,0)</f>
        <v>0</v>
      </c>
      <c r="D182" s="1101">
        <f>IF(AND($E106=D$121,C182=0),D171,0)+IF(C182=0,0,D171)</f>
        <v>0</v>
      </c>
      <c r="E182" s="1101">
        <f t="shared" ref="E182:N182" si="128">IF(AND($E106=E$121,D182=0),E171,0)+IF(D182=0,0,E171)</f>
        <v>0</v>
      </c>
      <c r="F182" s="1101">
        <f t="shared" si="128"/>
        <v>0</v>
      </c>
      <c r="G182" s="1101">
        <f t="shared" si="128"/>
        <v>0</v>
      </c>
      <c r="H182" s="1101">
        <f t="shared" si="128"/>
        <v>0</v>
      </c>
      <c r="I182" s="1101">
        <f t="shared" si="128"/>
        <v>0</v>
      </c>
      <c r="J182" s="1101">
        <f t="shared" si="128"/>
        <v>0</v>
      </c>
      <c r="K182" s="1101">
        <f t="shared" si="128"/>
        <v>0</v>
      </c>
      <c r="L182" s="1101">
        <f t="shared" si="128"/>
        <v>0</v>
      </c>
      <c r="M182" s="1101">
        <f t="shared" si="128"/>
        <v>0</v>
      </c>
      <c r="N182" s="1101">
        <f t="shared" si="128"/>
        <v>0</v>
      </c>
      <c r="O182" s="1101">
        <f t="shared" si="125"/>
        <v>0</v>
      </c>
    </row>
    <row r="183" spans="1:15" hidden="1" x14ac:dyDescent="0.25">
      <c r="A183" s="1100" t="str">
        <f t="shared" si="126"/>
        <v>Promotor 4</v>
      </c>
      <c r="B183" s="1100"/>
      <c r="C183" s="1101">
        <f>IF($F106=C$121,C172,0)</f>
        <v>0</v>
      </c>
      <c r="D183" s="1101">
        <f>IF(AND($F106=D$121,C183=0),D172,0)+IF(C183=0,0,D172)</f>
        <v>0</v>
      </c>
      <c r="E183" s="1101">
        <f t="shared" ref="E183:N183" si="129">IF(AND($F106=E$121,D183=0),E172,0)+IF(D183=0,0,E172)</f>
        <v>0</v>
      </c>
      <c r="F183" s="1101">
        <f t="shared" si="129"/>
        <v>0</v>
      </c>
      <c r="G183" s="1101">
        <f t="shared" si="129"/>
        <v>0</v>
      </c>
      <c r="H183" s="1101">
        <f t="shared" si="129"/>
        <v>0</v>
      </c>
      <c r="I183" s="1101">
        <f t="shared" si="129"/>
        <v>0</v>
      </c>
      <c r="J183" s="1101">
        <f t="shared" si="129"/>
        <v>0</v>
      </c>
      <c r="K183" s="1101">
        <f t="shared" si="129"/>
        <v>0</v>
      </c>
      <c r="L183" s="1101">
        <f t="shared" si="129"/>
        <v>0</v>
      </c>
      <c r="M183" s="1101">
        <f t="shared" si="129"/>
        <v>0</v>
      </c>
      <c r="N183" s="1101">
        <f t="shared" si="129"/>
        <v>0</v>
      </c>
      <c r="O183" s="1101">
        <f t="shared" si="125"/>
        <v>0</v>
      </c>
    </row>
    <row r="184" spans="1:15" hidden="1" x14ac:dyDescent="0.25">
      <c r="A184" s="1100" t="str">
        <f t="shared" si="126"/>
        <v>Promotor 5</v>
      </c>
      <c r="B184" s="1100"/>
      <c r="C184" s="1101">
        <f>IF($G106=C$121,C173,0)</f>
        <v>0</v>
      </c>
      <c r="D184" s="1101">
        <f>IF(AND($G106=D$121,C184=0),D173,0)+IF(C184=0,0,D173)</f>
        <v>0</v>
      </c>
      <c r="E184" s="1101">
        <f t="shared" ref="E184:N184" si="130">IF(AND($G106=E$121,D184=0),E173,0)+IF(D184=0,0,E173)</f>
        <v>0</v>
      </c>
      <c r="F184" s="1101">
        <f t="shared" si="130"/>
        <v>0</v>
      </c>
      <c r="G184" s="1101">
        <f t="shared" si="130"/>
        <v>0</v>
      </c>
      <c r="H184" s="1101">
        <f t="shared" si="130"/>
        <v>0</v>
      </c>
      <c r="I184" s="1101">
        <f t="shared" si="130"/>
        <v>0</v>
      </c>
      <c r="J184" s="1101">
        <f t="shared" si="130"/>
        <v>0</v>
      </c>
      <c r="K184" s="1101">
        <f t="shared" si="130"/>
        <v>0</v>
      </c>
      <c r="L184" s="1101">
        <f t="shared" si="130"/>
        <v>0</v>
      </c>
      <c r="M184" s="1101">
        <f t="shared" si="130"/>
        <v>0</v>
      </c>
      <c r="N184" s="1101">
        <f t="shared" si="130"/>
        <v>0</v>
      </c>
      <c r="O184" s="1101">
        <f t="shared" si="125"/>
        <v>0</v>
      </c>
    </row>
    <row r="185" spans="1:15" hidden="1" x14ac:dyDescent="0.25">
      <c r="A185" s="1100" t="str">
        <f t="shared" si="126"/>
        <v>Promotor 6</v>
      </c>
      <c r="B185" s="1100"/>
      <c r="C185" s="1101">
        <f>IF($H106=C$121,C174,0)</f>
        <v>0</v>
      </c>
      <c r="D185" s="1101">
        <f>IF(AND($H106=D$121,C185=0),D174,0)+IF(C185=0,0,D174)</f>
        <v>0</v>
      </c>
      <c r="E185" s="1101">
        <f t="shared" ref="E185:N185" si="131">IF(AND($H106=E$121,D185=0),E174,0)+IF(D185=0,0,E174)</f>
        <v>0</v>
      </c>
      <c r="F185" s="1101">
        <f t="shared" si="131"/>
        <v>0</v>
      </c>
      <c r="G185" s="1101">
        <f t="shared" si="131"/>
        <v>0</v>
      </c>
      <c r="H185" s="1101">
        <f t="shared" si="131"/>
        <v>0</v>
      </c>
      <c r="I185" s="1101">
        <f t="shared" si="131"/>
        <v>0</v>
      </c>
      <c r="J185" s="1101">
        <f t="shared" si="131"/>
        <v>0</v>
      </c>
      <c r="K185" s="1101">
        <f t="shared" si="131"/>
        <v>0</v>
      </c>
      <c r="L185" s="1101">
        <f t="shared" si="131"/>
        <v>0</v>
      </c>
      <c r="M185" s="1101">
        <f t="shared" si="131"/>
        <v>0</v>
      </c>
      <c r="N185" s="1101">
        <f t="shared" si="131"/>
        <v>0</v>
      </c>
      <c r="O185" s="1101">
        <f t="shared" si="125"/>
        <v>0</v>
      </c>
    </row>
    <row r="186" spans="1:15" hidden="1" x14ac:dyDescent="0.25">
      <c r="A186" s="1100" t="str">
        <f t="shared" si="126"/>
        <v>Promotor 7</v>
      </c>
      <c r="B186" s="1100"/>
      <c r="C186" s="1101">
        <f>IF($I106=C$121,C175,0)</f>
        <v>0</v>
      </c>
      <c r="D186" s="1101">
        <f>IF(AND($I106=D$121,C186=0),D175,0)+IF(C186=0,0,D175)</f>
        <v>0</v>
      </c>
      <c r="E186" s="1101">
        <f t="shared" ref="E186:N186" si="132">IF(AND($I106=E$121,D186=0),E175,0)+IF(D186=0,0,E175)</f>
        <v>0</v>
      </c>
      <c r="F186" s="1101">
        <f t="shared" si="132"/>
        <v>0</v>
      </c>
      <c r="G186" s="1101">
        <f t="shared" si="132"/>
        <v>0</v>
      </c>
      <c r="H186" s="1101">
        <f t="shared" si="132"/>
        <v>0</v>
      </c>
      <c r="I186" s="1101">
        <f t="shared" si="132"/>
        <v>0</v>
      </c>
      <c r="J186" s="1101">
        <f t="shared" si="132"/>
        <v>0</v>
      </c>
      <c r="K186" s="1101">
        <f t="shared" si="132"/>
        <v>0</v>
      </c>
      <c r="L186" s="1101">
        <f t="shared" si="132"/>
        <v>0</v>
      </c>
      <c r="M186" s="1101">
        <f t="shared" si="132"/>
        <v>0</v>
      </c>
      <c r="N186" s="1101">
        <f t="shared" si="132"/>
        <v>0</v>
      </c>
      <c r="O186" s="1101">
        <f t="shared" si="125"/>
        <v>0</v>
      </c>
    </row>
    <row r="187" spans="1:15" hidden="1" x14ac:dyDescent="0.25">
      <c r="A187" s="1100" t="str">
        <f t="shared" si="126"/>
        <v>Promotor 8</v>
      </c>
      <c r="B187" s="1100"/>
      <c r="C187" s="1101">
        <f>IF($J106=C$121,C176,0)</f>
        <v>0</v>
      </c>
      <c r="D187" s="1101">
        <f>IF(AND($J106=D$121,C187=0),D176,0)+IF(C187=0,0,D176)</f>
        <v>0</v>
      </c>
      <c r="E187" s="1101">
        <f t="shared" ref="E187:N187" si="133">IF(AND($J106=E$121,D187=0),E176,0)+IF(D187=0,0,E176)</f>
        <v>0</v>
      </c>
      <c r="F187" s="1101">
        <f t="shared" si="133"/>
        <v>0</v>
      </c>
      <c r="G187" s="1101">
        <f t="shared" si="133"/>
        <v>0</v>
      </c>
      <c r="H187" s="1101">
        <f t="shared" si="133"/>
        <v>0</v>
      </c>
      <c r="I187" s="1101">
        <f t="shared" si="133"/>
        <v>0</v>
      </c>
      <c r="J187" s="1101">
        <f t="shared" si="133"/>
        <v>0</v>
      </c>
      <c r="K187" s="1101">
        <f t="shared" si="133"/>
        <v>0</v>
      </c>
      <c r="L187" s="1101">
        <f t="shared" si="133"/>
        <v>0</v>
      </c>
      <c r="M187" s="1101">
        <f t="shared" si="133"/>
        <v>0</v>
      </c>
      <c r="N187" s="1101">
        <f t="shared" si="133"/>
        <v>0</v>
      </c>
      <c r="O187" s="1101">
        <f t="shared" si="125"/>
        <v>0</v>
      </c>
    </row>
    <row r="188" spans="1:15" hidden="1" x14ac:dyDescent="0.25">
      <c r="A188" s="1100" t="str">
        <f t="shared" si="126"/>
        <v>Promotor 9</v>
      </c>
      <c r="B188" s="1100"/>
      <c r="C188" s="1101">
        <f>IF($K106=C$121,C177,0)</f>
        <v>0</v>
      </c>
      <c r="D188" s="1101">
        <f>IF(AND($K106=D$121,C188=0),D177,0)+IF(C188=0,0,D177)</f>
        <v>0</v>
      </c>
      <c r="E188" s="1101">
        <f t="shared" ref="E188:N188" si="134">IF(AND($K106=E$121,D188=0),E177,0)+IF(D188=0,0,E177)</f>
        <v>0</v>
      </c>
      <c r="F188" s="1101">
        <f t="shared" si="134"/>
        <v>0</v>
      </c>
      <c r="G188" s="1101">
        <f t="shared" si="134"/>
        <v>0</v>
      </c>
      <c r="H188" s="1101">
        <f t="shared" si="134"/>
        <v>0</v>
      </c>
      <c r="I188" s="1101">
        <f t="shared" si="134"/>
        <v>0</v>
      </c>
      <c r="J188" s="1101">
        <f t="shared" si="134"/>
        <v>0</v>
      </c>
      <c r="K188" s="1101">
        <f t="shared" si="134"/>
        <v>0</v>
      </c>
      <c r="L188" s="1101">
        <f t="shared" si="134"/>
        <v>0</v>
      </c>
      <c r="M188" s="1101">
        <f t="shared" si="134"/>
        <v>0</v>
      </c>
      <c r="N188" s="1101">
        <f t="shared" si="134"/>
        <v>0</v>
      </c>
      <c r="O188" s="1101">
        <f t="shared" si="125"/>
        <v>0</v>
      </c>
    </row>
    <row r="189" spans="1:15" hidden="1" x14ac:dyDescent="0.25">
      <c r="A189" s="1100" t="str">
        <f t="shared" si="126"/>
        <v>Promotor 10</v>
      </c>
      <c r="B189" s="1100"/>
      <c r="C189" s="1101">
        <f>IF($L106=C$121,C178,0)</f>
        <v>0</v>
      </c>
      <c r="D189" s="1101">
        <f>IF(AND($L106=D$121,C189=0),D178,0)+IF(C189=0,0,D178)</f>
        <v>0</v>
      </c>
      <c r="E189" s="1101">
        <f t="shared" ref="E189:N189" si="135">IF(AND($L106=E$121,D189=0),E178,0)+IF(D189=0,0,E178)</f>
        <v>0</v>
      </c>
      <c r="F189" s="1101">
        <f t="shared" si="135"/>
        <v>0</v>
      </c>
      <c r="G189" s="1101">
        <f t="shared" si="135"/>
        <v>0</v>
      </c>
      <c r="H189" s="1101">
        <f t="shared" si="135"/>
        <v>0</v>
      </c>
      <c r="I189" s="1101">
        <f t="shared" si="135"/>
        <v>0</v>
      </c>
      <c r="J189" s="1101">
        <f t="shared" si="135"/>
        <v>0</v>
      </c>
      <c r="K189" s="1101">
        <f t="shared" si="135"/>
        <v>0</v>
      </c>
      <c r="L189" s="1101">
        <f t="shared" si="135"/>
        <v>0</v>
      </c>
      <c r="M189" s="1101">
        <f t="shared" si="135"/>
        <v>0</v>
      </c>
      <c r="N189" s="1101">
        <f t="shared" si="135"/>
        <v>0</v>
      </c>
      <c r="O189" s="1101">
        <f t="shared" si="125"/>
        <v>0</v>
      </c>
    </row>
    <row r="190" spans="1:15" s="12" customFormat="1" ht="13" x14ac:dyDescent="0.3">
      <c r="A190" s="1885" t="s">
        <v>368</v>
      </c>
      <c r="B190" s="1885"/>
      <c r="C190" s="1026">
        <f>SUM(C191:C200)</f>
        <v>0</v>
      </c>
      <c r="D190" s="1026">
        <f t="shared" ref="D190:O190" si="136">SUM(D191:D200)</f>
        <v>0</v>
      </c>
      <c r="E190" s="1026">
        <f t="shared" si="136"/>
        <v>0</v>
      </c>
      <c r="F190" s="1026">
        <f t="shared" si="136"/>
        <v>0</v>
      </c>
      <c r="G190" s="1026">
        <f t="shared" si="136"/>
        <v>0</v>
      </c>
      <c r="H190" s="1026">
        <f t="shared" si="136"/>
        <v>0</v>
      </c>
      <c r="I190" s="1026">
        <f t="shared" si="136"/>
        <v>0</v>
      </c>
      <c r="J190" s="1026">
        <f t="shared" si="136"/>
        <v>0</v>
      </c>
      <c r="K190" s="1026">
        <f t="shared" si="136"/>
        <v>0</v>
      </c>
      <c r="L190" s="1026">
        <f t="shared" si="136"/>
        <v>0</v>
      </c>
      <c r="M190" s="1026">
        <f t="shared" si="136"/>
        <v>0</v>
      </c>
      <c r="N190" s="1026">
        <f t="shared" si="136"/>
        <v>0</v>
      </c>
      <c r="O190" s="1026">
        <f t="shared" si="136"/>
        <v>0</v>
      </c>
    </row>
    <row r="191" spans="1:15" s="12" customFormat="1" hidden="1" x14ac:dyDescent="0.25">
      <c r="A191" s="1102" t="str">
        <f>A180</f>
        <v>Promotor 1</v>
      </c>
      <c r="B191" s="1103"/>
      <c r="C191" s="1104">
        <f>C169-C180</f>
        <v>0</v>
      </c>
      <c r="D191" s="1105">
        <f t="shared" ref="D191:N191" si="137">D169-D180</f>
        <v>0</v>
      </c>
      <c r="E191" s="1105">
        <f t="shared" si="137"/>
        <v>0</v>
      </c>
      <c r="F191" s="1105">
        <f t="shared" si="137"/>
        <v>0</v>
      </c>
      <c r="G191" s="1105">
        <f t="shared" si="137"/>
        <v>0</v>
      </c>
      <c r="H191" s="1105">
        <f t="shared" si="137"/>
        <v>0</v>
      </c>
      <c r="I191" s="1105">
        <f t="shared" si="137"/>
        <v>0</v>
      </c>
      <c r="J191" s="1105">
        <f t="shared" si="137"/>
        <v>0</v>
      </c>
      <c r="K191" s="1105">
        <f t="shared" si="137"/>
        <v>0</v>
      </c>
      <c r="L191" s="1105">
        <f t="shared" si="137"/>
        <v>0</v>
      </c>
      <c r="M191" s="1105">
        <f t="shared" si="137"/>
        <v>0</v>
      </c>
      <c r="N191" s="1106">
        <f t="shared" si="137"/>
        <v>0</v>
      </c>
      <c r="O191" s="1107">
        <f>SUM(C191:N191)</f>
        <v>0</v>
      </c>
    </row>
    <row r="192" spans="1:15" s="12" customFormat="1" hidden="1" x14ac:dyDescent="0.25">
      <c r="A192" s="1102" t="str">
        <f t="shared" ref="A192:A200" si="138">A181</f>
        <v>Promotor 2</v>
      </c>
      <c r="B192" s="1103"/>
      <c r="C192" s="1104">
        <f t="shared" ref="C192:N200" si="139">C170-C181</f>
        <v>0</v>
      </c>
      <c r="D192" s="1105">
        <f t="shared" si="139"/>
        <v>0</v>
      </c>
      <c r="E192" s="1105">
        <f t="shared" si="139"/>
        <v>0</v>
      </c>
      <c r="F192" s="1105">
        <f t="shared" si="139"/>
        <v>0</v>
      </c>
      <c r="G192" s="1105">
        <f t="shared" si="139"/>
        <v>0</v>
      </c>
      <c r="H192" s="1105">
        <f t="shared" si="139"/>
        <v>0</v>
      </c>
      <c r="I192" s="1105">
        <f t="shared" si="139"/>
        <v>0</v>
      </c>
      <c r="J192" s="1105">
        <f t="shared" si="139"/>
        <v>0</v>
      </c>
      <c r="K192" s="1105">
        <f t="shared" si="139"/>
        <v>0</v>
      </c>
      <c r="L192" s="1105">
        <f t="shared" si="139"/>
        <v>0</v>
      </c>
      <c r="M192" s="1105">
        <f t="shared" si="139"/>
        <v>0</v>
      </c>
      <c r="N192" s="1106">
        <f t="shared" si="139"/>
        <v>0</v>
      </c>
      <c r="O192" s="1107">
        <f t="shared" ref="O192:O200" si="140">SUM(C192:N192)</f>
        <v>0</v>
      </c>
    </row>
    <row r="193" spans="1:15" s="12" customFormat="1" hidden="1" x14ac:dyDescent="0.25">
      <c r="A193" s="1102" t="str">
        <f t="shared" si="138"/>
        <v>Promotor 3</v>
      </c>
      <c r="B193" s="1103"/>
      <c r="C193" s="1104">
        <f t="shared" si="139"/>
        <v>0</v>
      </c>
      <c r="D193" s="1105">
        <f t="shared" si="139"/>
        <v>0</v>
      </c>
      <c r="E193" s="1105">
        <f t="shared" si="139"/>
        <v>0</v>
      </c>
      <c r="F193" s="1105">
        <f t="shared" si="139"/>
        <v>0</v>
      </c>
      <c r="G193" s="1105">
        <f t="shared" si="139"/>
        <v>0</v>
      </c>
      <c r="H193" s="1105">
        <f t="shared" si="139"/>
        <v>0</v>
      </c>
      <c r="I193" s="1105">
        <f t="shared" si="139"/>
        <v>0</v>
      </c>
      <c r="J193" s="1105">
        <f t="shared" si="139"/>
        <v>0</v>
      </c>
      <c r="K193" s="1105">
        <f t="shared" si="139"/>
        <v>0</v>
      </c>
      <c r="L193" s="1105">
        <f t="shared" si="139"/>
        <v>0</v>
      </c>
      <c r="M193" s="1105">
        <f t="shared" si="139"/>
        <v>0</v>
      </c>
      <c r="N193" s="1106">
        <f t="shared" si="139"/>
        <v>0</v>
      </c>
      <c r="O193" s="1107">
        <f t="shared" si="140"/>
        <v>0</v>
      </c>
    </row>
    <row r="194" spans="1:15" s="12" customFormat="1" hidden="1" x14ac:dyDescent="0.25">
      <c r="A194" s="1102" t="str">
        <f t="shared" si="138"/>
        <v>Promotor 4</v>
      </c>
      <c r="B194" s="1103"/>
      <c r="C194" s="1104">
        <f t="shared" si="139"/>
        <v>0</v>
      </c>
      <c r="D194" s="1105">
        <f t="shared" si="139"/>
        <v>0</v>
      </c>
      <c r="E194" s="1105">
        <f t="shared" si="139"/>
        <v>0</v>
      </c>
      <c r="F194" s="1105">
        <f t="shared" si="139"/>
        <v>0</v>
      </c>
      <c r="G194" s="1105">
        <f t="shared" si="139"/>
        <v>0</v>
      </c>
      <c r="H194" s="1105">
        <f t="shared" si="139"/>
        <v>0</v>
      </c>
      <c r="I194" s="1105">
        <f t="shared" si="139"/>
        <v>0</v>
      </c>
      <c r="J194" s="1105">
        <f t="shared" si="139"/>
        <v>0</v>
      </c>
      <c r="K194" s="1105">
        <f t="shared" si="139"/>
        <v>0</v>
      </c>
      <c r="L194" s="1105">
        <f t="shared" si="139"/>
        <v>0</v>
      </c>
      <c r="M194" s="1105">
        <f t="shared" si="139"/>
        <v>0</v>
      </c>
      <c r="N194" s="1106">
        <f t="shared" si="139"/>
        <v>0</v>
      </c>
      <c r="O194" s="1107">
        <f t="shared" si="140"/>
        <v>0</v>
      </c>
    </row>
    <row r="195" spans="1:15" s="12" customFormat="1" hidden="1" x14ac:dyDescent="0.25">
      <c r="A195" s="1102" t="str">
        <f t="shared" si="138"/>
        <v>Promotor 5</v>
      </c>
      <c r="B195" s="1103"/>
      <c r="C195" s="1104">
        <f t="shared" si="139"/>
        <v>0</v>
      </c>
      <c r="D195" s="1105">
        <f t="shared" si="139"/>
        <v>0</v>
      </c>
      <c r="E195" s="1105">
        <f t="shared" si="139"/>
        <v>0</v>
      </c>
      <c r="F195" s="1105">
        <f t="shared" si="139"/>
        <v>0</v>
      </c>
      <c r="G195" s="1105">
        <f t="shared" si="139"/>
        <v>0</v>
      </c>
      <c r="H195" s="1105">
        <f t="shared" si="139"/>
        <v>0</v>
      </c>
      <c r="I195" s="1105">
        <f t="shared" si="139"/>
        <v>0</v>
      </c>
      <c r="J195" s="1105">
        <f t="shared" si="139"/>
        <v>0</v>
      </c>
      <c r="K195" s="1105">
        <f t="shared" si="139"/>
        <v>0</v>
      </c>
      <c r="L195" s="1105">
        <f t="shared" si="139"/>
        <v>0</v>
      </c>
      <c r="M195" s="1105">
        <f t="shared" si="139"/>
        <v>0</v>
      </c>
      <c r="N195" s="1106">
        <f t="shared" si="139"/>
        <v>0</v>
      </c>
      <c r="O195" s="1107">
        <f t="shared" si="140"/>
        <v>0</v>
      </c>
    </row>
    <row r="196" spans="1:15" s="12" customFormat="1" hidden="1" x14ac:dyDescent="0.25">
      <c r="A196" s="1102" t="str">
        <f t="shared" si="138"/>
        <v>Promotor 6</v>
      </c>
      <c r="B196" s="1103"/>
      <c r="C196" s="1104">
        <f t="shared" si="139"/>
        <v>0</v>
      </c>
      <c r="D196" s="1105">
        <f t="shared" si="139"/>
        <v>0</v>
      </c>
      <c r="E196" s="1105">
        <f t="shared" si="139"/>
        <v>0</v>
      </c>
      <c r="F196" s="1105">
        <f t="shared" si="139"/>
        <v>0</v>
      </c>
      <c r="G196" s="1105">
        <f t="shared" si="139"/>
        <v>0</v>
      </c>
      <c r="H196" s="1105">
        <f t="shared" si="139"/>
        <v>0</v>
      </c>
      <c r="I196" s="1105">
        <f t="shared" si="139"/>
        <v>0</v>
      </c>
      <c r="J196" s="1105">
        <f t="shared" si="139"/>
        <v>0</v>
      </c>
      <c r="K196" s="1105">
        <f t="shared" si="139"/>
        <v>0</v>
      </c>
      <c r="L196" s="1105">
        <f t="shared" si="139"/>
        <v>0</v>
      </c>
      <c r="M196" s="1105">
        <f t="shared" si="139"/>
        <v>0</v>
      </c>
      <c r="N196" s="1106">
        <f t="shared" si="139"/>
        <v>0</v>
      </c>
      <c r="O196" s="1107">
        <f t="shared" si="140"/>
        <v>0</v>
      </c>
    </row>
    <row r="197" spans="1:15" s="12" customFormat="1" hidden="1" x14ac:dyDescent="0.25">
      <c r="A197" s="1102" t="str">
        <f t="shared" si="138"/>
        <v>Promotor 7</v>
      </c>
      <c r="B197" s="1103"/>
      <c r="C197" s="1104">
        <f t="shared" si="139"/>
        <v>0</v>
      </c>
      <c r="D197" s="1105">
        <f t="shared" si="139"/>
        <v>0</v>
      </c>
      <c r="E197" s="1105">
        <f t="shared" si="139"/>
        <v>0</v>
      </c>
      <c r="F197" s="1105">
        <f t="shared" si="139"/>
        <v>0</v>
      </c>
      <c r="G197" s="1105">
        <f t="shared" si="139"/>
        <v>0</v>
      </c>
      <c r="H197" s="1105">
        <f t="shared" si="139"/>
        <v>0</v>
      </c>
      <c r="I197" s="1105">
        <f t="shared" si="139"/>
        <v>0</v>
      </c>
      <c r="J197" s="1105">
        <f t="shared" si="139"/>
        <v>0</v>
      </c>
      <c r="K197" s="1105">
        <f t="shared" si="139"/>
        <v>0</v>
      </c>
      <c r="L197" s="1105">
        <f t="shared" si="139"/>
        <v>0</v>
      </c>
      <c r="M197" s="1105">
        <f t="shared" si="139"/>
        <v>0</v>
      </c>
      <c r="N197" s="1106">
        <f t="shared" si="139"/>
        <v>0</v>
      </c>
      <c r="O197" s="1107">
        <f t="shared" si="140"/>
        <v>0</v>
      </c>
    </row>
    <row r="198" spans="1:15" s="12" customFormat="1" hidden="1" x14ac:dyDescent="0.25">
      <c r="A198" s="1102" t="str">
        <f t="shared" si="138"/>
        <v>Promotor 8</v>
      </c>
      <c r="B198" s="1103"/>
      <c r="C198" s="1104">
        <f t="shared" si="139"/>
        <v>0</v>
      </c>
      <c r="D198" s="1105">
        <f t="shared" si="139"/>
        <v>0</v>
      </c>
      <c r="E198" s="1105">
        <f t="shared" si="139"/>
        <v>0</v>
      </c>
      <c r="F198" s="1105">
        <f t="shared" si="139"/>
        <v>0</v>
      </c>
      <c r="G198" s="1105">
        <f t="shared" si="139"/>
        <v>0</v>
      </c>
      <c r="H198" s="1105">
        <f t="shared" si="139"/>
        <v>0</v>
      </c>
      <c r="I198" s="1105">
        <f t="shared" si="139"/>
        <v>0</v>
      </c>
      <c r="J198" s="1105">
        <f t="shared" si="139"/>
        <v>0</v>
      </c>
      <c r="K198" s="1105">
        <f t="shared" si="139"/>
        <v>0</v>
      </c>
      <c r="L198" s="1105">
        <f t="shared" si="139"/>
        <v>0</v>
      </c>
      <c r="M198" s="1105">
        <f t="shared" si="139"/>
        <v>0</v>
      </c>
      <c r="N198" s="1106">
        <f t="shared" si="139"/>
        <v>0</v>
      </c>
      <c r="O198" s="1107">
        <f t="shared" si="140"/>
        <v>0</v>
      </c>
    </row>
    <row r="199" spans="1:15" s="12" customFormat="1" hidden="1" x14ac:dyDescent="0.25">
      <c r="A199" s="1102" t="str">
        <f t="shared" si="138"/>
        <v>Promotor 9</v>
      </c>
      <c r="B199" s="1103"/>
      <c r="C199" s="1104">
        <f t="shared" si="139"/>
        <v>0</v>
      </c>
      <c r="D199" s="1105">
        <f t="shared" si="139"/>
        <v>0</v>
      </c>
      <c r="E199" s="1105">
        <f t="shared" si="139"/>
        <v>0</v>
      </c>
      <c r="F199" s="1105">
        <f t="shared" si="139"/>
        <v>0</v>
      </c>
      <c r="G199" s="1105">
        <f t="shared" si="139"/>
        <v>0</v>
      </c>
      <c r="H199" s="1105">
        <f t="shared" si="139"/>
        <v>0</v>
      </c>
      <c r="I199" s="1105">
        <f t="shared" si="139"/>
        <v>0</v>
      </c>
      <c r="J199" s="1105">
        <f t="shared" si="139"/>
        <v>0</v>
      </c>
      <c r="K199" s="1105">
        <f t="shared" si="139"/>
        <v>0</v>
      </c>
      <c r="L199" s="1105">
        <f t="shared" si="139"/>
        <v>0</v>
      </c>
      <c r="M199" s="1105">
        <f t="shared" si="139"/>
        <v>0</v>
      </c>
      <c r="N199" s="1106">
        <f t="shared" si="139"/>
        <v>0</v>
      </c>
      <c r="O199" s="1107">
        <f t="shared" si="140"/>
        <v>0</v>
      </c>
    </row>
    <row r="200" spans="1:15" s="12" customFormat="1" hidden="1" x14ac:dyDescent="0.25">
      <c r="A200" s="1109" t="str">
        <f t="shared" si="138"/>
        <v>Promotor 10</v>
      </c>
      <c r="B200" s="1110"/>
      <c r="C200" s="1111">
        <f t="shared" si="139"/>
        <v>0</v>
      </c>
      <c r="D200" s="1112">
        <f t="shared" si="139"/>
        <v>0</v>
      </c>
      <c r="E200" s="1112">
        <f t="shared" si="139"/>
        <v>0</v>
      </c>
      <c r="F200" s="1112">
        <f t="shared" si="139"/>
        <v>0</v>
      </c>
      <c r="G200" s="1112">
        <f t="shared" si="139"/>
        <v>0</v>
      </c>
      <c r="H200" s="1112">
        <f t="shared" si="139"/>
        <v>0</v>
      </c>
      <c r="I200" s="1112">
        <f t="shared" si="139"/>
        <v>0</v>
      </c>
      <c r="J200" s="1112">
        <f t="shared" si="139"/>
        <v>0</v>
      </c>
      <c r="K200" s="1112">
        <f t="shared" si="139"/>
        <v>0</v>
      </c>
      <c r="L200" s="1112">
        <f t="shared" si="139"/>
        <v>0</v>
      </c>
      <c r="M200" s="1112">
        <f t="shared" si="139"/>
        <v>0</v>
      </c>
      <c r="N200" s="1113">
        <f t="shared" si="139"/>
        <v>0</v>
      </c>
      <c r="O200" s="1114">
        <f t="shared" si="140"/>
        <v>0</v>
      </c>
    </row>
    <row r="201" spans="1:15" s="12" customFormat="1" x14ac:dyDescent="0.25"/>
    <row r="203" spans="1:15" ht="13" x14ac:dyDescent="0.3">
      <c r="A203" s="1873" t="s">
        <v>57</v>
      </c>
      <c r="B203" s="1873"/>
    </row>
    <row r="205" spans="1:15" ht="13" x14ac:dyDescent="0.3">
      <c r="A205" s="1874"/>
      <c r="B205" s="1874"/>
      <c r="C205" s="1065" t="s">
        <v>192</v>
      </c>
      <c r="D205" s="1065" t="s">
        <v>193</v>
      </c>
      <c r="E205" s="1065" t="s">
        <v>235</v>
      </c>
      <c r="F205" s="1065" t="s">
        <v>236</v>
      </c>
      <c r="G205" s="1065" t="s">
        <v>237</v>
      </c>
      <c r="H205" s="1065" t="s">
        <v>238</v>
      </c>
      <c r="I205" s="1065" t="s">
        <v>239</v>
      </c>
      <c r="J205" s="1065" t="s">
        <v>240</v>
      </c>
      <c r="K205" s="1065" t="s">
        <v>241</v>
      </c>
      <c r="L205" s="1065" t="s">
        <v>242</v>
      </c>
      <c r="M205" s="877" t="s">
        <v>77</v>
      </c>
    </row>
    <row r="206" spans="1:15" ht="13" x14ac:dyDescent="0.3">
      <c r="A206" s="1875" t="s">
        <v>194</v>
      </c>
      <c r="B206" s="1875"/>
      <c r="C206" s="1066" t="str">
        <f>'Introducció dades'!C316</f>
        <v>GENER</v>
      </c>
      <c r="D206" s="1066" t="str">
        <f>'Introducció dades'!D316</f>
        <v>GENER</v>
      </c>
      <c r="E206" s="1066" t="str">
        <f>'Introducció dades'!E316</f>
        <v>GENER</v>
      </c>
      <c r="F206" s="1066" t="str">
        <f>'Introducció dades'!F316</f>
        <v>GENER</v>
      </c>
      <c r="G206" s="1066" t="str">
        <f>'Introducció dades'!G316</f>
        <v>GENER</v>
      </c>
      <c r="H206" s="1066" t="str">
        <f>'Introducció dades'!H316</f>
        <v>GENER</v>
      </c>
      <c r="I206" s="1066" t="str">
        <f>'Introducció dades'!I316</f>
        <v>GENER</v>
      </c>
      <c r="J206" s="1066" t="str">
        <f>'Introducció dades'!J316</f>
        <v>GENER</v>
      </c>
      <c r="K206" s="1066" t="str">
        <f>'Introducció dades'!K316</f>
        <v>GENER</v>
      </c>
      <c r="L206" s="1066" t="str">
        <f>'Introducció dades'!L316</f>
        <v>GENER</v>
      </c>
      <c r="M206" s="28"/>
    </row>
    <row r="207" spans="1:15" ht="13" x14ac:dyDescent="0.3">
      <c r="A207" s="1875" t="s">
        <v>195</v>
      </c>
      <c r="B207" s="1875"/>
      <c r="C207" s="1066" t="str">
        <f>'Introducció dades'!C317</f>
        <v>GENER</v>
      </c>
      <c r="D207" s="1066" t="str">
        <f>'Introducció dades'!D317</f>
        <v>GENER</v>
      </c>
      <c r="E207" s="1066" t="str">
        <f>'Introducció dades'!E317</f>
        <v>GENER</v>
      </c>
      <c r="F207" s="1066" t="str">
        <f>'Introducció dades'!F317</f>
        <v>GENER</v>
      </c>
      <c r="G207" s="1066" t="str">
        <f>'Introducció dades'!G317</f>
        <v>GENER</v>
      </c>
      <c r="H207" s="1066" t="str">
        <f>'Introducció dades'!H317</f>
        <v>GENER</v>
      </c>
      <c r="I207" s="1066" t="str">
        <f>'Introducció dades'!I317</f>
        <v>GENER</v>
      </c>
      <c r="J207" s="1066" t="str">
        <f>'Introducció dades'!J317</f>
        <v>GENER</v>
      </c>
      <c r="K207" s="1066" t="str">
        <f>'Introducció dades'!K317</f>
        <v>GENER</v>
      </c>
      <c r="L207" s="1066" t="str">
        <f>'Introducció dades'!L317</f>
        <v>GENER</v>
      </c>
      <c r="M207" s="28"/>
    </row>
    <row r="208" spans="1:15" ht="12.75" hidden="1" customHeight="1" x14ac:dyDescent="0.3">
      <c r="A208" s="1067" t="s">
        <v>204</v>
      </c>
      <c r="B208" s="662"/>
      <c r="C208" s="1068">
        <f t="shared" ref="C208:L208" si="141">IF(C206=$C222,12)+IF(C206=$D222,11)+IF(C206=$E222,10)+IF(C206=$F222,9)+IF(C206=$G222,8)+IF(C206=$H222,7)+IF(C206=$I222,6)+IF(C206=$J222,5)+IF(C206=$K222,4)+IF(C206=$L222,3)+IF(C206=$M222,2)+IF(C206=$M222,1)</f>
        <v>12</v>
      </c>
      <c r="D208" s="1068">
        <f t="shared" si="141"/>
        <v>12</v>
      </c>
      <c r="E208" s="1068">
        <f t="shared" si="141"/>
        <v>12</v>
      </c>
      <c r="F208" s="1068">
        <f t="shared" si="141"/>
        <v>12</v>
      </c>
      <c r="G208" s="1068">
        <f t="shared" si="141"/>
        <v>12</v>
      </c>
      <c r="H208" s="1068">
        <f t="shared" si="141"/>
        <v>12</v>
      </c>
      <c r="I208" s="1068">
        <f t="shared" si="141"/>
        <v>12</v>
      </c>
      <c r="J208" s="1068">
        <f t="shared" si="141"/>
        <v>12</v>
      </c>
      <c r="K208" s="1068">
        <f t="shared" si="141"/>
        <v>12</v>
      </c>
      <c r="L208" s="1068">
        <f t="shared" si="141"/>
        <v>12</v>
      </c>
      <c r="M208" s="28"/>
    </row>
    <row r="209" spans="1:15" ht="9.75" customHeight="1" x14ac:dyDescent="0.3">
      <c r="A209" s="1067" t="s">
        <v>205</v>
      </c>
      <c r="B209" s="662"/>
      <c r="C209" s="1068">
        <f t="shared" ref="C209:L209" si="142">IF(C207=$C222,12)+IF(C207=$D222,11)+IF(C207=$E222,10)+IF(C207=$F222,9)+IF(C207=$G222,8)+IF(C207=$H222,7)+IF(C207=$I222,6)+IF(C207=$J222,5)+IF(C207=$K222,4)+IF(C207=$L222,3)+IF(C207=$M222,2)+IF(C207=$M222,1)</f>
        <v>12</v>
      </c>
      <c r="D209" s="1068">
        <f t="shared" si="142"/>
        <v>12</v>
      </c>
      <c r="E209" s="1068">
        <f t="shared" si="142"/>
        <v>12</v>
      </c>
      <c r="F209" s="1068">
        <f t="shared" si="142"/>
        <v>12</v>
      </c>
      <c r="G209" s="1068">
        <f t="shared" si="142"/>
        <v>12</v>
      </c>
      <c r="H209" s="1068">
        <f t="shared" si="142"/>
        <v>12</v>
      </c>
      <c r="I209" s="1068">
        <f t="shared" si="142"/>
        <v>12</v>
      </c>
      <c r="J209" s="1068">
        <f t="shared" si="142"/>
        <v>12</v>
      </c>
      <c r="K209" s="1068">
        <f t="shared" si="142"/>
        <v>12</v>
      </c>
      <c r="L209" s="1068">
        <f t="shared" si="142"/>
        <v>12</v>
      </c>
      <c r="M209" s="28"/>
    </row>
    <row r="210" spans="1:15" ht="13" x14ac:dyDescent="0.3">
      <c r="A210" s="1876" t="s">
        <v>211</v>
      </c>
      <c r="B210" s="1876"/>
      <c r="C210" s="1069"/>
      <c r="D210" s="1069"/>
      <c r="E210" s="1069"/>
      <c r="F210" s="1069"/>
      <c r="G210" s="1069"/>
      <c r="H210" s="1069"/>
      <c r="I210" s="1069"/>
      <c r="J210" s="1069"/>
      <c r="K210" s="1069"/>
      <c r="L210" s="1069"/>
      <c r="M210" s="1070"/>
    </row>
    <row r="211" spans="1:15" ht="13" x14ac:dyDescent="0.3">
      <c r="A211" s="1876" t="s">
        <v>197</v>
      </c>
      <c r="B211" s="1876"/>
      <c r="C211" s="1115">
        <f>'Introducció dades'!C321</f>
        <v>0</v>
      </c>
      <c r="D211" s="1115">
        <f>'Introducció dades'!D321</f>
        <v>0</v>
      </c>
      <c r="E211" s="1115">
        <f>'Introducció dades'!E321</f>
        <v>0</v>
      </c>
      <c r="F211" s="1115">
        <f>'Introducció dades'!F321</f>
        <v>0</v>
      </c>
      <c r="G211" s="1115">
        <f>'Introducció dades'!G321</f>
        <v>0</v>
      </c>
      <c r="H211" s="1115">
        <f>'Introducció dades'!H321</f>
        <v>0</v>
      </c>
      <c r="I211" s="1115">
        <f>'Introducció dades'!I321</f>
        <v>0</v>
      </c>
      <c r="J211" s="1115">
        <f>'Introducció dades'!J321</f>
        <v>0</v>
      </c>
      <c r="K211" s="1115">
        <f>'Introducció dades'!K321</f>
        <v>0</v>
      </c>
      <c r="L211" s="1115">
        <f>'Introducció dades'!L321</f>
        <v>0</v>
      </c>
      <c r="M211" s="1072"/>
    </row>
    <row r="212" spans="1:15" ht="12.75" customHeight="1" x14ac:dyDescent="0.25">
      <c r="A212" s="1876" t="s">
        <v>358</v>
      </c>
      <c r="B212" s="1876"/>
      <c r="C212" s="1073">
        <f t="shared" ref="C212:L212" si="143">C211*C208</f>
        <v>0</v>
      </c>
      <c r="D212" s="1073">
        <f t="shared" si="143"/>
        <v>0</v>
      </c>
      <c r="E212" s="1073">
        <f t="shared" si="143"/>
        <v>0</v>
      </c>
      <c r="F212" s="1073">
        <f t="shared" si="143"/>
        <v>0</v>
      </c>
      <c r="G212" s="1073">
        <f t="shared" si="143"/>
        <v>0</v>
      </c>
      <c r="H212" s="1073">
        <f t="shared" si="143"/>
        <v>0</v>
      </c>
      <c r="I212" s="1073">
        <f t="shared" si="143"/>
        <v>0</v>
      </c>
      <c r="J212" s="1073">
        <f t="shared" si="143"/>
        <v>0</v>
      </c>
      <c r="K212" s="1073">
        <f t="shared" si="143"/>
        <v>0</v>
      </c>
      <c r="L212" s="1073">
        <f t="shared" si="143"/>
        <v>0</v>
      </c>
      <c r="M212" s="1073">
        <f>SUM(C212:L212)</f>
        <v>0</v>
      </c>
    </row>
    <row r="213" spans="1:15" x14ac:dyDescent="0.25">
      <c r="A213" s="1877" t="s">
        <v>198</v>
      </c>
      <c r="B213" s="1877"/>
      <c r="C213" s="1116"/>
      <c r="D213" s="1116"/>
      <c r="E213" s="1116"/>
      <c r="F213" s="1116"/>
      <c r="G213" s="1116"/>
      <c r="H213" s="1116"/>
      <c r="I213" s="1116"/>
      <c r="J213" s="1116"/>
      <c r="K213" s="1116"/>
      <c r="L213" s="1116"/>
      <c r="M213" s="1116"/>
    </row>
    <row r="214" spans="1:15" x14ac:dyDescent="0.25">
      <c r="A214" s="1878" t="s">
        <v>199</v>
      </c>
      <c r="B214" s="1878"/>
      <c r="C214" s="1117">
        <f>'Introducció dades'!C323</f>
        <v>0</v>
      </c>
      <c r="D214" s="1117">
        <f>'Introducció dades'!D323</f>
        <v>0</v>
      </c>
      <c r="E214" s="1117">
        <f>'Introducció dades'!E323</f>
        <v>0</v>
      </c>
      <c r="F214" s="1117">
        <f>'Introducció dades'!F323</f>
        <v>0</v>
      </c>
      <c r="G214" s="1117">
        <f>'Introducció dades'!G323</f>
        <v>0</v>
      </c>
      <c r="H214" s="1117">
        <f>'Introducció dades'!H323</f>
        <v>0</v>
      </c>
      <c r="I214" s="1117">
        <f>'Introducció dades'!I323</f>
        <v>0</v>
      </c>
      <c r="J214" s="1117">
        <f>'Introducció dades'!J323</f>
        <v>0</v>
      </c>
      <c r="K214" s="1117">
        <f>'Introducció dades'!K323</f>
        <v>0</v>
      </c>
      <c r="L214" s="1117">
        <f>'Introducció dades'!L323</f>
        <v>0</v>
      </c>
      <c r="M214" s="1075">
        <f>SUM(C214:L214)</f>
        <v>0</v>
      </c>
    </row>
    <row r="215" spans="1:15" x14ac:dyDescent="0.25">
      <c r="A215" s="1878" t="s">
        <v>200</v>
      </c>
      <c r="B215" s="1878"/>
      <c r="C215" s="1117">
        <f>'Introducció dades'!C324</f>
        <v>0</v>
      </c>
      <c r="D215" s="1117">
        <f>'Introducció dades'!D324</f>
        <v>0</v>
      </c>
      <c r="E215" s="1117">
        <f>'Introducció dades'!E324</f>
        <v>0</v>
      </c>
      <c r="F215" s="1117">
        <f>'Introducció dades'!F324</f>
        <v>0</v>
      </c>
      <c r="G215" s="1117">
        <f>'Introducció dades'!G324</f>
        <v>0</v>
      </c>
      <c r="H215" s="1117">
        <f>'Introducció dades'!H324</f>
        <v>0</v>
      </c>
      <c r="I215" s="1117">
        <f>'Introducció dades'!I324</f>
        <v>0</v>
      </c>
      <c r="J215" s="1117">
        <f>'Introducció dades'!J324</f>
        <v>0</v>
      </c>
      <c r="K215" s="1117">
        <f>'Introducció dades'!K324</f>
        <v>0</v>
      </c>
      <c r="L215" s="1117">
        <f>'Introducció dades'!L324</f>
        <v>0</v>
      </c>
      <c r="M215" s="1075">
        <f>M216</f>
        <v>0</v>
      </c>
    </row>
    <row r="216" spans="1:15" ht="12.75" hidden="1" customHeight="1" x14ac:dyDescent="0.25">
      <c r="A216" s="1879" t="s">
        <v>359</v>
      </c>
      <c r="B216" s="1879"/>
      <c r="C216" s="1118">
        <f t="shared" ref="C216:L216" si="144">C214*C215</f>
        <v>0</v>
      </c>
      <c r="D216" s="1118">
        <f t="shared" si="144"/>
        <v>0</v>
      </c>
      <c r="E216" s="1118">
        <f t="shared" si="144"/>
        <v>0</v>
      </c>
      <c r="F216" s="1118">
        <f t="shared" si="144"/>
        <v>0</v>
      </c>
      <c r="G216" s="1118">
        <f t="shared" si="144"/>
        <v>0</v>
      </c>
      <c r="H216" s="1118">
        <f t="shared" si="144"/>
        <v>0</v>
      </c>
      <c r="I216" s="1118">
        <f t="shared" si="144"/>
        <v>0</v>
      </c>
      <c r="J216" s="1118">
        <f t="shared" si="144"/>
        <v>0</v>
      </c>
      <c r="K216" s="1118">
        <f t="shared" si="144"/>
        <v>0</v>
      </c>
      <c r="L216" s="1118">
        <f t="shared" si="144"/>
        <v>0</v>
      </c>
      <c r="M216" s="1076">
        <f>SUM(C216:L216)</f>
        <v>0</v>
      </c>
    </row>
    <row r="217" spans="1:15" ht="13" x14ac:dyDescent="0.3">
      <c r="A217" s="1876" t="s">
        <v>201</v>
      </c>
      <c r="B217" s="1876"/>
      <c r="C217" s="1119">
        <f>'Introducció dades'!C325</f>
        <v>0</v>
      </c>
      <c r="D217" s="1119">
        <f>'Introducció dades'!D325</f>
        <v>0</v>
      </c>
      <c r="E217" s="1119">
        <f>'Introducció dades'!E325</f>
        <v>0</v>
      </c>
      <c r="F217" s="1119">
        <f>'Introducció dades'!F325</f>
        <v>0</v>
      </c>
      <c r="G217" s="1119">
        <f>'Introducció dades'!G325</f>
        <v>0</v>
      </c>
      <c r="H217" s="1119">
        <f>'Introducció dades'!H325</f>
        <v>0</v>
      </c>
      <c r="I217" s="1119">
        <f>'Introducció dades'!I325</f>
        <v>0</v>
      </c>
      <c r="J217" s="1119">
        <f>'Introducció dades'!J325</f>
        <v>0</v>
      </c>
      <c r="K217" s="1119">
        <f>'Introducció dades'!K325</f>
        <v>0</v>
      </c>
      <c r="L217" s="1119">
        <f>'Introducció dades'!L325</f>
        <v>0</v>
      </c>
      <c r="M217" s="1120"/>
      <c r="N217" s="7"/>
      <c r="O217" s="7"/>
    </row>
    <row r="218" spans="1:15" ht="13" x14ac:dyDescent="0.3">
      <c r="A218" s="1876" t="s">
        <v>202</v>
      </c>
      <c r="B218" s="1876"/>
      <c r="C218" s="1077">
        <f>'Introducció dades'!C326</f>
        <v>0.29799999999999999</v>
      </c>
      <c r="D218" s="1077">
        <f>'Introducció dades'!D326</f>
        <v>0.29799999999999999</v>
      </c>
      <c r="E218" s="1077">
        <f>'Introducció dades'!E326</f>
        <v>0.29799999999999999</v>
      </c>
      <c r="F218" s="1077">
        <f>'Introducció dades'!F326</f>
        <v>0.29799999999999999</v>
      </c>
      <c r="G218" s="1077">
        <f>'Introducció dades'!G326</f>
        <v>0.29799999999999999</v>
      </c>
      <c r="H218" s="1077">
        <f>'Introducció dades'!H326</f>
        <v>0.29799999999999999</v>
      </c>
      <c r="I218" s="1077">
        <f>'Introducció dades'!I326</f>
        <v>0.29799999999999999</v>
      </c>
      <c r="J218" s="1077">
        <f>'Introducció dades'!J326</f>
        <v>0.29799999999999999</v>
      </c>
      <c r="K218" s="1077">
        <f>'Introducció dades'!K326</f>
        <v>0.29799999999999999</v>
      </c>
      <c r="L218" s="1077">
        <f>'Introducció dades'!L326</f>
        <v>0.29799999999999999</v>
      </c>
      <c r="M218" s="30"/>
      <c r="N218" s="7"/>
      <c r="O218" s="7"/>
    </row>
    <row r="219" spans="1:15" ht="13" x14ac:dyDescent="0.3">
      <c r="A219" s="1876" t="s">
        <v>360</v>
      </c>
      <c r="B219" s="1876"/>
      <c r="C219" s="15">
        <f t="shared" ref="C219:L219" si="145">C217*C218</f>
        <v>0</v>
      </c>
      <c r="D219" s="15">
        <f t="shared" si="145"/>
        <v>0</v>
      </c>
      <c r="E219" s="15">
        <f t="shared" si="145"/>
        <v>0</v>
      </c>
      <c r="F219" s="15">
        <f t="shared" si="145"/>
        <v>0</v>
      </c>
      <c r="G219" s="15">
        <f t="shared" si="145"/>
        <v>0</v>
      </c>
      <c r="H219" s="15">
        <f t="shared" si="145"/>
        <v>0</v>
      </c>
      <c r="I219" s="15">
        <f t="shared" si="145"/>
        <v>0</v>
      </c>
      <c r="J219" s="15">
        <f t="shared" si="145"/>
        <v>0</v>
      </c>
      <c r="K219" s="15">
        <f t="shared" si="145"/>
        <v>0</v>
      </c>
      <c r="L219" s="15">
        <f t="shared" si="145"/>
        <v>0</v>
      </c>
      <c r="M219" s="1072">
        <f>SUM(C219:L219)</f>
        <v>0</v>
      </c>
      <c r="N219" s="7"/>
      <c r="O219" s="7"/>
    </row>
    <row r="220" spans="1:15" ht="13" x14ac:dyDescent="0.3">
      <c r="A220" s="1876" t="s">
        <v>203</v>
      </c>
      <c r="B220" s="1876"/>
      <c r="C220" s="1077">
        <f>'Introducció dades'!C327</f>
        <v>0.1</v>
      </c>
      <c r="D220" s="1077">
        <f>'Introducció dades'!D327</f>
        <v>0</v>
      </c>
      <c r="E220" s="1077">
        <f>'Introducció dades'!E327</f>
        <v>0</v>
      </c>
      <c r="F220" s="1077">
        <f>'Introducció dades'!F327</f>
        <v>0</v>
      </c>
      <c r="G220" s="1077">
        <f>'Introducció dades'!G327</f>
        <v>0</v>
      </c>
      <c r="H220" s="1077">
        <f>'Introducció dades'!H327</f>
        <v>0</v>
      </c>
      <c r="I220" s="1077">
        <f>'Introducció dades'!I327</f>
        <v>0</v>
      </c>
      <c r="J220" s="1077">
        <f>'Introducció dades'!J327</f>
        <v>0</v>
      </c>
      <c r="K220" s="1077">
        <f>'Introducció dades'!K327</f>
        <v>0</v>
      </c>
      <c r="L220" s="1077">
        <f>'Introducció dades'!L327</f>
        <v>0</v>
      </c>
      <c r="M220" s="1079">
        <f>IF(M212&gt;0,(C212*C220+D212*D220+E212*E220+F212*F220+G212*G220+H212*H220+I212*I220+J212*J220+K212*K220+L212*L220)/M212,0)</f>
        <v>0</v>
      </c>
      <c r="N220" s="7"/>
      <c r="O220" s="7"/>
    </row>
    <row r="222" spans="1:15" ht="13" x14ac:dyDescent="0.3">
      <c r="A222" s="1874"/>
      <c r="B222" s="1874"/>
      <c r="C222" s="1080" t="str">
        <f>C121</f>
        <v>GENER</v>
      </c>
      <c r="D222" s="1080" t="str">
        <f t="shared" ref="D222:N222" si="146">D121</f>
        <v>FEBRER</v>
      </c>
      <c r="E222" s="1080" t="str">
        <f t="shared" si="146"/>
        <v>MARÇ</v>
      </c>
      <c r="F222" s="1080" t="str">
        <f t="shared" si="146"/>
        <v>ABRIL</v>
      </c>
      <c r="G222" s="1080" t="str">
        <f t="shared" si="146"/>
        <v>MAIG</v>
      </c>
      <c r="H222" s="1080" t="str">
        <f t="shared" si="146"/>
        <v>JUNY</v>
      </c>
      <c r="I222" s="1080" t="str">
        <f t="shared" si="146"/>
        <v>JULIOL</v>
      </c>
      <c r="J222" s="1080" t="str">
        <f t="shared" si="146"/>
        <v>AGOST</v>
      </c>
      <c r="K222" s="1080" t="str">
        <f t="shared" si="146"/>
        <v>SETEMBRE</v>
      </c>
      <c r="L222" s="1080" t="str">
        <f t="shared" si="146"/>
        <v>OCTUBRE</v>
      </c>
      <c r="M222" s="1080" t="str">
        <f t="shared" si="146"/>
        <v>NOVEMBRE</v>
      </c>
      <c r="N222" s="1080" t="str">
        <f t="shared" si="146"/>
        <v>DESEMBRE</v>
      </c>
      <c r="O222" s="1080" t="str">
        <f>O121</f>
        <v>TOTAL</v>
      </c>
    </row>
    <row r="223" spans="1:15" ht="13" x14ac:dyDescent="0.3">
      <c r="A223" s="1880" t="s">
        <v>361</v>
      </c>
      <c r="B223" s="1880"/>
      <c r="C223" s="1081">
        <f>C224+C235</f>
        <v>0</v>
      </c>
      <c r="D223" s="1081">
        <f t="shared" ref="D223:N223" si="147">D224+D235</f>
        <v>0</v>
      </c>
      <c r="E223" s="1081">
        <f t="shared" si="147"/>
        <v>0</v>
      </c>
      <c r="F223" s="1081">
        <f t="shared" si="147"/>
        <v>0</v>
      </c>
      <c r="G223" s="1081">
        <f t="shared" si="147"/>
        <v>0</v>
      </c>
      <c r="H223" s="1081">
        <f t="shared" si="147"/>
        <v>0</v>
      </c>
      <c r="I223" s="1081">
        <f t="shared" si="147"/>
        <v>0</v>
      </c>
      <c r="J223" s="1081">
        <f t="shared" si="147"/>
        <v>0</v>
      </c>
      <c r="K223" s="1081">
        <f t="shared" si="147"/>
        <v>0</v>
      </c>
      <c r="L223" s="1081">
        <f t="shared" si="147"/>
        <v>0</v>
      </c>
      <c r="M223" s="1081">
        <f t="shared" si="147"/>
        <v>0</v>
      </c>
      <c r="N223" s="1081">
        <f t="shared" si="147"/>
        <v>0</v>
      </c>
      <c r="O223" s="1081">
        <f>O224+O235</f>
        <v>0</v>
      </c>
    </row>
    <row r="224" spans="1:15" ht="15.75" customHeight="1" x14ac:dyDescent="0.3">
      <c r="A224" s="1881" t="s">
        <v>362</v>
      </c>
      <c r="B224" s="1881"/>
      <c r="C224" s="1082">
        <f>SUM(C225:C234)</f>
        <v>0</v>
      </c>
      <c r="D224" s="1082">
        <f t="shared" ref="D224:N224" si="148">SUM(D225:D234)</f>
        <v>0</v>
      </c>
      <c r="E224" s="1082">
        <f t="shared" si="148"/>
        <v>0</v>
      </c>
      <c r="F224" s="1082">
        <f t="shared" si="148"/>
        <v>0</v>
      </c>
      <c r="G224" s="1082">
        <f t="shared" si="148"/>
        <v>0</v>
      </c>
      <c r="H224" s="1082">
        <f t="shared" si="148"/>
        <v>0</v>
      </c>
      <c r="I224" s="1082">
        <f t="shared" si="148"/>
        <v>0</v>
      </c>
      <c r="J224" s="1082">
        <f t="shared" si="148"/>
        <v>0</v>
      </c>
      <c r="K224" s="1082">
        <f t="shared" si="148"/>
        <v>0</v>
      </c>
      <c r="L224" s="1082">
        <f t="shared" si="148"/>
        <v>0</v>
      </c>
      <c r="M224" s="1082">
        <f t="shared" si="148"/>
        <v>0</v>
      </c>
      <c r="N224" s="1082">
        <f t="shared" si="148"/>
        <v>0</v>
      </c>
      <c r="O224" s="1082">
        <f>SUM(C224:N224)</f>
        <v>0</v>
      </c>
    </row>
    <row r="225" spans="1:15" ht="15" customHeight="1" x14ac:dyDescent="0.25">
      <c r="A225" s="1083" t="str">
        <f>C$3</f>
        <v>Promotor 1</v>
      </c>
      <c r="B225" s="1084"/>
      <c r="C225" s="1085">
        <f>IF($C206=C222,$C212/$C208,0)</f>
        <v>0</v>
      </c>
      <c r="D225" s="1085">
        <f t="shared" ref="D225:M225" si="149">IF(AND(C225=0,D222=$C206),$C212/$C208,0)+IF(C225=0,0,$C212/$C208)</f>
        <v>0</v>
      </c>
      <c r="E225" s="1085">
        <f t="shared" si="149"/>
        <v>0</v>
      </c>
      <c r="F225" s="1085">
        <f t="shared" si="149"/>
        <v>0</v>
      </c>
      <c r="G225" s="1085">
        <f t="shared" si="149"/>
        <v>0</v>
      </c>
      <c r="H225" s="1085">
        <f t="shared" si="149"/>
        <v>0</v>
      </c>
      <c r="I225" s="1085">
        <f t="shared" si="149"/>
        <v>0</v>
      </c>
      <c r="J225" s="1085">
        <f t="shared" si="149"/>
        <v>0</v>
      </c>
      <c r="K225" s="1085">
        <f t="shared" si="149"/>
        <v>0</v>
      </c>
      <c r="L225" s="1085">
        <f t="shared" si="149"/>
        <v>0</v>
      </c>
      <c r="M225" s="1085">
        <f t="shared" si="149"/>
        <v>0</v>
      </c>
      <c r="N225" s="1085">
        <f>IF(AND(M225=0,N222=$C206),$C211,0)+IF(M225=0,0,$C212/$C208)</f>
        <v>0</v>
      </c>
      <c r="O225" s="1085">
        <f t="shared" ref="O225:O234" si="150">SUM(C225:N225)</f>
        <v>0</v>
      </c>
    </row>
    <row r="226" spans="1:15" ht="17.25" customHeight="1" x14ac:dyDescent="0.25">
      <c r="A226" s="1083" t="str">
        <f>D$3</f>
        <v>Promotor 2</v>
      </c>
      <c r="B226" s="1084"/>
      <c r="C226" s="1085">
        <f>IF($D206=C222,$D212/$D208,0)</f>
        <v>0</v>
      </c>
      <c r="D226" s="1085">
        <f t="shared" ref="D226:M226" si="151">IF(AND(C226=0,D222=$D206),$D212/$D208,0)+IF(C226=0,0,$D212/$D208)</f>
        <v>0</v>
      </c>
      <c r="E226" s="1085">
        <f t="shared" si="151"/>
        <v>0</v>
      </c>
      <c r="F226" s="1085">
        <f t="shared" si="151"/>
        <v>0</v>
      </c>
      <c r="G226" s="1085">
        <f t="shared" si="151"/>
        <v>0</v>
      </c>
      <c r="H226" s="1085">
        <f t="shared" si="151"/>
        <v>0</v>
      </c>
      <c r="I226" s="1085">
        <f t="shared" si="151"/>
        <v>0</v>
      </c>
      <c r="J226" s="1085">
        <f t="shared" si="151"/>
        <v>0</v>
      </c>
      <c r="K226" s="1085">
        <f t="shared" si="151"/>
        <v>0</v>
      </c>
      <c r="L226" s="1085">
        <f t="shared" si="151"/>
        <v>0</v>
      </c>
      <c r="M226" s="1085">
        <f t="shared" si="151"/>
        <v>0</v>
      </c>
      <c r="N226" s="1085">
        <f>IF(AND(M226=0,N222=$D206),$D211,0)+IF(M226=0,0,$D212/$D208)</f>
        <v>0</v>
      </c>
      <c r="O226" s="1085">
        <f t="shared" si="150"/>
        <v>0</v>
      </c>
    </row>
    <row r="227" spans="1:15" ht="18.75" customHeight="1" x14ac:dyDescent="0.25">
      <c r="A227" s="1083" t="str">
        <f>E$3</f>
        <v>Promotor 3</v>
      </c>
      <c r="B227" s="1084"/>
      <c r="C227" s="1085">
        <f>IF($E206=C222,$E212/$E208,0)</f>
        <v>0</v>
      </c>
      <c r="D227" s="1085">
        <f t="shared" ref="D227:M227" si="152">IF(AND(C227=0,D222=$E206),$E212/$E208,0)+IF(C227=0,0,$E212/$E208)</f>
        <v>0</v>
      </c>
      <c r="E227" s="1085">
        <f t="shared" si="152"/>
        <v>0</v>
      </c>
      <c r="F227" s="1085">
        <f t="shared" si="152"/>
        <v>0</v>
      </c>
      <c r="G227" s="1085">
        <f t="shared" si="152"/>
        <v>0</v>
      </c>
      <c r="H227" s="1085">
        <f t="shared" si="152"/>
        <v>0</v>
      </c>
      <c r="I227" s="1085">
        <f t="shared" si="152"/>
        <v>0</v>
      </c>
      <c r="J227" s="1085">
        <f t="shared" si="152"/>
        <v>0</v>
      </c>
      <c r="K227" s="1085">
        <f t="shared" si="152"/>
        <v>0</v>
      </c>
      <c r="L227" s="1085">
        <f t="shared" si="152"/>
        <v>0</v>
      </c>
      <c r="M227" s="1085">
        <f t="shared" si="152"/>
        <v>0</v>
      </c>
      <c r="N227" s="1085">
        <f>IF(AND(M227=0,N222=$E206),$E211,0)+IF(M227=0,0,$E212/$E208)</f>
        <v>0</v>
      </c>
      <c r="O227" s="1085">
        <f t="shared" si="150"/>
        <v>0</v>
      </c>
    </row>
    <row r="228" spans="1:15" ht="16.5" customHeight="1" x14ac:dyDescent="0.25">
      <c r="A228" s="1083" t="str">
        <f>F$3</f>
        <v>Promotor 4</v>
      </c>
      <c r="B228" s="1084"/>
      <c r="C228" s="1085">
        <f>IF($F206=C222,$F212/$F208,0)</f>
        <v>0</v>
      </c>
      <c r="D228" s="1085">
        <f t="shared" ref="D228:M228" si="153">IF(AND(C228=0,D222=$F206),$F212/$F208,0)+IF(C228=0,0,$F212/$F208)</f>
        <v>0</v>
      </c>
      <c r="E228" s="1085">
        <f t="shared" si="153"/>
        <v>0</v>
      </c>
      <c r="F228" s="1085">
        <f t="shared" si="153"/>
        <v>0</v>
      </c>
      <c r="G228" s="1085">
        <f t="shared" si="153"/>
        <v>0</v>
      </c>
      <c r="H228" s="1085">
        <f t="shared" si="153"/>
        <v>0</v>
      </c>
      <c r="I228" s="1085">
        <f t="shared" si="153"/>
        <v>0</v>
      </c>
      <c r="J228" s="1085">
        <f t="shared" si="153"/>
        <v>0</v>
      </c>
      <c r="K228" s="1085">
        <f t="shared" si="153"/>
        <v>0</v>
      </c>
      <c r="L228" s="1085">
        <f t="shared" si="153"/>
        <v>0</v>
      </c>
      <c r="M228" s="1085">
        <f t="shared" si="153"/>
        <v>0</v>
      </c>
      <c r="N228" s="1085">
        <f>IF(AND(M228=0,N222=$F206),$F211,0)+IF(M228=0,0,$F212/$F208)</f>
        <v>0</v>
      </c>
      <c r="O228" s="1085">
        <f t="shared" si="150"/>
        <v>0</v>
      </c>
    </row>
    <row r="229" spans="1:15" ht="15" customHeight="1" x14ac:dyDescent="0.25">
      <c r="A229" s="1083" t="str">
        <f>G$3</f>
        <v>Promotor 5</v>
      </c>
      <c r="B229" s="1084"/>
      <c r="C229" s="1085">
        <f>IF($G206=C222,$G212/$G208,0)</f>
        <v>0</v>
      </c>
      <c r="D229" s="1085">
        <f t="shared" ref="D229:M229" si="154">IF(AND(C229=0,D222=$G206),$G212/$G208,0)+IF(C229=0,0,$G212/$G208)</f>
        <v>0</v>
      </c>
      <c r="E229" s="1085">
        <f t="shared" si="154"/>
        <v>0</v>
      </c>
      <c r="F229" s="1085">
        <f t="shared" si="154"/>
        <v>0</v>
      </c>
      <c r="G229" s="1085">
        <f t="shared" si="154"/>
        <v>0</v>
      </c>
      <c r="H229" s="1085">
        <f t="shared" si="154"/>
        <v>0</v>
      </c>
      <c r="I229" s="1085">
        <f t="shared" si="154"/>
        <v>0</v>
      </c>
      <c r="J229" s="1085">
        <f t="shared" si="154"/>
        <v>0</v>
      </c>
      <c r="K229" s="1085">
        <f t="shared" si="154"/>
        <v>0</v>
      </c>
      <c r="L229" s="1085">
        <f t="shared" si="154"/>
        <v>0</v>
      </c>
      <c r="M229" s="1085">
        <f t="shared" si="154"/>
        <v>0</v>
      </c>
      <c r="N229" s="1085">
        <f>IF(AND(M229=0,N222=$G206),$G211,0)+IF(M229=0,0,$G212/$G208)</f>
        <v>0</v>
      </c>
      <c r="O229" s="1085">
        <f t="shared" si="150"/>
        <v>0</v>
      </c>
    </row>
    <row r="230" spans="1:15" ht="11.25" customHeight="1" x14ac:dyDescent="0.25">
      <c r="A230" s="1083" t="str">
        <f>H$3</f>
        <v>Promotor 6</v>
      </c>
      <c r="B230" s="1084"/>
      <c r="C230" s="1085">
        <f>IF($H206=C222,$H212/$H208,0)</f>
        <v>0</v>
      </c>
      <c r="D230" s="1085">
        <f t="shared" ref="D230:M230" si="155">IF(AND(C230=0,D222=$H206),$H212/$H208,0)+IF(C230=0,0,$H212/$H208)</f>
        <v>0</v>
      </c>
      <c r="E230" s="1085">
        <f t="shared" si="155"/>
        <v>0</v>
      </c>
      <c r="F230" s="1085">
        <f t="shared" si="155"/>
        <v>0</v>
      </c>
      <c r="G230" s="1085">
        <f t="shared" si="155"/>
        <v>0</v>
      </c>
      <c r="H230" s="1085">
        <f t="shared" si="155"/>
        <v>0</v>
      </c>
      <c r="I230" s="1085">
        <f t="shared" si="155"/>
        <v>0</v>
      </c>
      <c r="J230" s="1085">
        <f t="shared" si="155"/>
        <v>0</v>
      </c>
      <c r="K230" s="1085">
        <f t="shared" si="155"/>
        <v>0</v>
      </c>
      <c r="L230" s="1085">
        <f t="shared" si="155"/>
        <v>0</v>
      </c>
      <c r="M230" s="1085">
        <f t="shared" si="155"/>
        <v>0</v>
      </c>
      <c r="N230" s="1085">
        <f>IF(AND(M230=0,N222=$H206),$H211,0)+IF(M230=0,0,$H212/$H208)</f>
        <v>0</v>
      </c>
      <c r="O230" s="1085">
        <f t="shared" si="150"/>
        <v>0</v>
      </c>
    </row>
    <row r="231" spans="1:15" ht="13.5" customHeight="1" x14ac:dyDescent="0.25">
      <c r="A231" s="1083" t="str">
        <f>I$3</f>
        <v>Promotor 7</v>
      </c>
      <c r="B231" s="1084"/>
      <c r="C231" s="1085">
        <f>IF($I206=C222,$I212/$I208,0)</f>
        <v>0</v>
      </c>
      <c r="D231" s="1085">
        <f t="shared" ref="D231:M231" si="156">IF(AND(C231=0,D222=$I206),$I212/$I208,0)+IF(C231=0,0,$I212/$I208)</f>
        <v>0</v>
      </c>
      <c r="E231" s="1085">
        <f t="shared" si="156"/>
        <v>0</v>
      </c>
      <c r="F231" s="1085">
        <f t="shared" si="156"/>
        <v>0</v>
      </c>
      <c r="G231" s="1085">
        <f t="shared" si="156"/>
        <v>0</v>
      </c>
      <c r="H231" s="1085">
        <f t="shared" si="156"/>
        <v>0</v>
      </c>
      <c r="I231" s="1085">
        <f t="shared" si="156"/>
        <v>0</v>
      </c>
      <c r="J231" s="1085">
        <f t="shared" si="156"/>
        <v>0</v>
      </c>
      <c r="K231" s="1085">
        <f t="shared" si="156"/>
        <v>0</v>
      </c>
      <c r="L231" s="1085">
        <f t="shared" si="156"/>
        <v>0</v>
      </c>
      <c r="M231" s="1085">
        <f t="shared" si="156"/>
        <v>0</v>
      </c>
      <c r="N231" s="1085">
        <f>IF(AND(M231=0,N222=$I206),$I211,0)+IF(M231=0,0,$I212/$I208)</f>
        <v>0</v>
      </c>
      <c r="O231" s="1085">
        <f t="shared" si="150"/>
        <v>0</v>
      </c>
    </row>
    <row r="232" spans="1:15" ht="16.5" customHeight="1" x14ac:dyDescent="0.25">
      <c r="A232" s="1083" t="str">
        <f>J$3</f>
        <v>Promotor 8</v>
      </c>
      <c r="B232" s="1084"/>
      <c r="C232" s="1085">
        <f>IF($J206=C222,$J212/$J208,0)</f>
        <v>0</v>
      </c>
      <c r="D232" s="1085">
        <f t="shared" ref="D232:M232" si="157">IF(AND(C232=0,D222=$J206),$J212/$J208,0)+IF(C232=0,0,$J212/$J208)</f>
        <v>0</v>
      </c>
      <c r="E232" s="1085">
        <f t="shared" si="157"/>
        <v>0</v>
      </c>
      <c r="F232" s="1085">
        <f t="shared" si="157"/>
        <v>0</v>
      </c>
      <c r="G232" s="1085">
        <f t="shared" si="157"/>
        <v>0</v>
      </c>
      <c r="H232" s="1085">
        <f t="shared" si="157"/>
        <v>0</v>
      </c>
      <c r="I232" s="1085">
        <f t="shared" si="157"/>
        <v>0</v>
      </c>
      <c r="J232" s="1085">
        <f t="shared" si="157"/>
        <v>0</v>
      </c>
      <c r="K232" s="1085">
        <f t="shared" si="157"/>
        <v>0</v>
      </c>
      <c r="L232" s="1085">
        <f t="shared" si="157"/>
        <v>0</v>
      </c>
      <c r="M232" s="1085">
        <f t="shared" si="157"/>
        <v>0</v>
      </c>
      <c r="N232" s="1085">
        <f>IF(AND(M232=0,N222=$J206),$J211,0)+IF(M232=0,0,$J212/$J208)</f>
        <v>0</v>
      </c>
      <c r="O232" s="1085">
        <f t="shared" si="150"/>
        <v>0</v>
      </c>
    </row>
    <row r="233" spans="1:15" ht="21" customHeight="1" x14ac:dyDescent="0.25">
      <c r="A233" s="1083" t="str">
        <f>K$3</f>
        <v>Promotor 9</v>
      </c>
      <c r="B233" s="1084"/>
      <c r="C233" s="1085">
        <f>IF($K206=C222,$K212/$K208,0)</f>
        <v>0</v>
      </c>
      <c r="D233" s="1085">
        <f t="shared" ref="D233:M233" si="158">IF(AND(C233=0,D222=$K206),$K212/$K208,0)+IF(C233=0,0,$K212/$K208)</f>
        <v>0</v>
      </c>
      <c r="E233" s="1085">
        <f t="shared" si="158"/>
        <v>0</v>
      </c>
      <c r="F233" s="1085">
        <f t="shared" si="158"/>
        <v>0</v>
      </c>
      <c r="G233" s="1085">
        <f t="shared" si="158"/>
        <v>0</v>
      </c>
      <c r="H233" s="1085">
        <f t="shared" si="158"/>
        <v>0</v>
      </c>
      <c r="I233" s="1085">
        <f t="shared" si="158"/>
        <v>0</v>
      </c>
      <c r="J233" s="1085">
        <f t="shared" si="158"/>
        <v>0</v>
      </c>
      <c r="K233" s="1085">
        <f t="shared" si="158"/>
        <v>0</v>
      </c>
      <c r="L233" s="1085">
        <f t="shared" si="158"/>
        <v>0</v>
      </c>
      <c r="M233" s="1085">
        <f t="shared" si="158"/>
        <v>0</v>
      </c>
      <c r="N233" s="1085">
        <f>IF(AND(M233=0,N222=$K206),$K211,0)+IF(M233=0,0,$K212/$K208)</f>
        <v>0</v>
      </c>
      <c r="O233" s="1085">
        <f t="shared" si="150"/>
        <v>0</v>
      </c>
    </row>
    <row r="234" spans="1:15" ht="14.25" customHeight="1" x14ac:dyDescent="0.25">
      <c r="A234" s="1083" t="str">
        <f>L$3</f>
        <v>Promotor 10</v>
      </c>
      <c r="B234" s="1084"/>
      <c r="C234" s="1085">
        <f>IF($L206=C222,$L212/$L208,0)</f>
        <v>0</v>
      </c>
      <c r="D234" s="1085">
        <f t="shared" ref="D234:M234" si="159">IF(AND(C234=0,D222=$L206),$L212/$L208,0)+IF(C234=0,0,$L212/$L208)</f>
        <v>0</v>
      </c>
      <c r="E234" s="1085">
        <f t="shared" si="159"/>
        <v>0</v>
      </c>
      <c r="F234" s="1085">
        <f t="shared" si="159"/>
        <v>0</v>
      </c>
      <c r="G234" s="1085">
        <f t="shared" si="159"/>
        <v>0</v>
      </c>
      <c r="H234" s="1085">
        <f t="shared" si="159"/>
        <v>0</v>
      </c>
      <c r="I234" s="1085">
        <f t="shared" si="159"/>
        <v>0</v>
      </c>
      <c r="J234" s="1085">
        <f t="shared" si="159"/>
        <v>0</v>
      </c>
      <c r="K234" s="1085">
        <f t="shared" si="159"/>
        <v>0</v>
      </c>
      <c r="L234" s="1085">
        <f t="shared" si="159"/>
        <v>0</v>
      </c>
      <c r="M234" s="1085">
        <f t="shared" si="159"/>
        <v>0</v>
      </c>
      <c r="N234" s="1085">
        <f>IF(AND(M234=0,N222=$L206),$L211,0)+IF(M234=0,0,$L212/$L208)</f>
        <v>0</v>
      </c>
      <c r="O234" s="1085">
        <f t="shared" si="150"/>
        <v>0</v>
      </c>
    </row>
    <row r="235" spans="1:15" ht="13" x14ac:dyDescent="0.3">
      <c r="A235" s="1882" t="s">
        <v>363</v>
      </c>
      <c r="B235" s="1882"/>
      <c r="C235" s="1086">
        <f t="shared" ref="C235:N235" si="160">SUM(C236:C245)</f>
        <v>0</v>
      </c>
      <c r="D235" s="1086">
        <f t="shared" si="160"/>
        <v>0</v>
      </c>
      <c r="E235" s="1086">
        <f t="shared" si="160"/>
        <v>0</v>
      </c>
      <c r="F235" s="1086">
        <f t="shared" si="160"/>
        <v>0</v>
      </c>
      <c r="G235" s="1086">
        <f t="shared" si="160"/>
        <v>0</v>
      </c>
      <c r="H235" s="1086">
        <f t="shared" si="160"/>
        <v>0</v>
      </c>
      <c r="I235" s="1086">
        <f t="shared" si="160"/>
        <v>0</v>
      </c>
      <c r="J235" s="1086">
        <f t="shared" si="160"/>
        <v>0</v>
      </c>
      <c r="K235" s="1086">
        <f t="shared" si="160"/>
        <v>0</v>
      </c>
      <c r="L235" s="1086">
        <f t="shared" si="160"/>
        <v>0</v>
      </c>
      <c r="M235" s="1086">
        <f t="shared" si="160"/>
        <v>0</v>
      </c>
      <c r="N235" s="1086">
        <f t="shared" si="160"/>
        <v>0</v>
      </c>
      <c r="O235" s="1086">
        <f>SUM(C235:N235)</f>
        <v>0</v>
      </c>
    </row>
    <row r="236" spans="1:15" hidden="1" x14ac:dyDescent="0.25">
      <c r="A236" s="1087" t="str">
        <f>A225</f>
        <v>Promotor 1</v>
      </c>
      <c r="B236" s="1088"/>
      <c r="C236" s="1089">
        <f>$C216*VARIABLES!B141</f>
        <v>0</v>
      </c>
      <c r="D236" s="1085">
        <f>$C216*VARIABLES!C141</f>
        <v>0</v>
      </c>
      <c r="E236" s="1085">
        <f>$C216*VARIABLES!D141</f>
        <v>0</v>
      </c>
      <c r="F236" s="1085">
        <f>$C216*VARIABLES!E141</f>
        <v>0</v>
      </c>
      <c r="G236" s="1085">
        <f>$C216*VARIABLES!F141</f>
        <v>0</v>
      </c>
      <c r="H236" s="1085">
        <f>$C216*VARIABLES!G141</f>
        <v>0</v>
      </c>
      <c r="I236" s="1085">
        <f>$C216*VARIABLES!H141</f>
        <v>0</v>
      </c>
      <c r="J236" s="1085">
        <f>$C216*VARIABLES!I141</f>
        <v>0</v>
      </c>
      <c r="K236" s="1085">
        <f>$C216*VARIABLES!J141</f>
        <v>0</v>
      </c>
      <c r="L236" s="1085">
        <f>$C216*VARIABLES!K141</f>
        <v>0</v>
      </c>
      <c r="M236" s="1085">
        <f>$C216*VARIABLES!L141</f>
        <v>0</v>
      </c>
      <c r="N236" s="1090">
        <f>$C216*VARIABLES!M141</f>
        <v>0</v>
      </c>
      <c r="O236" s="1091">
        <f t="shared" ref="O236:O245" si="161">SUM(C236:N236)</f>
        <v>0</v>
      </c>
    </row>
    <row r="237" spans="1:15" hidden="1" x14ac:dyDescent="0.25">
      <c r="A237" s="1087" t="str">
        <f t="shared" ref="A237:A245" si="162">A226</f>
        <v>Promotor 2</v>
      </c>
      <c r="B237" s="1088"/>
      <c r="C237" s="1089">
        <f>$D216*VARIABLES!B141</f>
        <v>0</v>
      </c>
      <c r="D237" s="1085">
        <f>$D216*VARIABLES!C141</f>
        <v>0</v>
      </c>
      <c r="E237" s="1085">
        <f>$D216*VARIABLES!D141</f>
        <v>0</v>
      </c>
      <c r="F237" s="1085">
        <f>$D216*VARIABLES!E141</f>
        <v>0</v>
      </c>
      <c r="G237" s="1085">
        <f>$D216*VARIABLES!F141</f>
        <v>0</v>
      </c>
      <c r="H237" s="1085">
        <f>$D216*VARIABLES!G141</f>
        <v>0</v>
      </c>
      <c r="I237" s="1085">
        <f>$D216*VARIABLES!H141</f>
        <v>0</v>
      </c>
      <c r="J237" s="1085">
        <f>$D216*VARIABLES!I141</f>
        <v>0</v>
      </c>
      <c r="K237" s="1085">
        <f>$D216*VARIABLES!J141</f>
        <v>0</v>
      </c>
      <c r="L237" s="1085">
        <f>$D216*VARIABLES!K141</f>
        <v>0</v>
      </c>
      <c r="M237" s="1085">
        <f>$D216*VARIABLES!L141</f>
        <v>0</v>
      </c>
      <c r="N237" s="1090">
        <f>$D216*VARIABLES!M141</f>
        <v>0</v>
      </c>
      <c r="O237" s="1091">
        <f t="shared" si="161"/>
        <v>0</v>
      </c>
    </row>
    <row r="238" spans="1:15" hidden="1" x14ac:dyDescent="0.25">
      <c r="A238" s="1087" t="str">
        <f t="shared" si="162"/>
        <v>Promotor 3</v>
      </c>
      <c r="B238" s="1088"/>
      <c r="C238" s="1089">
        <f>$E216*VARIABLES!B141</f>
        <v>0</v>
      </c>
      <c r="D238" s="1085">
        <f>$E216*VARIABLES!C141</f>
        <v>0</v>
      </c>
      <c r="E238" s="1085">
        <f>$E216*VARIABLES!D141</f>
        <v>0</v>
      </c>
      <c r="F238" s="1085">
        <f>$E216*VARIABLES!E141</f>
        <v>0</v>
      </c>
      <c r="G238" s="1085">
        <f>$E216*VARIABLES!F141</f>
        <v>0</v>
      </c>
      <c r="H238" s="1085">
        <f>$E216*VARIABLES!G141</f>
        <v>0</v>
      </c>
      <c r="I238" s="1085">
        <f>$E216*VARIABLES!H141</f>
        <v>0</v>
      </c>
      <c r="J238" s="1085">
        <f>$E216*VARIABLES!I141</f>
        <v>0</v>
      </c>
      <c r="K238" s="1085">
        <f>$E216*VARIABLES!J141</f>
        <v>0</v>
      </c>
      <c r="L238" s="1085">
        <f>$E216*VARIABLES!K141</f>
        <v>0</v>
      </c>
      <c r="M238" s="1085">
        <f>$E216*VARIABLES!L141</f>
        <v>0</v>
      </c>
      <c r="N238" s="1090">
        <f>$E216*VARIABLES!M141</f>
        <v>0</v>
      </c>
      <c r="O238" s="1091">
        <f t="shared" si="161"/>
        <v>0</v>
      </c>
    </row>
    <row r="239" spans="1:15" hidden="1" x14ac:dyDescent="0.25">
      <c r="A239" s="1087" t="str">
        <f t="shared" si="162"/>
        <v>Promotor 4</v>
      </c>
      <c r="B239" s="1088"/>
      <c r="C239" s="1089">
        <f>$F216*VARIABLES!B141</f>
        <v>0</v>
      </c>
      <c r="D239" s="1085">
        <f>$F216*VARIABLES!C141</f>
        <v>0</v>
      </c>
      <c r="E239" s="1085">
        <f>$F216*VARIABLES!D141</f>
        <v>0</v>
      </c>
      <c r="F239" s="1085">
        <f>$F216*VARIABLES!E141</f>
        <v>0</v>
      </c>
      <c r="G239" s="1085">
        <f>$F216*VARIABLES!F141</f>
        <v>0</v>
      </c>
      <c r="H239" s="1085">
        <f>$F216*VARIABLES!G141</f>
        <v>0</v>
      </c>
      <c r="I239" s="1085">
        <f>$F216*VARIABLES!H141</f>
        <v>0</v>
      </c>
      <c r="J239" s="1085">
        <f>$F216*VARIABLES!I141</f>
        <v>0</v>
      </c>
      <c r="K239" s="1085">
        <f>$F216*VARIABLES!J141</f>
        <v>0</v>
      </c>
      <c r="L239" s="1085">
        <f>$F216*VARIABLES!K141</f>
        <v>0</v>
      </c>
      <c r="M239" s="1085">
        <f>$F216*VARIABLES!L141</f>
        <v>0</v>
      </c>
      <c r="N239" s="1090">
        <f>$F216*VARIABLES!M141</f>
        <v>0</v>
      </c>
      <c r="O239" s="1091">
        <f t="shared" si="161"/>
        <v>0</v>
      </c>
    </row>
    <row r="240" spans="1:15" hidden="1" x14ac:dyDescent="0.25">
      <c r="A240" s="1087" t="str">
        <f t="shared" si="162"/>
        <v>Promotor 5</v>
      </c>
      <c r="B240" s="1088"/>
      <c r="C240" s="1089">
        <f>$G216*VARIABLES!B141</f>
        <v>0</v>
      </c>
      <c r="D240" s="1085">
        <f>$G216*VARIABLES!C141</f>
        <v>0</v>
      </c>
      <c r="E240" s="1085">
        <f>$G216*VARIABLES!D141</f>
        <v>0</v>
      </c>
      <c r="F240" s="1085">
        <f>$G216*VARIABLES!E141</f>
        <v>0</v>
      </c>
      <c r="G240" s="1085">
        <f>$G216*VARIABLES!F141</f>
        <v>0</v>
      </c>
      <c r="H240" s="1085">
        <f>$G216*VARIABLES!G141</f>
        <v>0</v>
      </c>
      <c r="I240" s="1085">
        <f>$G216*VARIABLES!H141</f>
        <v>0</v>
      </c>
      <c r="J240" s="1085">
        <f>$G216*VARIABLES!I141</f>
        <v>0</v>
      </c>
      <c r="K240" s="1085">
        <f>$G216*VARIABLES!J141</f>
        <v>0</v>
      </c>
      <c r="L240" s="1085">
        <f>$G216*VARIABLES!K141</f>
        <v>0</v>
      </c>
      <c r="M240" s="1085">
        <f>$G216*VARIABLES!L141</f>
        <v>0</v>
      </c>
      <c r="N240" s="1090">
        <f>$G216*VARIABLES!M141</f>
        <v>0</v>
      </c>
      <c r="O240" s="1091">
        <f t="shared" si="161"/>
        <v>0</v>
      </c>
    </row>
    <row r="241" spans="1:15" hidden="1" x14ac:dyDescent="0.25">
      <c r="A241" s="1087" t="str">
        <f t="shared" si="162"/>
        <v>Promotor 6</v>
      </c>
      <c r="B241" s="1088"/>
      <c r="C241" s="1089">
        <f>$H216*VARIABLES!B141</f>
        <v>0</v>
      </c>
      <c r="D241" s="1085">
        <f>$H216*VARIABLES!C141</f>
        <v>0</v>
      </c>
      <c r="E241" s="1085">
        <f>$H216*VARIABLES!D141</f>
        <v>0</v>
      </c>
      <c r="F241" s="1085">
        <f>$H216*VARIABLES!E141</f>
        <v>0</v>
      </c>
      <c r="G241" s="1085">
        <f>$H216*VARIABLES!F141</f>
        <v>0</v>
      </c>
      <c r="H241" s="1085">
        <f>$H216*VARIABLES!G141</f>
        <v>0</v>
      </c>
      <c r="I241" s="1085">
        <f>$H216*VARIABLES!H141</f>
        <v>0</v>
      </c>
      <c r="J241" s="1085">
        <f>$H216*VARIABLES!I141</f>
        <v>0</v>
      </c>
      <c r="K241" s="1085">
        <f>$H216*VARIABLES!J141</f>
        <v>0</v>
      </c>
      <c r="L241" s="1085">
        <f>$H216*VARIABLES!K141</f>
        <v>0</v>
      </c>
      <c r="M241" s="1085">
        <f>$H216*VARIABLES!L141</f>
        <v>0</v>
      </c>
      <c r="N241" s="1090">
        <f>$H216*VARIABLES!M141</f>
        <v>0</v>
      </c>
      <c r="O241" s="1091">
        <f t="shared" si="161"/>
        <v>0</v>
      </c>
    </row>
    <row r="242" spans="1:15" hidden="1" x14ac:dyDescent="0.25">
      <c r="A242" s="1087" t="str">
        <f t="shared" si="162"/>
        <v>Promotor 7</v>
      </c>
      <c r="B242" s="1088"/>
      <c r="C242" s="1089">
        <f>$I216*VARIABLES!B141</f>
        <v>0</v>
      </c>
      <c r="D242" s="1085">
        <f>$I216*VARIABLES!C141</f>
        <v>0</v>
      </c>
      <c r="E242" s="1085">
        <f>$I216*VARIABLES!D141</f>
        <v>0</v>
      </c>
      <c r="F242" s="1085">
        <f>$I216*VARIABLES!E141</f>
        <v>0</v>
      </c>
      <c r="G242" s="1085">
        <f>$I216*VARIABLES!F141</f>
        <v>0</v>
      </c>
      <c r="H242" s="1085">
        <f>$I216*VARIABLES!G141</f>
        <v>0</v>
      </c>
      <c r="I242" s="1085">
        <f>$I216*VARIABLES!H141</f>
        <v>0</v>
      </c>
      <c r="J242" s="1085">
        <f>$I216*VARIABLES!I141</f>
        <v>0</v>
      </c>
      <c r="K242" s="1085">
        <f>$I216*VARIABLES!J141</f>
        <v>0</v>
      </c>
      <c r="L242" s="1085">
        <f>$I216*VARIABLES!K141</f>
        <v>0</v>
      </c>
      <c r="M242" s="1085">
        <f>$I216*VARIABLES!L141</f>
        <v>0</v>
      </c>
      <c r="N242" s="1090">
        <f>$I216*VARIABLES!M141</f>
        <v>0</v>
      </c>
      <c r="O242" s="1091">
        <f t="shared" si="161"/>
        <v>0</v>
      </c>
    </row>
    <row r="243" spans="1:15" hidden="1" x14ac:dyDescent="0.25">
      <c r="A243" s="1087" t="str">
        <f t="shared" si="162"/>
        <v>Promotor 8</v>
      </c>
      <c r="B243" s="1088"/>
      <c r="C243" s="1089">
        <f>$J216*VARIABLES!B141</f>
        <v>0</v>
      </c>
      <c r="D243" s="1085">
        <f>$J216*VARIABLES!C141</f>
        <v>0</v>
      </c>
      <c r="E243" s="1085">
        <f>$J216*VARIABLES!D141</f>
        <v>0</v>
      </c>
      <c r="F243" s="1085">
        <f>$J216*VARIABLES!E141</f>
        <v>0</v>
      </c>
      <c r="G243" s="1085">
        <f>$J216*VARIABLES!F141</f>
        <v>0</v>
      </c>
      <c r="H243" s="1085">
        <f>$J216*VARIABLES!G141</f>
        <v>0</v>
      </c>
      <c r="I243" s="1085">
        <f>$J216*VARIABLES!H141</f>
        <v>0</v>
      </c>
      <c r="J243" s="1085">
        <f>$J216*VARIABLES!I141</f>
        <v>0</v>
      </c>
      <c r="K243" s="1085">
        <f>$J216*VARIABLES!J141</f>
        <v>0</v>
      </c>
      <c r="L243" s="1085">
        <f>$J216*VARIABLES!K141</f>
        <v>0</v>
      </c>
      <c r="M243" s="1085">
        <f>$J216*VARIABLES!L141</f>
        <v>0</v>
      </c>
      <c r="N243" s="1090">
        <f>$J216*VARIABLES!M141</f>
        <v>0</v>
      </c>
      <c r="O243" s="1091">
        <f t="shared" si="161"/>
        <v>0</v>
      </c>
    </row>
    <row r="244" spans="1:15" hidden="1" x14ac:dyDescent="0.25">
      <c r="A244" s="1087" t="str">
        <f t="shared" si="162"/>
        <v>Promotor 9</v>
      </c>
      <c r="B244" s="1088"/>
      <c r="C244" s="1089">
        <f>$K216*VARIABLES!B141</f>
        <v>0</v>
      </c>
      <c r="D244" s="1085">
        <f>$K216*VARIABLES!C141</f>
        <v>0</v>
      </c>
      <c r="E244" s="1085">
        <f>$K216*VARIABLES!D141</f>
        <v>0</v>
      </c>
      <c r="F244" s="1085">
        <f>$K216*VARIABLES!E141</f>
        <v>0</v>
      </c>
      <c r="G244" s="1085">
        <f>$K216*VARIABLES!F141</f>
        <v>0</v>
      </c>
      <c r="H244" s="1085">
        <f>$K216*VARIABLES!G141</f>
        <v>0</v>
      </c>
      <c r="I244" s="1085">
        <f>$K216*VARIABLES!H141</f>
        <v>0</v>
      </c>
      <c r="J244" s="1085">
        <f>$K216*VARIABLES!I141</f>
        <v>0</v>
      </c>
      <c r="K244" s="1085">
        <f>$K216*VARIABLES!J141</f>
        <v>0</v>
      </c>
      <c r="L244" s="1085">
        <f>$K216*VARIABLES!K141</f>
        <v>0</v>
      </c>
      <c r="M244" s="1085">
        <f>$K216*VARIABLES!L141</f>
        <v>0</v>
      </c>
      <c r="N244" s="1090">
        <f>$K216*VARIABLES!M141</f>
        <v>0</v>
      </c>
      <c r="O244" s="1091">
        <f t="shared" si="161"/>
        <v>0</v>
      </c>
    </row>
    <row r="245" spans="1:15" hidden="1" x14ac:dyDescent="0.25">
      <c r="A245" s="1087" t="str">
        <f t="shared" si="162"/>
        <v>Promotor 10</v>
      </c>
      <c r="B245" s="1088"/>
      <c r="C245" s="1089">
        <f>$L216*VARIABLES!B141</f>
        <v>0</v>
      </c>
      <c r="D245" s="1085">
        <f>$L216*VARIABLES!C141</f>
        <v>0</v>
      </c>
      <c r="E245" s="1085">
        <f>$L216*VARIABLES!D141</f>
        <v>0</v>
      </c>
      <c r="F245" s="1085">
        <f>$L216*VARIABLES!E141</f>
        <v>0</v>
      </c>
      <c r="G245" s="1085">
        <f>$L216*VARIABLES!F141</f>
        <v>0</v>
      </c>
      <c r="H245" s="1085">
        <f>$L216*VARIABLES!G141</f>
        <v>0</v>
      </c>
      <c r="I245" s="1085">
        <f>$L216*VARIABLES!H141</f>
        <v>0</v>
      </c>
      <c r="J245" s="1085">
        <f>$L216*VARIABLES!I141</f>
        <v>0</v>
      </c>
      <c r="K245" s="1085">
        <f>$L216*VARIABLES!J141</f>
        <v>0</v>
      </c>
      <c r="L245" s="1085">
        <f>$L216*VARIABLES!K141</f>
        <v>0</v>
      </c>
      <c r="M245" s="1085">
        <f>$L216*VARIABLES!L141</f>
        <v>0</v>
      </c>
      <c r="N245" s="1090">
        <f>$L216*VARIABLES!M141</f>
        <v>0</v>
      </c>
      <c r="O245" s="1091">
        <f t="shared" si="161"/>
        <v>0</v>
      </c>
    </row>
    <row r="246" spans="1:15" ht="13" x14ac:dyDescent="0.3">
      <c r="A246" s="1883" t="s">
        <v>364</v>
      </c>
      <c r="B246" s="1883"/>
      <c r="C246" s="1072">
        <f>SUM(C247:C256)</f>
        <v>0</v>
      </c>
      <c r="D246" s="1072">
        <f t="shared" ref="D246:N246" si="163">SUM(D247:D256)</f>
        <v>0</v>
      </c>
      <c r="E246" s="1072">
        <f t="shared" si="163"/>
        <v>0</v>
      </c>
      <c r="F246" s="1072">
        <f t="shared" si="163"/>
        <v>0</v>
      </c>
      <c r="G246" s="1072">
        <f t="shared" si="163"/>
        <v>0</v>
      </c>
      <c r="H246" s="1072">
        <f t="shared" si="163"/>
        <v>0</v>
      </c>
      <c r="I246" s="1072">
        <f t="shared" si="163"/>
        <v>0</v>
      </c>
      <c r="J246" s="1072">
        <f t="shared" si="163"/>
        <v>0</v>
      </c>
      <c r="K246" s="1072">
        <f t="shared" si="163"/>
        <v>0</v>
      </c>
      <c r="L246" s="1072">
        <f t="shared" si="163"/>
        <v>0</v>
      </c>
      <c r="M246" s="1072">
        <f t="shared" si="163"/>
        <v>0</v>
      </c>
      <c r="N246" s="1072">
        <f t="shared" si="163"/>
        <v>0</v>
      </c>
      <c r="O246" s="1072">
        <f>SUM(C246:N246)</f>
        <v>0</v>
      </c>
    </row>
    <row r="247" spans="1:15" hidden="1" x14ac:dyDescent="0.25">
      <c r="A247" s="1094" t="str">
        <f>A225</f>
        <v>Promotor 1</v>
      </c>
      <c r="B247" s="1094"/>
      <c r="C247" s="1095">
        <f>IF(C$206=C$222,C$219,0)</f>
        <v>0</v>
      </c>
      <c r="D247" s="1095">
        <f t="shared" ref="D247:N247" si="164">IF(AND(C247=0,$C206=D222),$C219,0)+IF(C247=0,0,$C219)</f>
        <v>0</v>
      </c>
      <c r="E247" s="1095">
        <f t="shared" si="164"/>
        <v>0</v>
      </c>
      <c r="F247" s="1095">
        <f t="shared" si="164"/>
        <v>0</v>
      </c>
      <c r="G247" s="1095">
        <f t="shared" si="164"/>
        <v>0</v>
      </c>
      <c r="H247" s="1095">
        <f t="shared" si="164"/>
        <v>0</v>
      </c>
      <c r="I247" s="1095">
        <f t="shared" si="164"/>
        <v>0</v>
      </c>
      <c r="J247" s="1095">
        <f t="shared" si="164"/>
        <v>0</v>
      </c>
      <c r="K247" s="1095">
        <f t="shared" si="164"/>
        <v>0</v>
      </c>
      <c r="L247" s="1095">
        <f t="shared" si="164"/>
        <v>0</v>
      </c>
      <c r="M247" s="1095">
        <f t="shared" si="164"/>
        <v>0</v>
      </c>
      <c r="N247" s="1095">
        <f t="shared" si="164"/>
        <v>0</v>
      </c>
      <c r="O247" s="1095">
        <f t="shared" ref="O247:O256" si="165">SUM(C247:N247)</f>
        <v>0</v>
      </c>
    </row>
    <row r="248" spans="1:15" hidden="1" x14ac:dyDescent="0.25">
      <c r="A248" s="1094" t="str">
        <f t="shared" ref="A248:A256" si="166">A226</f>
        <v>Promotor 2</v>
      </c>
      <c r="B248" s="1094"/>
      <c r="C248" s="1095">
        <f>IF(D$206=C$222,D$219,0)</f>
        <v>0</v>
      </c>
      <c r="D248" s="1095">
        <f t="shared" ref="D248:N248" si="167">IF(AND(C248=0,$D206=D222),$D219,0)+IF(C248=0,0,$D219)</f>
        <v>0</v>
      </c>
      <c r="E248" s="1095">
        <f t="shared" si="167"/>
        <v>0</v>
      </c>
      <c r="F248" s="1095">
        <f t="shared" si="167"/>
        <v>0</v>
      </c>
      <c r="G248" s="1095">
        <f t="shared" si="167"/>
        <v>0</v>
      </c>
      <c r="H248" s="1095">
        <f t="shared" si="167"/>
        <v>0</v>
      </c>
      <c r="I248" s="1095">
        <f t="shared" si="167"/>
        <v>0</v>
      </c>
      <c r="J248" s="1095">
        <f t="shared" si="167"/>
        <v>0</v>
      </c>
      <c r="K248" s="1095">
        <f t="shared" si="167"/>
        <v>0</v>
      </c>
      <c r="L248" s="1095">
        <f t="shared" si="167"/>
        <v>0</v>
      </c>
      <c r="M248" s="1095">
        <f t="shared" si="167"/>
        <v>0</v>
      </c>
      <c r="N248" s="1095">
        <f t="shared" si="167"/>
        <v>0</v>
      </c>
      <c r="O248" s="1095">
        <f t="shared" si="165"/>
        <v>0</v>
      </c>
    </row>
    <row r="249" spans="1:15" hidden="1" x14ac:dyDescent="0.25">
      <c r="A249" s="1094" t="str">
        <f t="shared" si="166"/>
        <v>Promotor 3</v>
      </c>
      <c r="B249" s="1094"/>
      <c r="C249" s="1095">
        <f>IF(E$206=C$222,E$219,0)</f>
        <v>0</v>
      </c>
      <c r="D249" s="1095">
        <f t="shared" ref="D249:N249" si="168">IF(AND(C249=0,$E206=D222),$E219,0)+IF(C249=0,0,$E219)</f>
        <v>0</v>
      </c>
      <c r="E249" s="1095">
        <f t="shared" si="168"/>
        <v>0</v>
      </c>
      <c r="F249" s="1095">
        <f t="shared" si="168"/>
        <v>0</v>
      </c>
      <c r="G249" s="1095">
        <f t="shared" si="168"/>
        <v>0</v>
      </c>
      <c r="H249" s="1095">
        <f t="shared" si="168"/>
        <v>0</v>
      </c>
      <c r="I249" s="1095">
        <f t="shared" si="168"/>
        <v>0</v>
      </c>
      <c r="J249" s="1095">
        <f t="shared" si="168"/>
        <v>0</v>
      </c>
      <c r="K249" s="1095">
        <f t="shared" si="168"/>
        <v>0</v>
      </c>
      <c r="L249" s="1095">
        <f t="shared" si="168"/>
        <v>0</v>
      </c>
      <c r="M249" s="1095">
        <f t="shared" si="168"/>
        <v>0</v>
      </c>
      <c r="N249" s="1095">
        <f t="shared" si="168"/>
        <v>0</v>
      </c>
      <c r="O249" s="1095">
        <f t="shared" si="165"/>
        <v>0</v>
      </c>
    </row>
    <row r="250" spans="1:15" hidden="1" x14ac:dyDescent="0.25">
      <c r="A250" s="1094" t="str">
        <f t="shared" si="166"/>
        <v>Promotor 4</v>
      </c>
      <c r="B250" s="1094"/>
      <c r="C250" s="1095">
        <f>IF(F$206=C$222,F$219,0)</f>
        <v>0</v>
      </c>
      <c r="D250" s="1095">
        <f t="shared" ref="D250:N250" si="169">IF(AND(C250=0,$F206=D222),$F219,0)+IF(C250=0,0,$F219)</f>
        <v>0</v>
      </c>
      <c r="E250" s="1095">
        <f t="shared" si="169"/>
        <v>0</v>
      </c>
      <c r="F250" s="1095">
        <f t="shared" si="169"/>
        <v>0</v>
      </c>
      <c r="G250" s="1095">
        <f t="shared" si="169"/>
        <v>0</v>
      </c>
      <c r="H250" s="1095">
        <f t="shared" si="169"/>
        <v>0</v>
      </c>
      <c r="I250" s="1095">
        <f t="shared" si="169"/>
        <v>0</v>
      </c>
      <c r="J250" s="1095">
        <f t="shared" si="169"/>
        <v>0</v>
      </c>
      <c r="K250" s="1095">
        <f t="shared" si="169"/>
        <v>0</v>
      </c>
      <c r="L250" s="1095">
        <f t="shared" si="169"/>
        <v>0</v>
      </c>
      <c r="M250" s="1095">
        <f t="shared" si="169"/>
        <v>0</v>
      </c>
      <c r="N250" s="1095">
        <f t="shared" si="169"/>
        <v>0</v>
      </c>
      <c r="O250" s="1095">
        <f t="shared" si="165"/>
        <v>0</v>
      </c>
    </row>
    <row r="251" spans="1:15" hidden="1" x14ac:dyDescent="0.25">
      <c r="A251" s="1094" t="str">
        <f t="shared" si="166"/>
        <v>Promotor 5</v>
      </c>
      <c r="B251" s="1094"/>
      <c r="C251" s="1095">
        <f>IF(G$206=C$222,G$219,0)</f>
        <v>0</v>
      </c>
      <c r="D251" s="1095">
        <f t="shared" ref="D251:N251" si="170">IF(AND(C251=0,$G206=D222),$G219,0)+IF(C251=0,0,$G219)</f>
        <v>0</v>
      </c>
      <c r="E251" s="1095">
        <f t="shared" si="170"/>
        <v>0</v>
      </c>
      <c r="F251" s="1095">
        <f t="shared" si="170"/>
        <v>0</v>
      </c>
      <c r="G251" s="1095">
        <f t="shared" si="170"/>
        <v>0</v>
      </c>
      <c r="H251" s="1095">
        <f t="shared" si="170"/>
        <v>0</v>
      </c>
      <c r="I251" s="1095">
        <f t="shared" si="170"/>
        <v>0</v>
      </c>
      <c r="J251" s="1095">
        <f t="shared" si="170"/>
        <v>0</v>
      </c>
      <c r="K251" s="1095">
        <f t="shared" si="170"/>
        <v>0</v>
      </c>
      <c r="L251" s="1095">
        <f t="shared" si="170"/>
        <v>0</v>
      </c>
      <c r="M251" s="1095">
        <f t="shared" si="170"/>
        <v>0</v>
      </c>
      <c r="N251" s="1095">
        <f t="shared" si="170"/>
        <v>0</v>
      </c>
      <c r="O251" s="1095">
        <f t="shared" si="165"/>
        <v>0</v>
      </c>
    </row>
    <row r="252" spans="1:15" hidden="1" x14ac:dyDescent="0.25">
      <c r="A252" s="1094" t="str">
        <f t="shared" si="166"/>
        <v>Promotor 6</v>
      </c>
      <c r="B252" s="1094"/>
      <c r="C252" s="1095">
        <f>IF(H$206=C$222,H$219,0)</f>
        <v>0</v>
      </c>
      <c r="D252" s="1095">
        <f t="shared" ref="D252:N252" si="171">IF(AND(C252=0,$H206=D222),$H219,0)+IF(C252=0,0,$H219)</f>
        <v>0</v>
      </c>
      <c r="E252" s="1095">
        <f t="shared" si="171"/>
        <v>0</v>
      </c>
      <c r="F252" s="1095">
        <f t="shared" si="171"/>
        <v>0</v>
      </c>
      <c r="G252" s="1095">
        <f t="shared" si="171"/>
        <v>0</v>
      </c>
      <c r="H252" s="1095">
        <f t="shared" si="171"/>
        <v>0</v>
      </c>
      <c r="I252" s="1095">
        <f t="shared" si="171"/>
        <v>0</v>
      </c>
      <c r="J252" s="1095">
        <f t="shared" si="171"/>
        <v>0</v>
      </c>
      <c r="K252" s="1095">
        <f t="shared" si="171"/>
        <v>0</v>
      </c>
      <c r="L252" s="1095">
        <f t="shared" si="171"/>
        <v>0</v>
      </c>
      <c r="M252" s="1095">
        <f t="shared" si="171"/>
        <v>0</v>
      </c>
      <c r="N252" s="1095">
        <f t="shared" si="171"/>
        <v>0</v>
      </c>
      <c r="O252" s="1095">
        <f t="shared" si="165"/>
        <v>0</v>
      </c>
    </row>
    <row r="253" spans="1:15" hidden="1" x14ac:dyDescent="0.25">
      <c r="A253" s="1094" t="str">
        <f t="shared" si="166"/>
        <v>Promotor 7</v>
      </c>
      <c r="B253" s="1094"/>
      <c r="C253" s="1095">
        <f>IF(I$206=C$222,I$219,0)</f>
        <v>0</v>
      </c>
      <c r="D253" s="1095">
        <f t="shared" ref="D253:N253" si="172">IF(AND(C253=0,$I206=D222),$I219,0)+IF(C253=0,0,$I219)</f>
        <v>0</v>
      </c>
      <c r="E253" s="1095">
        <f t="shared" si="172"/>
        <v>0</v>
      </c>
      <c r="F253" s="1095">
        <f t="shared" si="172"/>
        <v>0</v>
      </c>
      <c r="G253" s="1095">
        <f t="shared" si="172"/>
        <v>0</v>
      </c>
      <c r="H253" s="1095">
        <f t="shared" si="172"/>
        <v>0</v>
      </c>
      <c r="I253" s="1095">
        <f t="shared" si="172"/>
        <v>0</v>
      </c>
      <c r="J253" s="1095">
        <f t="shared" si="172"/>
        <v>0</v>
      </c>
      <c r="K253" s="1095">
        <f t="shared" si="172"/>
        <v>0</v>
      </c>
      <c r="L253" s="1095">
        <f t="shared" si="172"/>
        <v>0</v>
      </c>
      <c r="M253" s="1095">
        <f t="shared" si="172"/>
        <v>0</v>
      </c>
      <c r="N253" s="1095">
        <f t="shared" si="172"/>
        <v>0</v>
      </c>
      <c r="O253" s="1095">
        <f t="shared" si="165"/>
        <v>0</v>
      </c>
    </row>
    <row r="254" spans="1:15" hidden="1" x14ac:dyDescent="0.25">
      <c r="A254" s="1094" t="str">
        <f t="shared" si="166"/>
        <v>Promotor 8</v>
      </c>
      <c r="B254" s="1094"/>
      <c r="C254" s="1095">
        <f>IF(J$206=C$222,J$219,0)</f>
        <v>0</v>
      </c>
      <c r="D254" s="1095">
        <f t="shared" ref="D254:N254" si="173">IF(AND(C254=0,$J206=D222),$J219,0)+IF(C254=0,0,$J219)</f>
        <v>0</v>
      </c>
      <c r="E254" s="1095">
        <f t="shared" si="173"/>
        <v>0</v>
      </c>
      <c r="F254" s="1095">
        <f t="shared" si="173"/>
        <v>0</v>
      </c>
      <c r="G254" s="1095">
        <f t="shared" si="173"/>
        <v>0</v>
      </c>
      <c r="H254" s="1095">
        <f t="shared" si="173"/>
        <v>0</v>
      </c>
      <c r="I254" s="1095">
        <f t="shared" si="173"/>
        <v>0</v>
      </c>
      <c r="J254" s="1095">
        <f t="shared" si="173"/>
        <v>0</v>
      </c>
      <c r="K254" s="1095">
        <f t="shared" si="173"/>
        <v>0</v>
      </c>
      <c r="L254" s="1095">
        <f t="shared" si="173"/>
        <v>0</v>
      </c>
      <c r="M254" s="1095">
        <f t="shared" si="173"/>
        <v>0</v>
      </c>
      <c r="N254" s="1095">
        <f t="shared" si="173"/>
        <v>0</v>
      </c>
      <c r="O254" s="1095">
        <f t="shared" si="165"/>
        <v>0</v>
      </c>
    </row>
    <row r="255" spans="1:15" hidden="1" x14ac:dyDescent="0.25">
      <c r="A255" s="1094" t="str">
        <f t="shared" si="166"/>
        <v>Promotor 9</v>
      </c>
      <c r="B255" s="1094"/>
      <c r="C255" s="1095">
        <f>IF(K$206=C$222,K$219,0)</f>
        <v>0</v>
      </c>
      <c r="D255" s="1095">
        <f t="shared" ref="D255:N255" si="174">IF(AND(C255=0,$K206=D222),$K219,0)+IF(C255=0,0,$K219)</f>
        <v>0</v>
      </c>
      <c r="E255" s="1095">
        <f t="shared" si="174"/>
        <v>0</v>
      </c>
      <c r="F255" s="1095">
        <f t="shared" si="174"/>
        <v>0</v>
      </c>
      <c r="G255" s="1095">
        <f t="shared" si="174"/>
        <v>0</v>
      </c>
      <c r="H255" s="1095">
        <f t="shared" si="174"/>
        <v>0</v>
      </c>
      <c r="I255" s="1095">
        <f t="shared" si="174"/>
        <v>0</v>
      </c>
      <c r="J255" s="1095">
        <f t="shared" si="174"/>
        <v>0</v>
      </c>
      <c r="K255" s="1095">
        <f t="shared" si="174"/>
        <v>0</v>
      </c>
      <c r="L255" s="1095">
        <f t="shared" si="174"/>
        <v>0</v>
      </c>
      <c r="M255" s="1095">
        <f t="shared" si="174"/>
        <v>0</v>
      </c>
      <c r="N255" s="1095">
        <f t="shared" si="174"/>
        <v>0</v>
      </c>
      <c r="O255" s="1095">
        <f t="shared" si="165"/>
        <v>0</v>
      </c>
    </row>
    <row r="256" spans="1:15" hidden="1" x14ac:dyDescent="0.25">
      <c r="A256" s="1094" t="str">
        <f t="shared" si="166"/>
        <v>Promotor 10</v>
      </c>
      <c r="B256" s="1094"/>
      <c r="C256" s="1095">
        <f>IF(L$206=C$222,L$219,0)</f>
        <v>0</v>
      </c>
      <c r="D256" s="1095">
        <f t="shared" ref="D256:N256" si="175">IF(AND(C256=0,$L206=D222),$L219,0)+IF(C256=0,0,$L219)</f>
        <v>0</v>
      </c>
      <c r="E256" s="1095">
        <f t="shared" si="175"/>
        <v>0</v>
      </c>
      <c r="F256" s="1095">
        <f t="shared" si="175"/>
        <v>0</v>
      </c>
      <c r="G256" s="1095">
        <f t="shared" si="175"/>
        <v>0</v>
      </c>
      <c r="H256" s="1095">
        <f t="shared" si="175"/>
        <v>0</v>
      </c>
      <c r="I256" s="1095">
        <f t="shared" si="175"/>
        <v>0</v>
      </c>
      <c r="J256" s="1095">
        <f t="shared" si="175"/>
        <v>0</v>
      </c>
      <c r="K256" s="1095">
        <f t="shared" si="175"/>
        <v>0</v>
      </c>
      <c r="L256" s="1095">
        <f t="shared" si="175"/>
        <v>0</v>
      </c>
      <c r="M256" s="1095">
        <f t="shared" si="175"/>
        <v>0</v>
      </c>
      <c r="N256" s="1095">
        <f t="shared" si="175"/>
        <v>0</v>
      </c>
      <c r="O256" s="1095">
        <f t="shared" si="165"/>
        <v>0</v>
      </c>
    </row>
    <row r="257" spans="1:15" ht="13" x14ac:dyDescent="0.3">
      <c r="A257" s="1781" t="s">
        <v>365</v>
      </c>
      <c r="B257" s="1781"/>
      <c r="C257" s="1096">
        <f t="shared" ref="C257:O257" si="176">C246+C223</f>
        <v>0</v>
      </c>
      <c r="D257" s="1096">
        <f t="shared" si="176"/>
        <v>0</v>
      </c>
      <c r="E257" s="1096">
        <f t="shared" si="176"/>
        <v>0</v>
      </c>
      <c r="F257" s="1096">
        <f t="shared" si="176"/>
        <v>0</v>
      </c>
      <c r="G257" s="1096">
        <f t="shared" si="176"/>
        <v>0</v>
      </c>
      <c r="H257" s="1096">
        <f t="shared" si="176"/>
        <v>0</v>
      </c>
      <c r="I257" s="1096">
        <f t="shared" si="176"/>
        <v>0</v>
      </c>
      <c r="J257" s="1096">
        <f t="shared" si="176"/>
        <v>0</v>
      </c>
      <c r="K257" s="1096">
        <f t="shared" si="176"/>
        <v>0</v>
      </c>
      <c r="L257" s="1096">
        <f t="shared" si="176"/>
        <v>0</v>
      </c>
      <c r="M257" s="1096">
        <f t="shared" si="176"/>
        <v>0</v>
      </c>
      <c r="N257" s="1096">
        <f t="shared" si="176"/>
        <v>0</v>
      </c>
      <c r="O257" s="1096">
        <f t="shared" si="176"/>
        <v>0</v>
      </c>
    </row>
    <row r="258" spans="1:15" ht="13" x14ac:dyDescent="0.3">
      <c r="A258" s="1883" t="s">
        <v>163</v>
      </c>
      <c r="B258" s="1883"/>
      <c r="C258" s="1072">
        <f t="shared" ref="C258:N258" si="177">SUM(C259:C268)</f>
        <v>0</v>
      </c>
      <c r="D258" s="1072">
        <f t="shared" si="177"/>
        <v>0</v>
      </c>
      <c r="E258" s="1072">
        <f t="shared" si="177"/>
        <v>0</v>
      </c>
      <c r="F258" s="1072">
        <f t="shared" si="177"/>
        <v>0</v>
      </c>
      <c r="G258" s="1072">
        <f t="shared" si="177"/>
        <v>0</v>
      </c>
      <c r="H258" s="1072">
        <f t="shared" si="177"/>
        <v>0</v>
      </c>
      <c r="I258" s="1072">
        <f t="shared" si="177"/>
        <v>0</v>
      </c>
      <c r="J258" s="1072">
        <f t="shared" si="177"/>
        <v>0</v>
      </c>
      <c r="K258" s="1072">
        <f t="shared" si="177"/>
        <v>0</v>
      </c>
      <c r="L258" s="1072">
        <f t="shared" si="177"/>
        <v>0</v>
      </c>
      <c r="M258" s="1072">
        <f t="shared" si="177"/>
        <v>0</v>
      </c>
      <c r="N258" s="1072">
        <f t="shared" si="177"/>
        <v>0</v>
      </c>
      <c r="O258" s="1072">
        <f>SUM(C258:N258)</f>
        <v>0</v>
      </c>
    </row>
    <row r="259" spans="1:15" hidden="1" x14ac:dyDescent="0.25">
      <c r="A259" s="1094" t="str">
        <f>A225</f>
        <v>Promotor 1</v>
      </c>
      <c r="B259" s="1094"/>
      <c r="C259" s="1095">
        <f>IF(C225=0,0,C225*$C220)</f>
        <v>0</v>
      </c>
      <c r="D259" s="1095">
        <f t="shared" ref="D259:N259" si="178">IF(D225=0,0,D225*$C220)</f>
        <v>0</v>
      </c>
      <c r="E259" s="1095">
        <f t="shared" si="178"/>
        <v>0</v>
      </c>
      <c r="F259" s="1095">
        <f t="shared" si="178"/>
        <v>0</v>
      </c>
      <c r="G259" s="1095">
        <f t="shared" si="178"/>
        <v>0</v>
      </c>
      <c r="H259" s="1095">
        <f t="shared" si="178"/>
        <v>0</v>
      </c>
      <c r="I259" s="1095">
        <f t="shared" si="178"/>
        <v>0</v>
      </c>
      <c r="J259" s="1095">
        <f t="shared" si="178"/>
        <v>0</v>
      </c>
      <c r="K259" s="1095">
        <f t="shared" si="178"/>
        <v>0</v>
      </c>
      <c r="L259" s="1095">
        <f t="shared" si="178"/>
        <v>0</v>
      </c>
      <c r="M259" s="1095">
        <f t="shared" si="178"/>
        <v>0</v>
      </c>
      <c r="N259" s="1095">
        <f t="shared" si="178"/>
        <v>0</v>
      </c>
      <c r="O259" s="1095">
        <f t="shared" ref="O259:O268" si="179">SUM(C259:N259)</f>
        <v>0</v>
      </c>
    </row>
    <row r="260" spans="1:15" hidden="1" x14ac:dyDescent="0.25">
      <c r="A260" s="1094" t="str">
        <f t="shared" ref="A260:A268" si="180">A226</f>
        <v>Promotor 2</v>
      </c>
      <c r="B260" s="1094"/>
      <c r="C260" s="1095">
        <f>IF(C226=0,0,C226*$D220)</f>
        <v>0</v>
      </c>
      <c r="D260" s="1095">
        <f t="shared" ref="D260:N260" si="181">IF(D226=0,0,D226*$D220)</f>
        <v>0</v>
      </c>
      <c r="E260" s="1095">
        <f t="shared" si="181"/>
        <v>0</v>
      </c>
      <c r="F260" s="1095">
        <f t="shared" si="181"/>
        <v>0</v>
      </c>
      <c r="G260" s="1095">
        <f t="shared" si="181"/>
        <v>0</v>
      </c>
      <c r="H260" s="1095">
        <f t="shared" si="181"/>
        <v>0</v>
      </c>
      <c r="I260" s="1095">
        <f t="shared" si="181"/>
        <v>0</v>
      </c>
      <c r="J260" s="1095">
        <f t="shared" si="181"/>
        <v>0</v>
      </c>
      <c r="K260" s="1095">
        <f t="shared" si="181"/>
        <v>0</v>
      </c>
      <c r="L260" s="1095">
        <f t="shared" si="181"/>
        <v>0</v>
      </c>
      <c r="M260" s="1095">
        <f t="shared" si="181"/>
        <v>0</v>
      </c>
      <c r="N260" s="1095">
        <f t="shared" si="181"/>
        <v>0</v>
      </c>
      <c r="O260" s="1095">
        <f t="shared" si="179"/>
        <v>0</v>
      </c>
    </row>
    <row r="261" spans="1:15" hidden="1" x14ac:dyDescent="0.25">
      <c r="A261" s="1094" t="str">
        <f t="shared" si="180"/>
        <v>Promotor 3</v>
      </c>
      <c r="B261" s="1094"/>
      <c r="C261" s="1095">
        <f>IF(C227=0,0,C227*$E220)</f>
        <v>0</v>
      </c>
      <c r="D261" s="1095">
        <f t="shared" ref="D261:N261" si="182">IF(D227=0,0,D227*$E220)</f>
        <v>0</v>
      </c>
      <c r="E261" s="1095">
        <f t="shared" si="182"/>
        <v>0</v>
      </c>
      <c r="F261" s="1095">
        <f t="shared" si="182"/>
        <v>0</v>
      </c>
      <c r="G261" s="1095">
        <f t="shared" si="182"/>
        <v>0</v>
      </c>
      <c r="H261" s="1095">
        <f t="shared" si="182"/>
        <v>0</v>
      </c>
      <c r="I261" s="1095">
        <f t="shared" si="182"/>
        <v>0</v>
      </c>
      <c r="J261" s="1095">
        <f t="shared" si="182"/>
        <v>0</v>
      </c>
      <c r="K261" s="1095">
        <f t="shared" si="182"/>
        <v>0</v>
      </c>
      <c r="L261" s="1095">
        <f t="shared" si="182"/>
        <v>0</v>
      </c>
      <c r="M261" s="1095">
        <f t="shared" si="182"/>
        <v>0</v>
      </c>
      <c r="N261" s="1095">
        <f t="shared" si="182"/>
        <v>0</v>
      </c>
      <c r="O261" s="1095">
        <f t="shared" si="179"/>
        <v>0</v>
      </c>
    </row>
    <row r="262" spans="1:15" hidden="1" x14ac:dyDescent="0.25">
      <c r="A262" s="1094" t="str">
        <f t="shared" si="180"/>
        <v>Promotor 4</v>
      </c>
      <c r="B262" s="1094"/>
      <c r="C262" s="1095">
        <f>IF(C228=0,0,C228*$F220)</f>
        <v>0</v>
      </c>
      <c r="D262" s="1095">
        <f t="shared" ref="D262:N262" si="183">IF(D228=0,0,D228*$F220)</f>
        <v>0</v>
      </c>
      <c r="E262" s="1095">
        <f t="shared" si="183"/>
        <v>0</v>
      </c>
      <c r="F262" s="1095">
        <f t="shared" si="183"/>
        <v>0</v>
      </c>
      <c r="G262" s="1095">
        <f t="shared" si="183"/>
        <v>0</v>
      </c>
      <c r="H262" s="1095">
        <f t="shared" si="183"/>
        <v>0</v>
      </c>
      <c r="I262" s="1095">
        <f t="shared" si="183"/>
        <v>0</v>
      </c>
      <c r="J262" s="1095">
        <f t="shared" si="183"/>
        <v>0</v>
      </c>
      <c r="K262" s="1095">
        <f t="shared" si="183"/>
        <v>0</v>
      </c>
      <c r="L262" s="1095">
        <f t="shared" si="183"/>
        <v>0</v>
      </c>
      <c r="M262" s="1095">
        <f t="shared" si="183"/>
        <v>0</v>
      </c>
      <c r="N262" s="1095">
        <f t="shared" si="183"/>
        <v>0</v>
      </c>
      <c r="O262" s="1095">
        <f t="shared" si="179"/>
        <v>0</v>
      </c>
    </row>
    <row r="263" spans="1:15" hidden="1" x14ac:dyDescent="0.25">
      <c r="A263" s="1094" t="str">
        <f t="shared" si="180"/>
        <v>Promotor 5</v>
      </c>
      <c r="B263" s="1094"/>
      <c r="C263" s="1095">
        <f>IF(C229=0,0,C229*$G220)</f>
        <v>0</v>
      </c>
      <c r="D263" s="1095">
        <f t="shared" ref="D263:N263" si="184">IF(D229=0,0,D229*$G220)</f>
        <v>0</v>
      </c>
      <c r="E263" s="1095">
        <f t="shared" si="184"/>
        <v>0</v>
      </c>
      <c r="F263" s="1095">
        <f t="shared" si="184"/>
        <v>0</v>
      </c>
      <c r="G263" s="1095">
        <f t="shared" si="184"/>
        <v>0</v>
      </c>
      <c r="H263" s="1095">
        <f t="shared" si="184"/>
        <v>0</v>
      </c>
      <c r="I263" s="1095">
        <f t="shared" si="184"/>
        <v>0</v>
      </c>
      <c r="J263" s="1095">
        <f t="shared" si="184"/>
        <v>0</v>
      </c>
      <c r="K263" s="1095">
        <f t="shared" si="184"/>
        <v>0</v>
      </c>
      <c r="L263" s="1095">
        <f t="shared" si="184"/>
        <v>0</v>
      </c>
      <c r="M263" s="1095">
        <f t="shared" si="184"/>
        <v>0</v>
      </c>
      <c r="N263" s="1095">
        <f t="shared" si="184"/>
        <v>0</v>
      </c>
      <c r="O263" s="1095">
        <f t="shared" si="179"/>
        <v>0</v>
      </c>
    </row>
    <row r="264" spans="1:15" hidden="1" x14ac:dyDescent="0.25">
      <c r="A264" s="1094" t="str">
        <f t="shared" si="180"/>
        <v>Promotor 6</v>
      </c>
      <c r="B264" s="1094"/>
      <c r="C264" s="1095">
        <f>IF(C230=0,0,C230*$H220)</f>
        <v>0</v>
      </c>
      <c r="D264" s="1095">
        <f t="shared" ref="D264:N264" si="185">IF(D230=0,0,D230*$H220)</f>
        <v>0</v>
      </c>
      <c r="E264" s="1095">
        <f t="shared" si="185"/>
        <v>0</v>
      </c>
      <c r="F264" s="1095">
        <f t="shared" si="185"/>
        <v>0</v>
      </c>
      <c r="G264" s="1095">
        <f t="shared" si="185"/>
        <v>0</v>
      </c>
      <c r="H264" s="1095">
        <f t="shared" si="185"/>
        <v>0</v>
      </c>
      <c r="I264" s="1095">
        <f t="shared" si="185"/>
        <v>0</v>
      </c>
      <c r="J264" s="1095">
        <f t="shared" si="185"/>
        <v>0</v>
      </c>
      <c r="K264" s="1095">
        <f t="shared" si="185"/>
        <v>0</v>
      </c>
      <c r="L264" s="1095">
        <f t="shared" si="185"/>
        <v>0</v>
      </c>
      <c r="M264" s="1095">
        <f t="shared" si="185"/>
        <v>0</v>
      </c>
      <c r="N264" s="1095">
        <f t="shared" si="185"/>
        <v>0</v>
      </c>
      <c r="O264" s="1095">
        <f t="shared" si="179"/>
        <v>0</v>
      </c>
    </row>
    <row r="265" spans="1:15" hidden="1" x14ac:dyDescent="0.25">
      <c r="A265" s="1094" t="str">
        <f t="shared" si="180"/>
        <v>Promotor 7</v>
      </c>
      <c r="B265" s="1094"/>
      <c r="C265" s="1095">
        <f>IF(C231=0,0,C231*$I220)</f>
        <v>0</v>
      </c>
      <c r="D265" s="1095">
        <f t="shared" ref="D265:N265" si="186">IF(D231=0,0,D231*$I220)</f>
        <v>0</v>
      </c>
      <c r="E265" s="1095">
        <f t="shared" si="186"/>
        <v>0</v>
      </c>
      <c r="F265" s="1095">
        <f t="shared" si="186"/>
        <v>0</v>
      </c>
      <c r="G265" s="1095">
        <f t="shared" si="186"/>
        <v>0</v>
      </c>
      <c r="H265" s="1095">
        <f t="shared" si="186"/>
        <v>0</v>
      </c>
      <c r="I265" s="1095">
        <f t="shared" si="186"/>
        <v>0</v>
      </c>
      <c r="J265" s="1095">
        <f t="shared" si="186"/>
        <v>0</v>
      </c>
      <c r="K265" s="1095">
        <f t="shared" si="186"/>
        <v>0</v>
      </c>
      <c r="L265" s="1095">
        <f t="shared" si="186"/>
        <v>0</v>
      </c>
      <c r="M265" s="1095">
        <f t="shared" si="186"/>
        <v>0</v>
      </c>
      <c r="N265" s="1095">
        <f t="shared" si="186"/>
        <v>0</v>
      </c>
      <c r="O265" s="1095">
        <f t="shared" si="179"/>
        <v>0</v>
      </c>
    </row>
    <row r="266" spans="1:15" hidden="1" x14ac:dyDescent="0.25">
      <c r="A266" s="1094" t="str">
        <f t="shared" si="180"/>
        <v>Promotor 8</v>
      </c>
      <c r="B266" s="1094"/>
      <c r="C266" s="1095">
        <f>IF(C232=0,0,C232*$J220)</f>
        <v>0</v>
      </c>
      <c r="D266" s="1095">
        <f t="shared" ref="D266:N266" si="187">IF(D232=0,0,D232*$J220)</f>
        <v>0</v>
      </c>
      <c r="E266" s="1095">
        <f t="shared" si="187"/>
        <v>0</v>
      </c>
      <c r="F266" s="1095">
        <f t="shared" si="187"/>
        <v>0</v>
      </c>
      <c r="G266" s="1095">
        <f t="shared" si="187"/>
        <v>0</v>
      </c>
      <c r="H266" s="1095">
        <f t="shared" si="187"/>
        <v>0</v>
      </c>
      <c r="I266" s="1095">
        <f t="shared" si="187"/>
        <v>0</v>
      </c>
      <c r="J266" s="1095">
        <f t="shared" si="187"/>
        <v>0</v>
      </c>
      <c r="K266" s="1095">
        <f t="shared" si="187"/>
        <v>0</v>
      </c>
      <c r="L266" s="1095">
        <f t="shared" si="187"/>
        <v>0</v>
      </c>
      <c r="M266" s="1095">
        <f t="shared" si="187"/>
        <v>0</v>
      </c>
      <c r="N266" s="1095">
        <f t="shared" si="187"/>
        <v>0</v>
      </c>
      <c r="O266" s="1095">
        <f t="shared" si="179"/>
        <v>0</v>
      </c>
    </row>
    <row r="267" spans="1:15" hidden="1" x14ac:dyDescent="0.25">
      <c r="A267" s="1094" t="str">
        <f t="shared" si="180"/>
        <v>Promotor 9</v>
      </c>
      <c r="B267" s="1094"/>
      <c r="C267" s="1095">
        <f>IF(C233=0,0,C233*$K220)</f>
        <v>0</v>
      </c>
      <c r="D267" s="1095">
        <f t="shared" ref="D267:N267" si="188">IF(D233=0,0,D233*$K220)</f>
        <v>0</v>
      </c>
      <c r="E267" s="1095">
        <f t="shared" si="188"/>
        <v>0</v>
      </c>
      <c r="F267" s="1095">
        <f t="shared" si="188"/>
        <v>0</v>
      </c>
      <c r="G267" s="1095">
        <f t="shared" si="188"/>
        <v>0</v>
      </c>
      <c r="H267" s="1095">
        <f t="shared" si="188"/>
        <v>0</v>
      </c>
      <c r="I267" s="1095">
        <f t="shared" si="188"/>
        <v>0</v>
      </c>
      <c r="J267" s="1095">
        <f t="shared" si="188"/>
        <v>0</v>
      </c>
      <c r="K267" s="1095">
        <f t="shared" si="188"/>
        <v>0</v>
      </c>
      <c r="L267" s="1095">
        <f t="shared" si="188"/>
        <v>0</v>
      </c>
      <c r="M267" s="1095">
        <f t="shared" si="188"/>
        <v>0</v>
      </c>
      <c r="N267" s="1095">
        <f t="shared" si="188"/>
        <v>0</v>
      </c>
      <c r="O267" s="1095">
        <f t="shared" si="179"/>
        <v>0</v>
      </c>
    </row>
    <row r="268" spans="1:15" ht="12" customHeight="1" x14ac:dyDescent="0.25">
      <c r="A268" s="1094" t="str">
        <f t="shared" si="180"/>
        <v>Promotor 10</v>
      </c>
      <c r="B268" s="1094"/>
      <c r="C268" s="1095">
        <f>IF(C234=0,0,C234*$L220)</f>
        <v>0</v>
      </c>
      <c r="D268" s="1095">
        <f t="shared" ref="D268:N268" si="189">IF(D234=0,0,D234*$L220)</f>
        <v>0</v>
      </c>
      <c r="E268" s="1095">
        <f t="shared" si="189"/>
        <v>0</v>
      </c>
      <c r="F268" s="1095">
        <f t="shared" si="189"/>
        <v>0</v>
      </c>
      <c r="G268" s="1095">
        <f t="shared" si="189"/>
        <v>0</v>
      </c>
      <c r="H268" s="1095">
        <f t="shared" si="189"/>
        <v>0</v>
      </c>
      <c r="I268" s="1095">
        <f t="shared" si="189"/>
        <v>0</v>
      </c>
      <c r="J268" s="1095">
        <f t="shared" si="189"/>
        <v>0</v>
      </c>
      <c r="K268" s="1095">
        <f t="shared" si="189"/>
        <v>0</v>
      </c>
      <c r="L268" s="1095">
        <f t="shared" si="189"/>
        <v>0</v>
      </c>
      <c r="M268" s="1095">
        <f t="shared" si="189"/>
        <v>0</v>
      </c>
      <c r="N268" s="1095">
        <f t="shared" si="189"/>
        <v>0</v>
      </c>
      <c r="O268" s="1095">
        <f t="shared" si="179"/>
        <v>0</v>
      </c>
    </row>
    <row r="269" spans="1:15" ht="13" x14ac:dyDescent="0.3">
      <c r="A269" s="1884" t="s">
        <v>366</v>
      </c>
      <c r="B269" s="1884"/>
      <c r="C269" s="1097">
        <f>SUM(C270:C279)+C235</f>
        <v>0</v>
      </c>
      <c r="D269" s="1097">
        <f t="shared" ref="D269:N269" si="190">SUM(D270:D279)+D235</f>
        <v>0</v>
      </c>
      <c r="E269" s="1097">
        <f t="shared" si="190"/>
        <v>0</v>
      </c>
      <c r="F269" s="1097">
        <f t="shared" si="190"/>
        <v>0</v>
      </c>
      <c r="G269" s="1097">
        <f t="shared" si="190"/>
        <v>0</v>
      </c>
      <c r="H269" s="1097">
        <f t="shared" si="190"/>
        <v>0</v>
      </c>
      <c r="I269" s="1097">
        <f t="shared" si="190"/>
        <v>0</v>
      </c>
      <c r="J269" s="1097">
        <f t="shared" si="190"/>
        <v>0</v>
      </c>
      <c r="K269" s="1097">
        <f t="shared" si="190"/>
        <v>0</v>
      </c>
      <c r="L269" s="1097">
        <f t="shared" si="190"/>
        <v>0</v>
      </c>
      <c r="M269" s="1097">
        <f t="shared" si="190"/>
        <v>0</v>
      </c>
      <c r="N269" s="1097">
        <f t="shared" si="190"/>
        <v>0</v>
      </c>
      <c r="O269" s="1097">
        <f>SUM(C269:N269)</f>
        <v>0</v>
      </c>
    </row>
    <row r="270" spans="1:15" hidden="1" x14ac:dyDescent="0.25">
      <c r="A270" s="1098" t="str">
        <f>A225</f>
        <v>Promotor 1</v>
      </c>
      <c r="B270" s="1098"/>
      <c r="C270" s="1099">
        <f t="shared" ref="C270:N279" si="191">C225-C259+C191</f>
        <v>0</v>
      </c>
      <c r="D270" s="1099">
        <f t="shared" si="191"/>
        <v>0</v>
      </c>
      <c r="E270" s="1099">
        <f t="shared" si="191"/>
        <v>0</v>
      </c>
      <c r="F270" s="1099">
        <f t="shared" si="191"/>
        <v>0</v>
      </c>
      <c r="G270" s="1099">
        <f t="shared" si="191"/>
        <v>0</v>
      </c>
      <c r="H270" s="1099">
        <f t="shared" si="191"/>
        <v>0</v>
      </c>
      <c r="I270" s="1099">
        <f t="shared" si="191"/>
        <v>0</v>
      </c>
      <c r="J270" s="1099">
        <f t="shared" si="191"/>
        <v>0</v>
      </c>
      <c r="K270" s="1099">
        <f t="shared" si="191"/>
        <v>0</v>
      </c>
      <c r="L270" s="1099">
        <f t="shared" si="191"/>
        <v>0</v>
      </c>
      <c r="M270" s="1099">
        <f t="shared" si="191"/>
        <v>0</v>
      </c>
      <c r="N270" s="1099">
        <f t="shared" si="191"/>
        <v>0</v>
      </c>
      <c r="O270" s="1099">
        <f t="shared" ref="O270:O279" si="192">SUM(C270:N270)</f>
        <v>0</v>
      </c>
    </row>
    <row r="271" spans="1:15" hidden="1" x14ac:dyDescent="0.25">
      <c r="A271" s="1098" t="str">
        <f t="shared" ref="A271:A279" si="193">A226</f>
        <v>Promotor 2</v>
      </c>
      <c r="B271" s="1098"/>
      <c r="C271" s="1099">
        <f t="shared" si="191"/>
        <v>0</v>
      </c>
      <c r="D271" s="1099">
        <f t="shared" si="191"/>
        <v>0</v>
      </c>
      <c r="E271" s="1099">
        <f t="shared" si="191"/>
        <v>0</v>
      </c>
      <c r="F271" s="1099">
        <f t="shared" si="191"/>
        <v>0</v>
      </c>
      <c r="G271" s="1099">
        <f t="shared" si="191"/>
        <v>0</v>
      </c>
      <c r="H271" s="1099">
        <f t="shared" si="191"/>
        <v>0</v>
      </c>
      <c r="I271" s="1099">
        <f t="shared" si="191"/>
        <v>0</v>
      </c>
      <c r="J271" s="1099">
        <f t="shared" si="191"/>
        <v>0</v>
      </c>
      <c r="K271" s="1099">
        <f t="shared" si="191"/>
        <v>0</v>
      </c>
      <c r="L271" s="1099">
        <f t="shared" si="191"/>
        <v>0</v>
      </c>
      <c r="M271" s="1099">
        <f t="shared" si="191"/>
        <v>0</v>
      </c>
      <c r="N271" s="1099">
        <f t="shared" si="191"/>
        <v>0</v>
      </c>
      <c r="O271" s="1099">
        <f t="shared" si="192"/>
        <v>0</v>
      </c>
    </row>
    <row r="272" spans="1:15" hidden="1" x14ac:dyDescent="0.25">
      <c r="A272" s="1098" t="str">
        <f t="shared" si="193"/>
        <v>Promotor 3</v>
      </c>
      <c r="B272" s="1098"/>
      <c r="C272" s="1099">
        <f t="shared" si="191"/>
        <v>0</v>
      </c>
      <c r="D272" s="1099">
        <f t="shared" si="191"/>
        <v>0</v>
      </c>
      <c r="E272" s="1099">
        <f t="shared" si="191"/>
        <v>0</v>
      </c>
      <c r="F272" s="1099">
        <f t="shared" si="191"/>
        <v>0</v>
      </c>
      <c r="G272" s="1099">
        <f t="shared" si="191"/>
        <v>0</v>
      </c>
      <c r="H272" s="1099">
        <f t="shared" si="191"/>
        <v>0</v>
      </c>
      <c r="I272" s="1099">
        <f t="shared" si="191"/>
        <v>0</v>
      </c>
      <c r="J272" s="1099">
        <f t="shared" si="191"/>
        <v>0</v>
      </c>
      <c r="K272" s="1099">
        <f t="shared" si="191"/>
        <v>0</v>
      </c>
      <c r="L272" s="1099">
        <f t="shared" si="191"/>
        <v>0</v>
      </c>
      <c r="M272" s="1099">
        <f t="shared" si="191"/>
        <v>0</v>
      </c>
      <c r="N272" s="1099">
        <f t="shared" si="191"/>
        <v>0</v>
      </c>
      <c r="O272" s="1099">
        <f t="shared" si="192"/>
        <v>0</v>
      </c>
    </row>
    <row r="273" spans="1:15" hidden="1" x14ac:dyDescent="0.25">
      <c r="A273" s="1098" t="str">
        <f t="shared" si="193"/>
        <v>Promotor 4</v>
      </c>
      <c r="B273" s="1098"/>
      <c r="C273" s="1099">
        <f t="shared" si="191"/>
        <v>0</v>
      </c>
      <c r="D273" s="1099">
        <f t="shared" si="191"/>
        <v>0</v>
      </c>
      <c r="E273" s="1099">
        <f t="shared" si="191"/>
        <v>0</v>
      </c>
      <c r="F273" s="1099">
        <f t="shared" si="191"/>
        <v>0</v>
      </c>
      <c r="G273" s="1099">
        <f t="shared" si="191"/>
        <v>0</v>
      </c>
      <c r="H273" s="1099">
        <f t="shared" si="191"/>
        <v>0</v>
      </c>
      <c r="I273" s="1099">
        <f t="shared" si="191"/>
        <v>0</v>
      </c>
      <c r="J273" s="1099">
        <f t="shared" si="191"/>
        <v>0</v>
      </c>
      <c r="K273" s="1099">
        <f t="shared" si="191"/>
        <v>0</v>
      </c>
      <c r="L273" s="1099">
        <f t="shared" si="191"/>
        <v>0</v>
      </c>
      <c r="M273" s="1099">
        <f t="shared" si="191"/>
        <v>0</v>
      </c>
      <c r="N273" s="1099">
        <f t="shared" si="191"/>
        <v>0</v>
      </c>
      <c r="O273" s="1099">
        <f t="shared" si="192"/>
        <v>0</v>
      </c>
    </row>
    <row r="274" spans="1:15" hidden="1" x14ac:dyDescent="0.25">
      <c r="A274" s="1098" t="str">
        <f t="shared" si="193"/>
        <v>Promotor 5</v>
      </c>
      <c r="B274" s="1098"/>
      <c r="C274" s="1099">
        <f t="shared" si="191"/>
        <v>0</v>
      </c>
      <c r="D274" s="1099">
        <f t="shared" si="191"/>
        <v>0</v>
      </c>
      <c r="E274" s="1099">
        <f t="shared" si="191"/>
        <v>0</v>
      </c>
      <c r="F274" s="1099">
        <f t="shared" si="191"/>
        <v>0</v>
      </c>
      <c r="G274" s="1099">
        <f t="shared" si="191"/>
        <v>0</v>
      </c>
      <c r="H274" s="1099">
        <f t="shared" si="191"/>
        <v>0</v>
      </c>
      <c r="I274" s="1099">
        <f t="shared" si="191"/>
        <v>0</v>
      </c>
      <c r="J274" s="1099">
        <f t="shared" si="191"/>
        <v>0</v>
      </c>
      <c r="K274" s="1099">
        <f t="shared" si="191"/>
        <v>0</v>
      </c>
      <c r="L274" s="1099">
        <f t="shared" si="191"/>
        <v>0</v>
      </c>
      <c r="M274" s="1099">
        <f t="shared" si="191"/>
        <v>0</v>
      </c>
      <c r="N274" s="1099">
        <f t="shared" si="191"/>
        <v>0</v>
      </c>
      <c r="O274" s="1099">
        <f t="shared" si="192"/>
        <v>0</v>
      </c>
    </row>
    <row r="275" spans="1:15" hidden="1" x14ac:dyDescent="0.25">
      <c r="A275" s="1098" t="str">
        <f t="shared" si="193"/>
        <v>Promotor 6</v>
      </c>
      <c r="B275" s="1098"/>
      <c r="C275" s="1099">
        <f t="shared" si="191"/>
        <v>0</v>
      </c>
      <c r="D275" s="1099">
        <f t="shared" si="191"/>
        <v>0</v>
      </c>
      <c r="E275" s="1099">
        <f t="shared" si="191"/>
        <v>0</v>
      </c>
      <c r="F275" s="1099">
        <f t="shared" si="191"/>
        <v>0</v>
      </c>
      <c r="G275" s="1099">
        <f t="shared" si="191"/>
        <v>0</v>
      </c>
      <c r="H275" s="1099">
        <f t="shared" si="191"/>
        <v>0</v>
      </c>
      <c r="I275" s="1099">
        <f t="shared" si="191"/>
        <v>0</v>
      </c>
      <c r="J275" s="1099">
        <f t="shared" si="191"/>
        <v>0</v>
      </c>
      <c r="K275" s="1099">
        <f t="shared" si="191"/>
        <v>0</v>
      </c>
      <c r="L275" s="1099">
        <f t="shared" si="191"/>
        <v>0</v>
      </c>
      <c r="M275" s="1099">
        <f t="shared" si="191"/>
        <v>0</v>
      </c>
      <c r="N275" s="1099">
        <f t="shared" si="191"/>
        <v>0</v>
      </c>
      <c r="O275" s="1099">
        <f t="shared" si="192"/>
        <v>0</v>
      </c>
    </row>
    <row r="276" spans="1:15" hidden="1" x14ac:dyDescent="0.25">
      <c r="A276" s="1098" t="str">
        <f t="shared" si="193"/>
        <v>Promotor 7</v>
      </c>
      <c r="B276" s="1098"/>
      <c r="C276" s="1099">
        <f t="shared" si="191"/>
        <v>0</v>
      </c>
      <c r="D276" s="1099">
        <f t="shared" si="191"/>
        <v>0</v>
      </c>
      <c r="E276" s="1099">
        <f t="shared" si="191"/>
        <v>0</v>
      </c>
      <c r="F276" s="1099">
        <f t="shared" si="191"/>
        <v>0</v>
      </c>
      <c r="G276" s="1099">
        <f t="shared" si="191"/>
        <v>0</v>
      </c>
      <c r="H276" s="1099">
        <f t="shared" si="191"/>
        <v>0</v>
      </c>
      <c r="I276" s="1099">
        <f t="shared" si="191"/>
        <v>0</v>
      </c>
      <c r="J276" s="1099">
        <f t="shared" si="191"/>
        <v>0</v>
      </c>
      <c r="K276" s="1099">
        <f t="shared" si="191"/>
        <v>0</v>
      </c>
      <c r="L276" s="1099">
        <f t="shared" si="191"/>
        <v>0</v>
      </c>
      <c r="M276" s="1099">
        <f t="shared" si="191"/>
        <v>0</v>
      </c>
      <c r="N276" s="1099">
        <f t="shared" si="191"/>
        <v>0</v>
      </c>
      <c r="O276" s="1099">
        <f t="shared" si="192"/>
        <v>0</v>
      </c>
    </row>
    <row r="277" spans="1:15" hidden="1" x14ac:dyDescent="0.25">
      <c r="A277" s="1098" t="str">
        <f t="shared" si="193"/>
        <v>Promotor 8</v>
      </c>
      <c r="B277" s="1098"/>
      <c r="C277" s="1099">
        <f t="shared" si="191"/>
        <v>0</v>
      </c>
      <c r="D277" s="1099">
        <f t="shared" si="191"/>
        <v>0</v>
      </c>
      <c r="E277" s="1099">
        <f t="shared" si="191"/>
        <v>0</v>
      </c>
      <c r="F277" s="1099">
        <f t="shared" si="191"/>
        <v>0</v>
      </c>
      <c r="G277" s="1099">
        <f t="shared" si="191"/>
        <v>0</v>
      </c>
      <c r="H277" s="1099">
        <f t="shared" si="191"/>
        <v>0</v>
      </c>
      <c r="I277" s="1099">
        <f t="shared" si="191"/>
        <v>0</v>
      </c>
      <c r="J277" s="1099">
        <f t="shared" si="191"/>
        <v>0</v>
      </c>
      <c r="K277" s="1099">
        <f t="shared" si="191"/>
        <v>0</v>
      </c>
      <c r="L277" s="1099">
        <f t="shared" si="191"/>
        <v>0</v>
      </c>
      <c r="M277" s="1099">
        <f t="shared" si="191"/>
        <v>0</v>
      </c>
      <c r="N277" s="1099">
        <f t="shared" si="191"/>
        <v>0</v>
      </c>
      <c r="O277" s="1099">
        <f t="shared" si="192"/>
        <v>0</v>
      </c>
    </row>
    <row r="278" spans="1:15" hidden="1" x14ac:dyDescent="0.25">
      <c r="A278" s="1098" t="str">
        <f t="shared" si="193"/>
        <v>Promotor 9</v>
      </c>
      <c r="B278" s="1098"/>
      <c r="C278" s="1099">
        <f t="shared" si="191"/>
        <v>0</v>
      </c>
      <c r="D278" s="1099">
        <f t="shared" si="191"/>
        <v>0</v>
      </c>
      <c r="E278" s="1099">
        <f t="shared" si="191"/>
        <v>0</v>
      </c>
      <c r="F278" s="1099">
        <f t="shared" si="191"/>
        <v>0</v>
      </c>
      <c r="G278" s="1099">
        <f t="shared" si="191"/>
        <v>0</v>
      </c>
      <c r="H278" s="1099">
        <f t="shared" si="191"/>
        <v>0</v>
      </c>
      <c r="I278" s="1099">
        <f t="shared" si="191"/>
        <v>0</v>
      </c>
      <c r="J278" s="1099">
        <f t="shared" si="191"/>
        <v>0</v>
      </c>
      <c r="K278" s="1099">
        <f t="shared" si="191"/>
        <v>0</v>
      </c>
      <c r="L278" s="1099">
        <f t="shared" si="191"/>
        <v>0</v>
      </c>
      <c r="M278" s="1099">
        <f t="shared" si="191"/>
        <v>0</v>
      </c>
      <c r="N278" s="1099">
        <f t="shared" si="191"/>
        <v>0</v>
      </c>
      <c r="O278" s="1099">
        <f t="shared" si="192"/>
        <v>0</v>
      </c>
    </row>
    <row r="279" spans="1:15" ht="12.75" customHeight="1" x14ac:dyDescent="0.25">
      <c r="A279" s="1098" t="str">
        <f t="shared" si="193"/>
        <v>Promotor 10</v>
      </c>
      <c r="B279" s="1098"/>
      <c r="C279" s="1099">
        <f t="shared" si="191"/>
        <v>0</v>
      </c>
      <c r="D279" s="1099">
        <f t="shared" si="191"/>
        <v>0</v>
      </c>
      <c r="E279" s="1099">
        <f t="shared" si="191"/>
        <v>0</v>
      </c>
      <c r="F279" s="1099">
        <f t="shared" si="191"/>
        <v>0</v>
      </c>
      <c r="G279" s="1099">
        <f t="shared" si="191"/>
        <v>0</v>
      </c>
      <c r="H279" s="1099">
        <f t="shared" si="191"/>
        <v>0</v>
      </c>
      <c r="I279" s="1099">
        <f t="shared" si="191"/>
        <v>0</v>
      </c>
      <c r="J279" s="1099">
        <f t="shared" si="191"/>
        <v>0</v>
      </c>
      <c r="K279" s="1099">
        <f t="shared" si="191"/>
        <v>0</v>
      </c>
      <c r="L279" s="1099">
        <f t="shared" si="191"/>
        <v>0</v>
      </c>
      <c r="M279" s="1099">
        <f t="shared" si="191"/>
        <v>0</v>
      </c>
      <c r="N279" s="1099">
        <f t="shared" si="191"/>
        <v>0</v>
      </c>
      <c r="O279" s="1099">
        <f t="shared" si="192"/>
        <v>0</v>
      </c>
    </row>
    <row r="280" spans="1:15" ht="30" customHeight="1" x14ac:dyDescent="0.3">
      <c r="A280" s="1883" t="s">
        <v>367</v>
      </c>
      <c r="B280" s="1883"/>
      <c r="C280" s="15">
        <f>SUM(C281:C290)+C235</f>
        <v>0</v>
      </c>
      <c r="D280" s="15">
        <f t="shared" ref="D280:N280" si="194">SUM(D281:D290)+D235</f>
        <v>0</v>
      </c>
      <c r="E280" s="15">
        <f t="shared" si="194"/>
        <v>0</v>
      </c>
      <c r="F280" s="15">
        <f t="shared" si="194"/>
        <v>0</v>
      </c>
      <c r="G280" s="15">
        <f t="shared" si="194"/>
        <v>0</v>
      </c>
      <c r="H280" s="15">
        <f t="shared" si="194"/>
        <v>0</v>
      </c>
      <c r="I280" s="15">
        <f t="shared" si="194"/>
        <v>0</v>
      </c>
      <c r="J280" s="15">
        <f t="shared" si="194"/>
        <v>0</v>
      </c>
      <c r="K280" s="15">
        <f t="shared" si="194"/>
        <v>0</v>
      </c>
      <c r="L280" s="15">
        <f t="shared" si="194"/>
        <v>0</v>
      </c>
      <c r="M280" s="15">
        <f t="shared" si="194"/>
        <v>0</v>
      </c>
      <c r="N280" s="15">
        <f t="shared" si="194"/>
        <v>0</v>
      </c>
      <c r="O280" s="15">
        <f>SUM(C280:N280)</f>
        <v>0</v>
      </c>
    </row>
    <row r="281" spans="1:15" hidden="1" x14ac:dyDescent="0.25">
      <c r="A281" s="1100" t="str">
        <f>A225</f>
        <v>Promotor 1</v>
      </c>
      <c r="B281" s="1100"/>
      <c r="C281" s="1101">
        <f>IF($C207=C$222,C270,0)</f>
        <v>0</v>
      </c>
      <c r="D281" s="1101">
        <f t="shared" ref="D281:N281" si="195">IF(AND($C207=D$222,C281=0),D270,0)+IF(C281=0,0,D270)</f>
        <v>0</v>
      </c>
      <c r="E281" s="1101">
        <f t="shared" si="195"/>
        <v>0</v>
      </c>
      <c r="F281" s="1101">
        <f t="shared" si="195"/>
        <v>0</v>
      </c>
      <c r="G281" s="1101">
        <f t="shared" si="195"/>
        <v>0</v>
      </c>
      <c r="H281" s="1101">
        <f t="shared" si="195"/>
        <v>0</v>
      </c>
      <c r="I281" s="1101">
        <f t="shared" si="195"/>
        <v>0</v>
      </c>
      <c r="J281" s="1101">
        <f t="shared" si="195"/>
        <v>0</v>
      </c>
      <c r="K281" s="1101">
        <f t="shared" si="195"/>
        <v>0</v>
      </c>
      <c r="L281" s="1101">
        <f t="shared" si="195"/>
        <v>0</v>
      </c>
      <c r="M281" s="1101">
        <f t="shared" si="195"/>
        <v>0</v>
      </c>
      <c r="N281" s="1101">
        <f t="shared" si="195"/>
        <v>0</v>
      </c>
      <c r="O281" s="1101">
        <f t="shared" ref="O281:O290" si="196">SUM(C281:N281)</f>
        <v>0</v>
      </c>
    </row>
    <row r="282" spans="1:15" hidden="1" x14ac:dyDescent="0.25">
      <c r="A282" s="1100" t="str">
        <f t="shared" ref="A282:A290" si="197">A226</f>
        <v>Promotor 2</v>
      </c>
      <c r="B282" s="1100"/>
      <c r="C282" s="1101">
        <f>IF($D207=C$222,C271,0)</f>
        <v>0</v>
      </c>
      <c r="D282" s="1101">
        <f t="shared" ref="D282:N282" si="198">IF(AND($D207=D$222,C282=0),D271,0)+IF(C282=0,0,D271)</f>
        <v>0</v>
      </c>
      <c r="E282" s="1101">
        <f t="shared" si="198"/>
        <v>0</v>
      </c>
      <c r="F282" s="1101">
        <f t="shared" si="198"/>
        <v>0</v>
      </c>
      <c r="G282" s="1101">
        <f t="shared" si="198"/>
        <v>0</v>
      </c>
      <c r="H282" s="1101">
        <f t="shared" si="198"/>
        <v>0</v>
      </c>
      <c r="I282" s="1101">
        <f t="shared" si="198"/>
        <v>0</v>
      </c>
      <c r="J282" s="1101">
        <f t="shared" si="198"/>
        <v>0</v>
      </c>
      <c r="K282" s="1101">
        <f t="shared" si="198"/>
        <v>0</v>
      </c>
      <c r="L282" s="1101">
        <f t="shared" si="198"/>
        <v>0</v>
      </c>
      <c r="M282" s="1101">
        <f t="shared" si="198"/>
        <v>0</v>
      </c>
      <c r="N282" s="1101">
        <f t="shared" si="198"/>
        <v>0</v>
      </c>
      <c r="O282" s="1101">
        <f t="shared" si="196"/>
        <v>0</v>
      </c>
    </row>
    <row r="283" spans="1:15" hidden="1" x14ac:dyDescent="0.25">
      <c r="A283" s="1100" t="str">
        <f t="shared" si="197"/>
        <v>Promotor 3</v>
      </c>
      <c r="B283" s="1100"/>
      <c r="C283" s="1101">
        <f>IF($E207=C$222,C272,0)</f>
        <v>0</v>
      </c>
      <c r="D283" s="1101">
        <f t="shared" ref="D283:N283" si="199">IF(AND($E207=D$222,C283=0),D272,0)+IF(C283=0,0,D272)</f>
        <v>0</v>
      </c>
      <c r="E283" s="1101">
        <f t="shared" si="199"/>
        <v>0</v>
      </c>
      <c r="F283" s="1101">
        <f t="shared" si="199"/>
        <v>0</v>
      </c>
      <c r="G283" s="1101">
        <f t="shared" si="199"/>
        <v>0</v>
      </c>
      <c r="H283" s="1101">
        <f t="shared" si="199"/>
        <v>0</v>
      </c>
      <c r="I283" s="1101">
        <f t="shared" si="199"/>
        <v>0</v>
      </c>
      <c r="J283" s="1101">
        <f t="shared" si="199"/>
        <v>0</v>
      </c>
      <c r="K283" s="1101">
        <f t="shared" si="199"/>
        <v>0</v>
      </c>
      <c r="L283" s="1101">
        <f t="shared" si="199"/>
        <v>0</v>
      </c>
      <c r="M283" s="1101">
        <f t="shared" si="199"/>
        <v>0</v>
      </c>
      <c r="N283" s="1101">
        <f t="shared" si="199"/>
        <v>0</v>
      </c>
      <c r="O283" s="1101">
        <f t="shared" si="196"/>
        <v>0</v>
      </c>
    </row>
    <row r="284" spans="1:15" hidden="1" x14ac:dyDescent="0.25">
      <c r="A284" s="1100" t="str">
        <f t="shared" si="197"/>
        <v>Promotor 4</v>
      </c>
      <c r="B284" s="1100"/>
      <c r="C284" s="1101">
        <f>IF($F207=C$222,C273,0)</f>
        <v>0</v>
      </c>
      <c r="D284" s="1101">
        <f t="shared" ref="D284:N284" si="200">IF(AND($F207=D$222,C284=0),D273,0)+IF(C284=0,0,D273)</f>
        <v>0</v>
      </c>
      <c r="E284" s="1101">
        <f t="shared" si="200"/>
        <v>0</v>
      </c>
      <c r="F284" s="1101">
        <f t="shared" si="200"/>
        <v>0</v>
      </c>
      <c r="G284" s="1101">
        <f t="shared" si="200"/>
        <v>0</v>
      </c>
      <c r="H284" s="1101">
        <f t="shared" si="200"/>
        <v>0</v>
      </c>
      <c r="I284" s="1101">
        <f t="shared" si="200"/>
        <v>0</v>
      </c>
      <c r="J284" s="1101">
        <f t="shared" si="200"/>
        <v>0</v>
      </c>
      <c r="K284" s="1101">
        <f t="shared" si="200"/>
        <v>0</v>
      </c>
      <c r="L284" s="1101">
        <f t="shared" si="200"/>
        <v>0</v>
      </c>
      <c r="M284" s="1101">
        <f t="shared" si="200"/>
        <v>0</v>
      </c>
      <c r="N284" s="1101">
        <f t="shared" si="200"/>
        <v>0</v>
      </c>
      <c r="O284" s="1101">
        <f t="shared" si="196"/>
        <v>0</v>
      </c>
    </row>
    <row r="285" spans="1:15" hidden="1" x14ac:dyDescent="0.25">
      <c r="A285" s="1100" t="str">
        <f t="shared" si="197"/>
        <v>Promotor 5</v>
      </c>
      <c r="B285" s="1100"/>
      <c r="C285" s="1101">
        <f>IF($G207=C$222,C274,0)</f>
        <v>0</v>
      </c>
      <c r="D285" s="1101">
        <f t="shared" ref="D285:N285" si="201">IF(AND($G207=D$222,C285=0),D274,0)+IF(C285=0,0,D274)</f>
        <v>0</v>
      </c>
      <c r="E285" s="1101">
        <f t="shared" si="201"/>
        <v>0</v>
      </c>
      <c r="F285" s="1101">
        <f t="shared" si="201"/>
        <v>0</v>
      </c>
      <c r="G285" s="1101">
        <f t="shared" si="201"/>
        <v>0</v>
      </c>
      <c r="H285" s="1101">
        <f t="shared" si="201"/>
        <v>0</v>
      </c>
      <c r="I285" s="1101">
        <f t="shared" si="201"/>
        <v>0</v>
      </c>
      <c r="J285" s="1101">
        <f t="shared" si="201"/>
        <v>0</v>
      </c>
      <c r="K285" s="1101">
        <f t="shared" si="201"/>
        <v>0</v>
      </c>
      <c r="L285" s="1101">
        <f t="shared" si="201"/>
        <v>0</v>
      </c>
      <c r="M285" s="1101">
        <f t="shared" si="201"/>
        <v>0</v>
      </c>
      <c r="N285" s="1101">
        <f t="shared" si="201"/>
        <v>0</v>
      </c>
      <c r="O285" s="1101">
        <f t="shared" si="196"/>
        <v>0</v>
      </c>
    </row>
    <row r="286" spans="1:15" hidden="1" x14ac:dyDescent="0.25">
      <c r="A286" s="1100" t="str">
        <f t="shared" si="197"/>
        <v>Promotor 6</v>
      </c>
      <c r="B286" s="1100"/>
      <c r="C286" s="1101">
        <f>IF($H207=C$222,C275,0)</f>
        <v>0</v>
      </c>
      <c r="D286" s="1101">
        <f t="shared" ref="D286:N286" si="202">IF(AND($H207=D$222,C286=0),D275,0)+IF(C286=0,0,D275)</f>
        <v>0</v>
      </c>
      <c r="E286" s="1101">
        <f t="shared" si="202"/>
        <v>0</v>
      </c>
      <c r="F286" s="1101">
        <f t="shared" si="202"/>
        <v>0</v>
      </c>
      <c r="G286" s="1101">
        <f t="shared" si="202"/>
        <v>0</v>
      </c>
      <c r="H286" s="1101">
        <f t="shared" si="202"/>
        <v>0</v>
      </c>
      <c r="I286" s="1101">
        <f t="shared" si="202"/>
        <v>0</v>
      </c>
      <c r="J286" s="1101">
        <f t="shared" si="202"/>
        <v>0</v>
      </c>
      <c r="K286" s="1101">
        <f t="shared" si="202"/>
        <v>0</v>
      </c>
      <c r="L286" s="1101">
        <f t="shared" si="202"/>
        <v>0</v>
      </c>
      <c r="M286" s="1101">
        <f t="shared" si="202"/>
        <v>0</v>
      </c>
      <c r="N286" s="1101">
        <f t="shared" si="202"/>
        <v>0</v>
      </c>
      <c r="O286" s="1101">
        <f t="shared" si="196"/>
        <v>0</v>
      </c>
    </row>
    <row r="287" spans="1:15" hidden="1" x14ac:dyDescent="0.25">
      <c r="A287" s="1100" t="str">
        <f t="shared" si="197"/>
        <v>Promotor 7</v>
      </c>
      <c r="B287" s="1100"/>
      <c r="C287" s="1101">
        <f>IF($I207=C$222,C276,0)</f>
        <v>0</v>
      </c>
      <c r="D287" s="1101">
        <f t="shared" ref="D287:N287" si="203">IF(AND($I207=D$222,C287=0),D276,0)+IF(C287=0,0,D276)</f>
        <v>0</v>
      </c>
      <c r="E287" s="1101">
        <f t="shared" si="203"/>
        <v>0</v>
      </c>
      <c r="F287" s="1101">
        <f t="shared" si="203"/>
        <v>0</v>
      </c>
      <c r="G287" s="1101">
        <f t="shared" si="203"/>
        <v>0</v>
      </c>
      <c r="H287" s="1101">
        <f t="shared" si="203"/>
        <v>0</v>
      </c>
      <c r="I287" s="1101">
        <f t="shared" si="203"/>
        <v>0</v>
      </c>
      <c r="J287" s="1101">
        <f t="shared" si="203"/>
        <v>0</v>
      </c>
      <c r="K287" s="1101">
        <f t="shared" si="203"/>
        <v>0</v>
      </c>
      <c r="L287" s="1101">
        <f t="shared" si="203"/>
        <v>0</v>
      </c>
      <c r="M287" s="1101">
        <f t="shared" si="203"/>
        <v>0</v>
      </c>
      <c r="N287" s="1101">
        <f t="shared" si="203"/>
        <v>0</v>
      </c>
      <c r="O287" s="1101">
        <f t="shared" si="196"/>
        <v>0</v>
      </c>
    </row>
    <row r="288" spans="1:15" hidden="1" x14ac:dyDescent="0.25">
      <c r="A288" s="1100" t="str">
        <f t="shared" si="197"/>
        <v>Promotor 8</v>
      </c>
      <c r="B288" s="1100"/>
      <c r="C288" s="1101">
        <f>IF($J207=C$222,C277,0)</f>
        <v>0</v>
      </c>
      <c r="D288" s="1101">
        <f t="shared" ref="D288:N288" si="204">IF(AND($J207=D$222,C288=0),D277,0)+IF(C288=0,0,D277)</f>
        <v>0</v>
      </c>
      <c r="E288" s="1101">
        <f t="shared" si="204"/>
        <v>0</v>
      </c>
      <c r="F288" s="1101">
        <f t="shared" si="204"/>
        <v>0</v>
      </c>
      <c r="G288" s="1101">
        <f t="shared" si="204"/>
        <v>0</v>
      </c>
      <c r="H288" s="1101">
        <f t="shared" si="204"/>
        <v>0</v>
      </c>
      <c r="I288" s="1101">
        <f t="shared" si="204"/>
        <v>0</v>
      </c>
      <c r="J288" s="1101">
        <f t="shared" si="204"/>
        <v>0</v>
      </c>
      <c r="K288" s="1101">
        <f t="shared" si="204"/>
        <v>0</v>
      </c>
      <c r="L288" s="1101">
        <f t="shared" si="204"/>
        <v>0</v>
      </c>
      <c r="M288" s="1101">
        <f t="shared" si="204"/>
        <v>0</v>
      </c>
      <c r="N288" s="1101">
        <f t="shared" si="204"/>
        <v>0</v>
      </c>
      <c r="O288" s="1101">
        <f t="shared" si="196"/>
        <v>0</v>
      </c>
    </row>
    <row r="289" spans="1:15" hidden="1" x14ac:dyDescent="0.25">
      <c r="A289" s="1100" t="str">
        <f t="shared" si="197"/>
        <v>Promotor 9</v>
      </c>
      <c r="B289" s="1100"/>
      <c r="C289" s="1101">
        <f>IF($K207=C$222,C278,0)</f>
        <v>0</v>
      </c>
      <c r="D289" s="1101">
        <f t="shared" ref="D289:N289" si="205">IF(AND($K207=D$222,C289=0),D278,0)+IF(C289=0,0,D278)</f>
        <v>0</v>
      </c>
      <c r="E289" s="1101">
        <f t="shared" si="205"/>
        <v>0</v>
      </c>
      <c r="F289" s="1101">
        <f t="shared" si="205"/>
        <v>0</v>
      </c>
      <c r="G289" s="1101">
        <f t="shared" si="205"/>
        <v>0</v>
      </c>
      <c r="H289" s="1101">
        <f t="shared" si="205"/>
        <v>0</v>
      </c>
      <c r="I289" s="1101">
        <f t="shared" si="205"/>
        <v>0</v>
      </c>
      <c r="J289" s="1101">
        <f t="shared" si="205"/>
        <v>0</v>
      </c>
      <c r="K289" s="1101">
        <f t="shared" si="205"/>
        <v>0</v>
      </c>
      <c r="L289" s="1101">
        <f t="shared" si="205"/>
        <v>0</v>
      </c>
      <c r="M289" s="1101">
        <f t="shared" si="205"/>
        <v>0</v>
      </c>
      <c r="N289" s="1101">
        <f t="shared" si="205"/>
        <v>0</v>
      </c>
      <c r="O289" s="1101">
        <f t="shared" si="196"/>
        <v>0</v>
      </c>
    </row>
    <row r="290" spans="1:15" ht="36" customHeight="1" x14ac:dyDescent="0.25">
      <c r="A290" s="1100" t="str">
        <f t="shared" si="197"/>
        <v>Promotor 10</v>
      </c>
      <c r="B290" s="1100"/>
      <c r="C290" s="1101">
        <f>IF($L207=C$222,C279,0)</f>
        <v>0</v>
      </c>
      <c r="D290" s="1101">
        <f t="shared" ref="D290:N290" si="206">IF(AND($L207=D$222,C290=0),D279,0)+IF(C290=0,0,D279)</f>
        <v>0</v>
      </c>
      <c r="E290" s="1101">
        <f t="shared" si="206"/>
        <v>0</v>
      </c>
      <c r="F290" s="1101">
        <f t="shared" si="206"/>
        <v>0</v>
      </c>
      <c r="G290" s="1101">
        <f t="shared" si="206"/>
        <v>0</v>
      </c>
      <c r="H290" s="1101">
        <f t="shared" si="206"/>
        <v>0</v>
      </c>
      <c r="I290" s="1101">
        <f t="shared" si="206"/>
        <v>0</v>
      </c>
      <c r="J290" s="1101">
        <f t="shared" si="206"/>
        <v>0</v>
      </c>
      <c r="K290" s="1101">
        <f t="shared" si="206"/>
        <v>0</v>
      </c>
      <c r="L290" s="1101">
        <f t="shared" si="206"/>
        <v>0</v>
      </c>
      <c r="M290" s="1101">
        <f t="shared" si="206"/>
        <v>0</v>
      </c>
      <c r="N290" s="1101">
        <f t="shared" si="206"/>
        <v>0</v>
      </c>
      <c r="O290" s="1101">
        <f t="shared" si="196"/>
        <v>0</v>
      </c>
    </row>
    <row r="291" spans="1:15" ht="13" x14ac:dyDescent="0.3">
      <c r="A291" s="1886" t="s">
        <v>368</v>
      </c>
      <c r="B291" s="1886"/>
      <c r="C291" s="1026">
        <f t="shared" ref="C291:O291" si="207">SUM(C292:C301)</f>
        <v>0</v>
      </c>
      <c r="D291" s="1026">
        <f t="shared" si="207"/>
        <v>0</v>
      </c>
      <c r="E291" s="1026">
        <f t="shared" si="207"/>
        <v>0</v>
      </c>
      <c r="F291" s="1026">
        <f t="shared" si="207"/>
        <v>0</v>
      </c>
      <c r="G291" s="1026">
        <f t="shared" si="207"/>
        <v>0</v>
      </c>
      <c r="H291" s="1026">
        <f t="shared" si="207"/>
        <v>0</v>
      </c>
      <c r="I291" s="1026">
        <f t="shared" si="207"/>
        <v>0</v>
      </c>
      <c r="J291" s="1026">
        <f t="shared" si="207"/>
        <v>0</v>
      </c>
      <c r="K291" s="1026">
        <f t="shared" si="207"/>
        <v>0</v>
      </c>
      <c r="L291" s="1026">
        <f t="shared" si="207"/>
        <v>0</v>
      </c>
      <c r="M291" s="1026">
        <f t="shared" si="207"/>
        <v>0</v>
      </c>
      <c r="N291" s="1026">
        <f t="shared" si="207"/>
        <v>0</v>
      </c>
      <c r="O291" s="1026">
        <f t="shared" si="207"/>
        <v>0</v>
      </c>
    </row>
    <row r="292" spans="1:15" hidden="1" x14ac:dyDescent="0.25">
      <c r="A292" s="1122" t="str">
        <f>A281</f>
        <v>Promotor 1</v>
      </c>
      <c r="B292" s="1123"/>
      <c r="C292" s="1104">
        <f>C270-C281</f>
        <v>0</v>
      </c>
      <c r="D292" s="1105">
        <f t="shared" ref="D292:N292" si="208">D270-D281</f>
        <v>0</v>
      </c>
      <c r="E292" s="1105">
        <f t="shared" si="208"/>
        <v>0</v>
      </c>
      <c r="F292" s="1105">
        <f t="shared" si="208"/>
        <v>0</v>
      </c>
      <c r="G292" s="1105">
        <f t="shared" si="208"/>
        <v>0</v>
      </c>
      <c r="H292" s="1105">
        <f t="shared" si="208"/>
        <v>0</v>
      </c>
      <c r="I292" s="1105">
        <f t="shared" si="208"/>
        <v>0</v>
      </c>
      <c r="J292" s="1105">
        <f t="shared" si="208"/>
        <v>0</v>
      </c>
      <c r="K292" s="1105">
        <f t="shared" si="208"/>
        <v>0</v>
      </c>
      <c r="L292" s="1105">
        <f t="shared" si="208"/>
        <v>0</v>
      </c>
      <c r="M292" s="1105">
        <f t="shared" si="208"/>
        <v>0</v>
      </c>
      <c r="N292" s="1106">
        <f t="shared" si="208"/>
        <v>0</v>
      </c>
      <c r="O292" s="1107">
        <f>SUM(C292:N292)</f>
        <v>0</v>
      </c>
    </row>
    <row r="293" spans="1:15" hidden="1" x14ac:dyDescent="0.25">
      <c r="A293" s="1122" t="str">
        <f t="shared" ref="A293:A301" si="209">A282</f>
        <v>Promotor 2</v>
      </c>
      <c r="B293" s="1123"/>
      <c r="C293" s="1104">
        <f t="shared" ref="C293:N301" si="210">C271-C282</f>
        <v>0</v>
      </c>
      <c r="D293" s="1105">
        <f t="shared" si="210"/>
        <v>0</v>
      </c>
      <c r="E293" s="1105">
        <f t="shared" si="210"/>
        <v>0</v>
      </c>
      <c r="F293" s="1105">
        <f t="shared" si="210"/>
        <v>0</v>
      </c>
      <c r="G293" s="1105">
        <f t="shared" si="210"/>
        <v>0</v>
      </c>
      <c r="H293" s="1105">
        <f t="shared" si="210"/>
        <v>0</v>
      </c>
      <c r="I293" s="1105">
        <f t="shared" si="210"/>
        <v>0</v>
      </c>
      <c r="J293" s="1105">
        <f t="shared" si="210"/>
        <v>0</v>
      </c>
      <c r="K293" s="1105">
        <f t="shared" si="210"/>
        <v>0</v>
      </c>
      <c r="L293" s="1105">
        <f t="shared" si="210"/>
        <v>0</v>
      </c>
      <c r="M293" s="1105">
        <f t="shared" si="210"/>
        <v>0</v>
      </c>
      <c r="N293" s="1106">
        <f t="shared" si="210"/>
        <v>0</v>
      </c>
      <c r="O293" s="1107">
        <f t="shared" ref="O293:O301" si="211">SUM(C293:N293)</f>
        <v>0</v>
      </c>
    </row>
    <row r="294" spans="1:15" hidden="1" x14ac:dyDescent="0.25">
      <c r="A294" s="1122" t="str">
        <f t="shared" si="209"/>
        <v>Promotor 3</v>
      </c>
      <c r="B294" s="1123"/>
      <c r="C294" s="1104">
        <f t="shared" si="210"/>
        <v>0</v>
      </c>
      <c r="D294" s="1105">
        <f t="shared" si="210"/>
        <v>0</v>
      </c>
      <c r="E294" s="1105">
        <f t="shared" si="210"/>
        <v>0</v>
      </c>
      <c r="F294" s="1105">
        <f t="shared" si="210"/>
        <v>0</v>
      </c>
      <c r="G294" s="1105">
        <f t="shared" si="210"/>
        <v>0</v>
      </c>
      <c r="H294" s="1105">
        <f t="shared" si="210"/>
        <v>0</v>
      </c>
      <c r="I294" s="1105">
        <f t="shared" si="210"/>
        <v>0</v>
      </c>
      <c r="J294" s="1105">
        <f t="shared" si="210"/>
        <v>0</v>
      </c>
      <c r="K294" s="1105">
        <f t="shared" si="210"/>
        <v>0</v>
      </c>
      <c r="L294" s="1105">
        <f t="shared" si="210"/>
        <v>0</v>
      </c>
      <c r="M294" s="1105">
        <f t="shared" si="210"/>
        <v>0</v>
      </c>
      <c r="N294" s="1106">
        <f t="shared" si="210"/>
        <v>0</v>
      </c>
      <c r="O294" s="1107">
        <f t="shared" si="211"/>
        <v>0</v>
      </c>
    </row>
    <row r="295" spans="1:15" hidden="1" x14ac:dyDescent="0.25">
      <c r="A295" s="1122" t="str">
        <f t="shared" si="209"/>
        <v>Promotor 4</v>
      </c>
      <c r="B295" s="1123"/>
      <c r="C295" s="1104">
        <f t="shared" si="210"/>
        <v>0</v>
      </c>
      <c r="D295" s="1105">
        <f t="shared" si="210"/>
        <v>0</v>
      </c>
      <c r="E295" s="1105">
        <f t="shared" si="210"/>
        <v>0</v>
      </c>
      <c r="F295" s="1105">
        <f t="shared" si="210"/>
        <v>0</v>
      </c>
      <c r="G295" s="1105">
        <f t="shared" si="210"/>
        <v>0</v>
      </c>
      <c r="H295" s="1105">
        <f t="shared" si="210"/>
        <v>0</v>
      </c>
      <c r="I295" s="1105">
        <f t="shared" si="210"/>
        <v>0</v>
      </c>
      <c r="J295" s="1105">
        <f t="shared" si="210"/>
        <v>0</v>
      </c>
      <c r="K295" s="1105">
        <f t="shared" si="210"/>
        <v>0</v>
      </c>
      <c r="L295" s="1105">
        <f t="shared" si="210"/>
        <v>0</v>
      </c>
      <c r="M295" s="1105">
        <f t="shared" si="210"/>
        <v>0</v>
      </c>
      <c r="N295" s="1106">
        <f t="shared" si="210"/>
        <v>0</v>
      </c>
      <c r="O295" s="1107">
        <f t="shared" si="211"/>
        <v>0</v>
      </c>
    </row>
    <row r="296" spans="1:15" hidden="1" x14ac:dyDescent="0.25">
      <c r="A296" s="1122" t="str">
        <f t="shared" si="209"/>
        <v>Promotor 5</v>
      </c>
      <c r="B296" s="1123"/>
      <c r="C296" s="1104">
        <f t="shared" si="210"/>
        <v>0</v>
      </c>
      <c r="D296" s="1105">
        <f t="shared" si="210"/>
        <v>0</v>
      </c>
      <c r="E296" s="1105">
        <f t="shared" si="210"/>
        <v>0</v>
      </c>
      <c r="F296" s="1105">
        <f t="shared" si="210"/>
        <v>0</v>
      </c>
      <c r="G296" s="1105">
        <f t="shared" si="210"/>
        <v>0</v>
      </c>
      <c r="H296" s="1105">
        <f t="shared" si="210"/>
        <v>0</v>
      </c>
      <c r="I296" s="1105">
        <f t="shared" si="210"/>
        <v>0</v>
      </c>
      <c r="J296" s="1105">
        <f t="shared" si="210"/>
        <v>0</v>
      </c>
      <c r="K296" s="1105">
        <f t="shared" si="210"/>
        <v>0</v>
      </c>
      <c r="L296" s="1105">
        <f t="shared" si="210"/>
        <v>0</v>
      </c>
      <c r="M296" s="1105">
        <f t="shared" si="210"/>
        <v>0</v>
      </c>
      <c r="N296" s="1106">
        <f t="shared" si="210"/>
        <v>0</v>
      </c>
      <c r="O296" s="1107">
        <f t="shared" si="211"/>
        <v>0</v>
      </c>
    </row>
    <row r="297" spans="1:15" hidden="1" x14ac:dyDescent="0.25">
      <c r="A297" s="1122" t="str">
        <f t="shared" si="209"/>
        <v>Promotor 6</v>
      </c>
      <c r="B297" s="1123"/>
      <c r="C297" s="1104">
        <f t="shared" si="210"/>
        <v>0</v>
      </c>
      <c r="D297" s="1105">
        <f t="shared" si="210"/>
        <v>0</v>
      </c>
      <c r="E297" s="1105">
        <f t="shared" si="210"/>
        <v>0</v>
      </c>
      <c r="F297" s="1105">
        <f t="shared" si="210"/>
        <v>0</v>
      </c>
      <c r="G297" s="1105">
        <f t="shared" si="210"/>
        <v>0</v>
      </c>
      <c r="H297" s="1105">
        <f t="shared" si="210"/>
        <v>0</v>
      </c>
      <c r="I297" s="1105">
        <f t="shared" si="210"/>
        <v>0</v>
      </c>
      <c r="J297" s="1105">
        <f t="shared" si="210"/>
        <v>0</v>
      </c>
      <c r="K297" s="1105">
        <f t="shared" si="210"/>
        <v>0</v>
      </c>
      <c r="L297" s="1105">
        <f t="shared" si="210"/>
        <v>0</v>
      </c>
      <c r="M297" s="1105">
        <f t="shared" si="210"/>
        <v>0</v>
      </c>
      <c r="N297" s="1106">
        <f t="shared" si="210"/>
        <v>0</v>
      </c>
      <c r="O297" s="1107">
        <f t="shared" si="211"/>
        <v>0</v>
      </c>
    </row>
    <row r="298" spans="1:15" hidden="1" x14ac:dyDescent="0.25">
      <c r="A298" s="1122" t="str">
        <f t="shared" si="209"/>
        <v>Promotor 7</v>
      </c>
      <c r="B298" s="1123"/>
      <c r="C298" s="1104">
        <f t="shared" si="210"/>
        <v>0</v>
      </c>
      <c r="D298" s="1105">
        <f t="shared" si="210"/>
        <v>0</v>
      </c>
      <c r="E298" s="1105">
        <f t="shared" si="210"/>
        <v>0</v>
      </c>
      <c r="F298" s="1105">
        <f t="shared" si="210"/>
        <v>0</v>
      </c>
      <c r="G298" s="1105">
        <f t="shared" si="210"/>
        <v>0</v>
      </c>
      <c r="H298" s="1105">
        <f t="shared" si="210"/>
        <v>0</v>
      </c>
      <c r="I298" s="1105">
        <f t="shared" si="210"/>
        <v>0</v>
      </c>
      <c r="J298" s="1105">
        <f t="shared" si="210"/>
        <v>0</v>
      </c>
      <c r="K298" s="1105">
        <f t="shared" si="210"/>
        <v>0</v>
      </c>
      <c r="L298" s="1105">
        <f t="shared" si="210"/>
        <v>0</v>
      </c>
      <c r="M298" s="1105">
        <f t="shared" si="210"/>
        <v>0</v>
      </c>
      <c r="N298" s="1106">
        <f t="shared" si="210"/>
        <v>0</v>
      </c>
      <c r="O298" s="1107">
        <f t="shared" si="211"/>
        <v>0</v>
      </c>
    </row>
    <row r="299" spans="1:15" hidden="1" x14ac:dyDescent="0.25">
      <c r="A299" s="1122" t="str">
        <f t="shared" si="209"/>
        <v>Promotor 8</v>
      </c>
      <c r="B299" s="1123"/>
      <c r="C299" s="1104">
        <f t="shared" si="210"/>
        <v>0</v>
      </c>
      <c r="D299" s="1105">
        <f t="shared" si="210"/>
        <v>0</v>
      </c>
      <c r="E299" s="1105">
        <f t="shared" si="210"/>
        <v>0</v>
      </c>
      <c r="F299" s="1105">
        <f t="shared" si="210"/>
        <v>0</v>
      </c>
      <c r="G299" s="1105">
        <f t="shared" si="210"/>
        <v>0</v>
      </c>
      <c r="H299" s="1105">
        <f t="shared" si="210"/>
        <v>0</v>
      </c>
      <c r="I299" s="1105">
        <f t="shared" si="210"/>
        <v>0</v>
      </c>
      <c r="J299" s="1105">
        <f t="shared" si="210"/>
        <v>0</v>
      </c>
      <c r="K299" s="1105">
        <f t="shared" si="210"/>
        <v>0</v>
      </c>
      <c r="L299" s="1105">
        <f t="shared" si="210"/>
        <v>0</v>
      </c>
      <c r="M299" s="1105">
        <f t="shared" si="210"/>
        <v>0</v>
      </c>
      <c r="N299" s="1106">
        <f t="shared" si="210"/>
        <v>0</v>
      </c>
      <c r="O299" s="1107">
        <f t="shared" si="211"/>
        <v>0</v>
      </c>
    </row>
    <row r="300" spans="1:15" hidden="1" x14ac:dyDescent="0.25">
      <c r="A300" s="1122" t="str">
        <f t="shared" si="209"/>
        <v>Promotor 9</v>
      </c>
      <c r="B300" s="1123"/>
      <c r="C300" s="1104">
        <f t="shared" si="210"/>
        <v>0</v>
      </c>
      <c r="D300" s="1105">
        <f t="shared" si="210"/>
        <v>0</v>
      </c>
      <c r="E300" s="1105">
        <f t="shared" si="210"/>
        <v>0</v>
      </c>
      <c r="F300" s="1105">
        <f t="shared" si="210"/>
        <v>0</v>
      </c>
      <c r="G300" s="1105">
        <f t="shared" si="210"/>
        <v>0</v>
      </c>
      <c r="H300" s="1105">
        <f t="shared" si="210"/>
        <v>0</v>
      </c>
      <c r="I300" s="1105">
        <f t="shared" si="210"/>
        <v>0</v>
      </c>
      <c r="J300" s="1105">
        <f t="shared" si="210"/>
        <v>0</v>
      </c>
      <c r="K300" s="1105">
        <f t="shared" si="210"/>
        <v>0</v>
      </c>
      <c r="L300" s="1105">
        <f t="shared" si="210"/>
        <v>0</v>
      </c>
      <c r="M300" s="1105">
        <f t="shared" si="210"/>
        <v>0</v>
      </c>
      <c r="N300" s="1106">
        <f t="shared" si="210"/>
        <v>0</v>
      </c>
      <c r="O300" s="1107">
        <f t="shared" si="211"/>
        <v>0</v>
      </c>
    </row>
    <row r="301" spans="1:15" hidden="1" x14ac:dyDescent="0.25">
      <c r="A301" s="1124" t="str">
        <f t="shared" si="209"/>
        <v>Promotor 10</v>
      </c>
      <c r="B301" s="1125"/>
      <c r="C301" s="1111">
        <f t="shared" si="210"/>
        <v>0</v>
      </c>
      <c r="D301" s="1112">
        <f t="shared" si="210"/>
        <v>0</v>
      </c>
      <c r="E301" s="1112">
        <f t="shared" si="210"/>
        <v>0</v>
      </c>
      <c r="F301" s="1112">
        <f t="shared" si="210"/>
        <v>0</v>
      </c>
      <c r="G301" s="1112">
        <f t="shared" si="210"/>
        <v>0</v>
      </c>
      <c r="H301" s="1112">
        <f t="shared" si="210"/>
        <v>0</v>
      </c>
      <c r="I301" s="1112">
        <f t="shared" si="210"/>
        <v>0</v>
      </c>
      <c r="J301" s="1112">
        <f t="shared" si="210"/>
        <v>0</v>
      </c>
      <c r="K301" s="1112">
        <f t="shared" si="210"/>
        <v>0</v>
      </c>
      <c r="L301" s="1112">
        <f t="shared" si="210"/>
        <v>0</v>
      </c>
      <c r="M301" s="1112">
        <f t="shared" si="210"/>
        <v>0</v>
      </c>
      <c r="N301" s="1113">
        <f t="shared" si="210"/>
        <v>0</v>
      </c>
      <c r="O301" s="1114">
        <f t="shared" si="211"/>
        <v>0</v>
      </c>
    </row>
    <row r="302" spans="1:15" x14ac:dyDescent="0.25">
      <c r="C302" s="12"/>
      <c r="D302" s="12"/>
      <c r="E302" s="12"/>
      <c r="F302" s="12"/>
      <c r="G302" s="12"/>
      <c r="H302" s="12"/>
      <c r="I302" s="12"/>
      <c r="J302" s="12"/>
      <c r="K302" s="12"/>
      <c r="L302" s="12"/>
      <c r="M302" s="12"/>
      <c r="N302" s="12"/>
      <c r="O302" s="12"/>
    </row>
  </sheetData>
  <sheetProtection sheet="1" objects="1" scenarios="1"/>
  <mergeCells count="75">
    <mergeCell ref="A291:B291"/>
    <mergeCell ref="A235:B235"/>
    <mergeCell ref="A246:B246"/>
    <mergeCell ref="A257:B257"/>
    <mergeCell ref="A258:B258"/>
    <mergeCell ref="A222:B222"/>
    <mergeCell ref="A223:B223"/>
    <mergeCell ref="A224:B224"/>
    <mergeCell ref="A269:B269"/>
    <mergeCell ref="A280:B280"/>
    <mergeCell ref="A216:B216"/>
    <mergeCell ref="A217:B217"/>
    <mergeCell ref="A218:B218"/>
    <mergeCell ref="A219:B219"/>
    <mergeCell ref="A220:B220"/>
    <mergeCell ref="A211:B211"/>
    <mergeCell ref="A212:B212"/>
    <mergeCell ref="A213:B213"/>
    <mergeCell ref="A214:B214"/>
    <mergeCell ref="A215:B215"/>
    <mergeCell ref="A203:B203"/>
    <mergeCell ref="A205:B205"/>
    <mergeCell ref="A206:B206"/>
    <mergeCell ref="A207:B207"/>
    <mergeCell ref="A210:B210"/>
    <mergeCell ref="A156:B156"/>
    <mergeCell ref="A157:B157"/>
    <mergeCell ref="A168:B168"/>
    <mergeCell ref="A179:B179"/>
    <mergeCell ref="A190:B190"/>
    <mergeCell ref="A121:B121"/>
    <mergeCell ref="A122:B122"/>
    <mergeCell ref="A123:B123"/>
    <mergeCell ref="A134:B134"/>
    <mergeCell ref="A145:B145"/>
    <mergeCell ref="A115:B115"/>
    <mergeCell ref="A116:B116"/>
    <mergeCell ref="A117:B117"/>
    <mergeCell ref="A118:B118"/>
    <mergeCell ref="A119:B119"/>
    <mergeCell ref="A110:B110"/>
    <mergeCell ref="A111:B111"/>
    <mergeCell ref="A112:B112"/>
    <mergeCell ref="A113:B113"/>
    <mergeCell ref="A114:B114"/>
    <mergeCell ref="A102:B102"/>
    <mergeCell ref="A104:B104"/>
    <mergeCell ref="A105:B105"/>
    <mergeCell ref="A106:B106"/>
    <mergeCell ref="A109:B109"/>
    <mergeCell ref="A55:B55"/>
    <mergeCell ref="A56:B56"/>
    <mergeCell ref="A67:B67"/>
    <mergeCell ref="A78:B78"/>
    <mergeCell ref="A89:B89"/>
    <mergeCell ref="A20:B20"/>
    <mergeCell ref="A21:B21"/>
    <mergeCell ref="A22:B22"/>
    <mergeCell ref="A33:B33"/>
    <mergeCell ref="A44:B44"/>
    <mergeCell ref="A14:B14"/>
    <mergeCell ref="A15:B15"/>
    <mergeCell ref="A16:B16"/>
    <mergeCell ref="A17:B17"/>
    <mergeCell ref="A18:B18"/>
    <mergeCell ref="A9:B9"/>
    <mergeCell ref="A10:B10"/>
    <mergeCell ref="A11:B11"/>
    <mergeCell ref="A12:B12"/>
    <mergeCell ref="A13:B13"/>
    <mergeCell ref="A1:B1"/>
    <mergeCell ref="A3:B3"/>
    <mergeCell ref="A4:B4"/>
    <mergeCell ref="A5:B5"/>
    <mergeCell ref="A8:B8"/>
  </mergeCells>
  <phoneticPr fontId="22" type="noConversion"/>
  <pageMargins left="0.74791666666666667" right="0.74791666666666667" top="0.98402777777777783" bottom="0.98402777777777783" header="0.51180555555555562" footer="0.51180555555555562"/>
  <pageSetup paperSize="9" firstPageNumber="0" orientation="landscape" horizontalDpi="300" verticalDpi="300" r:id="rId1"/>
  <headerFooter alignWithMargins="0"/>
  <rowBreaks count="2" manualBreakCount="2">
    <brk id="101" max="16383" man="1"/>
    <brk id="126" max="16383"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8">
    <pageSetUpPr fitToPage="1"/>
  </sheetPr>
  <dimension ref="A1:P289"/>
  <sheetViews>
    <sheetView workbookViewId="0">
      <selection activeCell="C36" sqref="C36"/>
    </sheetView>
  </sheetViews>
  <sheetFormatPr defaultColWidth="11.453125" defaultRowHeight="12.5" x14ac:dyDescent="0.25"/>
  <cols>
    <col min="1" max="1" width="11.7265625" customWidth="1"/>
    <col min="2" max="2" width="12.7265625" customWidth="1"/>
    <col min="3" max="3" width="12.26953125" customWidth="1"/>
  </cols>
  <sheetData>
    <row r="1" spans="1:15" ht="13" x14ac:dyDescent="0.3">
      <c r="A1" s="1834" t="s">
        <v>17</v>
      </c>
      <c r="B1" s="1834"/>
    </row>
    <row r="3" spans="1:15" ht="13" x14ac:dyDescent="0.3">
      <c r="A3" s="1887"/>
      <c r="B3" s="1887"/>
      <c r="C3" s="1126" t="s">
        <v>208</v>
      </c>
      <c r="D3" s="1126" t="s">
        <v>209</v>
      </c>
      <c r="E3" s="1126" t="s">
        <v>219</v>
      </c>
      <c r="F3" s="1126" t="s">
        <v>220</v>
      </c>
      <c r="G3" s="1126" t="s">
        <v>221</v>
      </c>
      <c r="H3" s="1127" t="s">
        <v>77</v>
      </c>
    </row>
    <row r="4" spans="1:15" ht="13" x14ac:dyDescent="0.3">
      <c r="A4" s="1883" t="s">
        <v>210</v>
      </c>
      <c r="B4" s="1883"/>
      <c r="C4" s="226">
        <f>'Introducció dades'!C334</f>
        <v>0</v>
      </c>
      <c r="D4" s="226">
        <f>'Introducció dades'!D334</f>
        <v>0</v>
      </c>
      <c r="E4" s="226">
        <f>'Introducció dades'!E334</f>
        <v>0</v>
      </c>
      <c r="F4" s="226">
        <f>'Introducció dades'!F334</f>
        <v>0</v>
      </c>
      <c r="G4" s="226">
        <f>'Introducció dades'!G334</f>
        <v>0</v>
      </c>
      <c r="H4" s="1014">
        <f>SUM(C4:G4)</f>
        <v>0</v>
      </c>
    </row>
    <row r="5" spans="1:15" ht="13" x14ac:dyDescent="0.3">
      <c r="A5" s="1883" t="s">
        <v>194</v>
      </c>
      <c r="B5" s="1883"/>
      <c r="C5" s="229" t="str">
        <f>'Introducció dades'!C335</f>
        <v>GENER</v>
      </c>
      <c r="D5" s="229" t="str">
        <f>'Introducció dades'!D335</f>
        <v>GENER</v>
      </c>
      <c r="E5" s="229" t="str">
        <f>'Introducció dades'!E335</f>
        <v>GENER</v>
      </c>
      <c r="F5" s="229" t="str">
        <f>'Introducció dades'!F335</f>
        <v>GENER</v>
      </c>
      <c r="G5" s="229" t="str">
        <f>'Introducció dades'!G335</f>
        <v>GENER</v>
      </c>
      <c r="H5" s="920"/>
    </row>
    <row r="6" spans="1:15" ht="13" x14ac:dyDescent="0.3">
      <c r="A6" s="1883" t="s">
        <v>195</v>
      </c>
      <c r="B6" s="1883"/>
      <c r="C6" s="229" t="str">
        <f>'Introducció dades'!C336</f>
        <v>GENER</v>
      </c>
      <c r="D6" s="229" t="str">
        <f>'Introducció dades'!D336</f>
        <v>GENER</v>
      </c>
      <c r="E6" s="229" t="str">
        <f>'Introducció dades'!E336</f>
        <v>GENER</v>
      </c>
      <c r="F6" s="229" t="str">
        <f>'Introducció dades'!F336</f>
        <v>GENER</v>
      </c>
      <c r="G6" s="229" t="str">
        <f>'Introducció dades'!G336</f>
        <v>GENER</v>
      </c>
      <c r="H6" s="920"/>
    </row>
    <row r="7" spans="1:15" ht="13" x14ac:dyDescent="0.3">
      <c r="A7" s="1883" t="s">
        <v>369</v>
      </c>
      <c r="B7" s="1883"/>
      <c r="C7" s="1128">
        <f>IF(C5=$C32,12)+IF(C5=$D32,11)+IF(C5=$E32,10)+IF(C5=$F32,9)+IF(C5=$G32,8)+IF(C5=$H32,7)+IF(C5=$I32,6)+IF(C5=$J32,5)+IF(C5=$K32,4)+IF(C5=$L32,3)+IF(C5=$M32,2)+IF(C5=$M32,1)</f>
        <v>12</v>
      </c>
      <c r="D7" s="1128">
        <f>IF(D5=$C32,12)+IF(D5=$D32,11)+IF(D5=$E32,10)+IF(D5=$F32,9)+IF(D5=$G32,8)+IF(D5=$H32,7)+IF(D5=$I32,6)+IF(D5=$J32,5)+IF(D5=$K32,4)+IF(D5=$L32,3)+IF(D5=$M32,2)+IF(D5=$M32,1)</f>
        <v>12</v>
      </c>
      <c r="E7" s="1128">
        <f>IF(E5=$C32,12)+IF(E5=$D32,11)+IF(E5=$E32,10)+IF(E5=$F32,9)+IF(E5=$G32,8)+IF(E5=$H32,7)+IF(E5=$I32,6)+IF(E5=$J32,5)+IF(E5=$K32,4)+IF(E5=$L32,3)+IF(E5=$M32,2)+IF(E5=$M32,1)</f>
        <v>12</v>
      </c>
      <c r="F7" s="1128">
        <f>IF(F5=$C32,12)+IF(F5=$D32,11)+IF(F5=$E32,10)+IF(F5=$F32,9)+IF(F5=$G32,8)+IF(F5=$H32,7)+IF(F5=$I32,6)+IF(F5=$J32,5)+IF(F5=$K32,4)+IF(F5=$L32,3)+IF(F5=$M32,2)+IF(F5=$M32,1)</f>
        <v>12</v>
      </c>
      <c r="G7" s="1128">
        <f>IF(G5=$C32,12)+IF(G5=$D32,11)+IF(G5=$E32,10)+IF(G5=$F32,9)+IF(G5=$G32,8)+IF(G5=$H32,7)+IF(G5=$I32,6)+IF(G5=$J32,5)+IF(G5=$K32,4)+IF(G5=$L32,3)+IF(G5=$M32,2)+IF(G5=$M32,1)</f>
        <v>12</v>
      </c>
      <c r="H7" s="920"/>
    </row>
    <row r="8" spans="1:15" ht="13" x14ac:dyDescent="0.3">
      <c r="A8" s="1880" t="s">
        <v>370</v>
      </c>
      <c r="B8" s="1880"/>
      <c r="C8" s="1129">
        <f>IF(C6=$C32,12)+IF(C6=$D32,11)+IF(C6=$E32,10)+IF(C6=$F32,9)+IF(C6=$G32,8)+IF(C6=$H32,7)+IF(C6=$I32,6)+IF(C6=$J32,5)+IF(C6=$K32,4)+IF(C6=$L32,3)+IF(C6=$M32,2)+IF(C6=$M32,1)</f>
        <v>12</v>
      </c>
      <c r="D8" s="1129">
        <f>IF(D6=$C32,12)+IF(D6=$D32,11)+IF(D6=$E32,10)+IF(D6=$F32,9)+IF(D6=$G32,8)+IF(D6=$H32,7)+IF(D6=$I32,6)+IF(D6=$J32,5)+IF(D6=$K32,4)+IF(D6=$L32,3)+IF(D6=$M32,2)+IF(D6=$M32,1)</f>
        <v>12</v>
      </c>
      <c r="E8" s="1129">
        <f>IF(E6=$C32,12)+IF(E6=$D32,11)+IF(E6=$E32,10)+IF(E6=$F32,9)+IF(E6=$G32,8)+IF(E6=$H32,7)+IF(E6=$I32,6)+IF(E6=$J32,5)+IF(E6=$K32,4)+IF(E6=$L32,3)+IF(E6=$M32,2)+IF(E6=$M32,1)</f>
        <v>12</v>
      </c>
      <c r="F8" s="1129">
        <f>IF(F6=$C32,12)+IF(F6=$D32,11)+IF(F6=$E32,10)+IF(F6=$F32,9)+IF(F6=$G32,8)+IF(F6=$H32,7)+IF(F6=$I32,6)+IF(F6=$J32,5)+IF(F6=$K32,4)+IF(F6=$L32,3)+IF(F6=$M32,2)+IF(F6=$M32,1)</f>
        <v>12</v>
      </c>
      <c r="G8" s="1129">
        <f>IF(G6=$C32,12)+IF(G6=$D32,11)+IF(G6=$E32,10)+IF(G6=$F32,9)+IF(G6=$G32,8)+IF(G6=$H32,7)+IF(G6=$I32,6)+IF(G6=$J32,5)+IF(G6=$K32,4)+IF(G6=$L32,3)+IF(G6=$M32,2)+IF(G6=$M32,1)</f>
        <v>12</v>
      </c>
      <c r="H8" s="1130"/>
    </row>
    <row r="9" spans="1:15" ht="13" x14ac:dyDescent="0.3">
      <c r="A9" s="1880" t="s">
        <v>211</v>
      </c>
      <c r="B9" s="1880"/>
      <c r="C9" s="1131"/>
      <c r="D9" s="1131"/>
      <c r="E9" s="1131"/>
      <c r="F9" s="1131"/>
      <c r="G9" s="1131"/>
      <c r="H9" s="1129"/>
    </row>
    <row r="10" spans="1:15" ht="13" x14ac:dyDescent="0.3">
      <c r="A10" s="1888" t="s">
        <v>212</v>
      </c>
      <c r="B10" s="1888"/>
      <c r="C10" s="1132">
        <f>'Introducció dades'!C338</f>
        <v>0</v>
      </c>
      <c r="D10" s="1132">
        <f>'Introducció dades'!D338</f>
        <v>0</v>
      </c>
      <c r="E10" s="1132">
        <f>'Introducció dades'!E338</f>
        <v>0</v>
      </c>
      <c r="F10" s="1132">
        <f>'Introducció dades'!F338</f>
        <v>0</v>
      </c>
      <c r="G10" s="1132">
        <f>'Introducció dades'!G338</f>
        <v>0</v>
      </c>
      <c r="H10" s="1133"/>
    </row>
    <row r="11" spans="1:15" x14ac:dyDescent="0.25">
      <c r="A11" s="1881" t="s">
        <v>371</v>
      </c>
      <c r="B11" s="1881"/>
      <c r="C11" s="1134">
        <f>C10*C7</f>
        <v>0</v>
      </c>
      <c r="D11" s="1134">
        <f>D10*D7</f>
        <v>0</v>
      </c>
      <c r="E11" s="1134">
        <f>E10*E7</f>
        <v>0</v>
      </c>
      <c r="F11" s="1134">
        <f>F10*F7</f>
        <v>0</v>
      </c>
      <c r="G11" s="1134">
        <f>G10*G7</f>
        <v>0</v>
      </c>
      <c r="H11" s="1134"/>
    </row>
    <row r="12" spans="1:15" x14ac:dyDescent="0.25">
      <c r="A12" s="1882" t="s">
        <v>372</v>
      </c>
      <c r="B12" s="1882"/>
      <c r="C12" s="1135">
        <f>C4*C11</f>
        <v>0</v>
      </c>
      <c r="D12" s="1135">
        <f>D4*D11</f>
        <v>0</v>
      </c>
      <c r="E12" s="1135">
        <f>E4*E11</f>
        <v>0</v>
      </c>
      <c r="F12" s="1135">
        <f>F4*F11</f>
        <v>0</v>
      </c>
      <c r="G12" s="1135">
        <f>G4*G11</f>
        <v>0</v>
      </c>
      <c r="H12" s="1135">
        <f>SUM(C12:G12)</f>
        <v>0</v>
      </c>
    </row>
    <row r="13" spans="1:15" x14ac:dyDescent="0.25">
      <c r="A13" s="1889" t="s">
        <v>198</v>
      </c>
      <c r="B13" s="1889"/>
      <c r="C13" s="1116"/>
      <c r="D13" s="1116"/>
      <c r="E13" s="1116"/>
      <c r="F13" s="1116"/>
      <c r="G13" s="1116"/>
      <c r="H13" s="1116"/>
    </row>
    <row r="14" spans="1:15" ht="13" x14ac:dyDescent="0.3">
      <c r="A14" s="1890" t="s">
        <v>199</v>
      </c>
      <c r="B14" s="1890"/>
      <c r="C14" s="1074">
        <f>'Introducció dades'!C340</f>
        <v>0</v>
      </c>
      <c r="D14" s="1074">
        <f>'Introducció dades'!D340</f>
        <v>0</v>
      </c>
      <c r="E14" s="1074">
        <f>'Introducció dades'!E340</f>
        <v>0</v>
      </c>
      <c r="F14" s="1074">
        <f>'Introducció dades'!F340</f>
        <v>0</v>
      </c>
      <c r="G14" s="1074">
        <f>'Introducció dades'!G340</f>
        <v>0</v>
      </c>
      <c r="H14" s="1075">
        <f>SUM(C14:G14)</f>
        <v>0</v>
      </c>
      <c r="J14" s="7"/>
      <c r="K14" s="7"/>
      <c r="L14" s="7"/>
      <c r="M14" s="7"/>
      <c r="N14" s="7"/>
      <c r="O14" s="7"/>
    </row>
    <row r="15" spans="1:15" ht="13" x14ac:dyDescent="0.3">
      <c r="A15" s="1890" t="s">
        <v>200</v>
      </c>
      <c r="B15" s="1890"/>
      <c r="C15" s="1074">
        <f>'Introducció dades'!C341</f>
        <v>0</v>
      </c>
      <c r="D15" s="1074">
        <f>'Introducció dades'!D341</f>
        <v>0</v>
      </c>
      <c r="E15" s="1074">
        <f>'Introducció dades'!E341</f>
        <v>0</v>
      </c>
      <c r="F15" s="1074">
        <f>'Introducció dades'!F341</f>
        <v>0</v>
      </c>
      <c r="G15" s="1074">
        <f>'Introducció dades'!G341</f>
        <v>0</v>
      </c>
      <c r="H15" s="1075">
        <f>H16</f>
        <v>0</v>
      </c>
      <c r="J15" s="7"/>
      <c r="K15" s="7"/>
      <c r="L15" s="7"/>
      <c r="M15" s="7"/>
      <c r="N15" s="7"/>
      <c r="O15" s="7"/>
    </row>
    <row r="16" spans="1:15" ht="13" x14ac:dyDescent="0.3">
      <c r="A16" s="1891" t="s">
        <v>359</v>
      </c>
      <c r="B16" s="1891"/>
      <c r="C16" s="1076">
        <f>C14*C15</f>
        <v>0</v>
      </c>
      <c r="D16" s="1076">
        <f>D14*D15</f>
        <v>0</v>
      </c>
      <c r="E16" s="1076">
        <f>E14*E15</f>
        <v>0</v>
      </c>
      <c r="F16" s="1076">
        <f>F14*F15</f>
        <v>0</v>
      </c>
      <c r="G16" s="1076">
        <f>G14*G15</f>
        <v>0</v>
      </c>
      <c r="H16" s="1076">
        <f>SUM(C16:G16)</f>
        <v>0</v>
      </c>
      <c r="J16" s="7"/>
      <c r="K16" s="7"/>
      <c r="L16" s="7"/>
      <c r="M16" s="7"/>
      <c r="N16" s="7"/>
      <c r="O16" s="7"/>
    </row>
    <row r="17" spans="1:15" ht="13" x14ac:dyDescent="0.3">
      <c r="A17" s="1880" t="s">
        <v>215</v>
      </c>
      <c r="B17" s="1880"/>
      <c r="C17" s="1136">
        <f>'Introducció dades'!C342</f>
        <v>12</v>
      </c>
      <c r="D17" s="1136">
        <f>'Introducció dades'!D342</f>
        <v>12</v>
      </c>
      <c r="E17" s="1136">
        <f>'Introducció dades'!E342</f>
        <v>12</v>
      </c>
      <c r="F17" s="1136">
        <f>'Introducció dades'!F342</f>
        <v>12</v>
      </c>
      <c r="G17" s="1136">
        <f>'Introducció dades'!G342</f>
        <v>12</v>
      </c>
      <c r="H17" s="1137"/>
      <c r="J17" s="7"/>
      <c r="K17" s="7"/>
      <c r="L17" s="7"/>
      <c r="M17" s="7"/>
      <c r="N17" s="7"/>
      <c r="O17" s="7"/>
    </row>
    <row r="18" spans="1:15" ht="13" x14ac:dyDescent="0.3">
      <c r="A18" s="1880" t="s">
        <v>373</v>
      </c>
      <c r="B18" s="1880"/>
      <c r="C18" s="1138">
        <f>C10*C4*12/C17</f>
        <v>0</v>
      </c>
      <c r="D18" s="1138">
        <f>D10*D4*12/D17</f>
        <v>0</v>
      </c>
      <c r="E18" s="1138">
        <f>E10*E4*12/E17</f>
        <v>0</v>
      </c>
      <c r="F18" s="1138">
        <f>F10*F4*12/F17</f>
        <v>0</v>
      </c>
      <c r="G18" s="1138">
        <f>G10*G4*12/G17</f>
        <v>0</v>
      </c>
      <c r="H18" s="1138">
        <f>SUM(C18:G18)</f>
        <v>0</v>
      </c>
      <c r="J18" s="7"/>
      <c r="K18" s="7"/>
      <c r="L18" s="7"/>
      <c r="M18" s="7"/>
      <c r="N18" s="7"/>
      <c r="O18" s="7"/>
    </row>
    <row r="19" spans="1:15" ht="13" x14ac:dyDescent="0.3">
      <c r="A19" s="1892" t="s">
        <v>374</v>
      </c>
      <c r="B19" s="1892"/>
      <c r="C19" s="1139">
        <f>IF(C17=12,0)+IF(C17=14,C18/6,0)+IF(C17=15,C18/4,0)</f>
        <v>0</v>
      </c>
      <c r="D19" s="1139">
        <f>IF(D17=12,0)+IF(D17=14,D18/6,0)+IF(D17=15,D18/4,0)</f>
        <v>0</v>
      </c>
      <c r="E19" s="1139">
        <f>IF(E17=12,0)+IF(E17=14,E18/6,0)+IF(E17=15,E18/4,0)</f>
        <v>0</v>
      </c>
      <c r="F19" s="1139">
        <f>IF(F17=12,0)+IF(F17=14,F18/6,0)+IF(F17=15,F18/4,0)</f>
        <v>0</v>
      </c>
      <c r="G19" s="1139">
        <f>IF(G17=12,0)+IF(G17=14,G18/6,0)+IF(G17=15,G18/4,0)</f>
        <v>0</v>
      </c>
      <c r="H19" s="1139">
        <f>SUM(C19:G19)</f>
        <v>0</v>
      </c>
      <c r="J19" s="7"/>
      <c r="K19" s="7"/>
      <c r="L19" s="7"/>
      <c r="M19" s="7"/>
      <c r="N19" s="7"/>
      <c r="O19" s="7"/>
    </row>
    <row r="20" spans="1:15" ht="13" x14ac:dyDescent="0.3">
      <c r="A20" s="1889" t="s">
        <v>201</v>
      </c>
      <c r="B20" s="1889"/>
      <c r="C20" s="1140">
        <f>+C10*C4</f>
        <v>0</v>
      </c>
      <c r="D20" s="1140">
        <f>+D10*D4</f>
        <v>0</v>
      </c>
      <c r="E20" s="1140">
        <f>+E10*E4</f>
        <v>0</v>
      </c>
      <c r="F20" s="1140">
        <f>+F10*F4</f>
        <v>0</v>
      </c>
      <c r="G20" s="1140">
        <f>+G10*G4</f>
        <v>0</v>
      </c>
      <c r="H20" s="12"/>
      <c r="I20" s="7"/>
      <c r="J20" s="7"/>
      <c r="K20" s="7"/>
      <c r="L20" s="7"/>
      <c r="M20" s="7"/>
      <c r="N20" s="7"/>
      <c r="O20" s="7"/>
    </row>
    <row r="21" spans="1:15" ht="13" x14ac:dyDescent="0.3">
      <c r="A21" s="1889" t="s">
        <v>202</v>
      </c>
      <c r="B21" s="1889"/>
      <c r="C21" s="1141"/>
      <c r="D21" s="1141"/>
      <c r="E21" s="1141"/>
      <c r="F21" s="1141"/>
      <c r="G21" s="1141"/>
      <c r="I21" s="7"/>
    </row>
    <row r="22" spans="1:15" ht="13" x14ac:dyDescent="0.3">
      <c r="A22" s="1881" t="s">
        <v>216</v>
      </c>
      <c r="B22" s="1881"/>
      <c r="C22" s="1142">
        <f>'Introducció dades'!C344</f>
        <v>0.33</v>
      </c>
      <c r="D22" s="1142">
        <f>'Introducció dades'!D344</f>
        <v>0.33</v>
      </c>
      <c r="E22" s="1142">
        <f>'Introducció dades'!E344</f>
        <v>0.33</v>
      </c>
      <c r="F22" s="1142">
        <f>'Introducció dades'!F344</f>
        <v>0.33</v>
      </c>
      <c r="G22" s="1142">
        <f>'Introducció dades'!G344</f>
        <v>0.33</v>
      </c>
      <c r="I22" s="7"/>
    </row>
    <row r="23" spans="1:15" ht="13" x14ac:dyDescent="0.3">
      <c r="A23" s="1881" t="s">
        <v>217</v>
      </c>
      <c r="B23" s="1881"/>
      <c r="C23" s="1142">
        <f>'Introducció dades'!C345</f>
        <v>6.3500000000000001E-2</v>
      </c>
      <c r="D23" s="1142">
        <f>'Introducció dades'!D345</f>
        <v>6.3500000000000001E-2</v>
      </c>
      <c r="E23" s="1142">
        <f>'Introducció dades'!E345</f>
        <v>6.3500000000000001E-2</v>
      </c>
      <c r="F23" s="1142">
        <f>'Introducció dades'!F345</f>
        <v>6.3500000000000001E-2</v>
      </c>
      <c r="G23" s="1142">
        <f>'Introducció dades'!G345</f>
        <v>6.3500000000000001E-2</v>
      </c>
      <c r="H23" s="1127" t="s">
        <v>77</v>
      </c>
      <c r="I23" s="1143"/>
    </row>
    <row r="24" spans="1:15" ht="13" x14ac:dyDescent="0.3">
      <c r="A24" s="1889" t="s">
        <v>360</v>
      </c>
      <c r="B24" s="1889"/>
      <c r="C24" s="1144"/>
      <c r="D24" s="1144"/>
      <c r="E24" s="1144"/>
      <c r="F24" s="1144"/>
      <c r="G24" s="1144"/>
      <c r="H24" s="1145"/>
      <c r="I24" s="7"/>
    </row>
    <row r="25" spans="1:15" ht="13" x14ac:dyDescent="0.3">
      <c r="A25" s="1881" t="s">
        <v>216</v>
      </c>
      <c r="B25" s="1881"/>
      <c r="C25" s="154">
        <f>C20*C22</f>
        <v>0</v>
      </c>
      <c r="D25" s="154">
        <f>D20*D22</f>
        <v>0</v>
      </c>
      <c r="E25" s="154">
        <f>E20*E22</f>
        <v>0</v>
      </c>
      <c r="F25" s="154">
        <f>F20*F22</f>
        <v>0</v>
      </c>
      <c r="G25" s="154">
        <f>G20*G22</f>
        <v>0</v>
      </c>
      <c r="H25" s="1082">
        <f>SUM(C25:G25)</f>
        <v>0</v>
      </c>
      <c r="I25" s="7"/>
    </row>
    <row r="26" spans="1:15" ht="13" x14ac:dyDescent="0.3">
      <c r="A26" s="1882" t="s">
        <v>375</v>
      </c>
      <c r="B26" s="1882"/>
      <c r="C26" s="1146">
        <f>C20*C23</f>
        <v>0</v>
      </c>
      <c r="D26" s="1146">
        <f>D20*D23</f>
        <v>0</v>
      </c>
      <c r="E26" s="1146">
        <f>E20*E23</f>
        <v>0</v>
      </c>
      <c r="F26" s="1146">
        <f>F20*F23</f>
        <v>0</v>
      </c>
      <c r="G26" s="1146">
        <f>G20*G23</f>
        <v>0</v>
      </c>
      <c r="H26" s="1086">
        <f>SUM(C26:G26)</f>
        <v>0</v>
      </c>
      <c r="I26" s="7"/>
    </row>
    <row r="27" spans="1:15" ht="13" x14ac:dyDescent="0.3">
      <c r="A27" s="1893" t="s">
        <v>203</v>
      </c>
      <c r="B27" s="1893"/>
      <c r="C27" s="1147">
        <f>'Introducció dades'!C346</f>
        <v>0</v>
      </c>
      <c r="D27" s="1147">
        <f>'Introducció dades'!D346</f>
        <v>0</v>
      </c>
      <c r="E27" s="1147">
        <f>'Introducció dades'!E346</f>
        <v>0</v>
      </c>
      <c r="F27" s="1147">
        <f>'Introducció dades'!F346</f>
        <v>0</v>
      </c>
      <c r="G27" s="1147">
        <f>'Introducció dades'!G346</f>
        <v>0</v>
      </c>
      <c r="H27" s="1079">
        <f>IF(H12&gt;0,(C12*C27+D12*D27+E12*E27+F12*F27+G12*G27)/H12,0)</f>
        <v>0</v>
      </c>
      <c r="I27" s="7"/>
      <c r="J27" s="7"/>
      <c r="K27" s="7"/>
      <c r="L27" s="7"/>
      <c r="M27" s="7"/>
      <c r="N27" s="7"/>
      <c r="O27" s="7"/>
    </row>
    <row r="28" spans="1:15" ht="13" x14ac:dyDescent="0.3">
      <c r="A28" s="1148"/>
      <c r="B28" s="1148"/>
      <c r="C28" s="1149"/>
      <c r="D28" s="1149"/>
      <c r="E28" s="1149"/>
      <c r="F28" s="1149"/>
      <c r="G28" s="1149"/>
      <c r="H28" s="1150"/>
      <c r="I28" s="7"/>
      <c r="J28" s="7"/>
      <c r="K28" s="7"/>
      <c r="L28" s="7"/>
      <c r="M28" s="7"/>
      <c r="N28" s="7"/>
      <c r="O28" s="7"/>
    </row>
    <row r="29" spans="1:15" ht="13" x14ac:dyDescent="0.3">
      <c r="A29" s="1894" t="s">
        <v>218</v>
      </c>
      <c r="B29" s="1894"/>
      <c r="C29" s="1894"/>
      <c r="D29" s="1149"/>
      <c r="E29" s="1149"/>
      <c r="F29" s="1149"/>
      <c r="G29" s="1149"/>
      <c r="H29" s="1150"/>
      <c r="I29" s="7"/>
      <c r="J29" s="7"/>
      <c r="K29" s="7"/>
      <c r="L29" s="7"/>
      <c r="M29" s="7"/>
      <c r="N29" s="7"/>
      <c r="O29" s="7"/>
    </row>
    <row r="30" spans="1:15" ht="13" x14ac:dyDescent="0.3">
      <c r="A30" s="1014" t="str">
        <f>+'Introducció dades'!C349</f>
        <v>JUNY</v>
      </c>
      <c r="B30" s="1014" t="str">
        <f>+'Introducció dades'!D349</f>
        <v>DESEMBRE</v>
      </c>
      <c r="C30" s="1151">
        <f>'Introducció dades'!E349</f>
        <v>0</v>
      </c>
      <c r="D30" s="1149"/>
      <c r="E30" s="1149"/>
      <c r="F30" s="1149"/>
      <c r="G30" s="1149"/>
      <c r="H30" s="1150"/>
      <c r="I30" s="7"/>
      <c r="J30" s="7"/>
      <c r="K30" s="7"/>
      <c r="L30" s="7"/>
      <c r="M30" s="7"/>
      <c r="N30" s="7"/>
      <c r="O30" s="7"/>
    </row>
    <row r="32" spans="1:15" ht="13" x14ac:dyDescent="0.3">
      <c r="C32" s="1080" t="str">
        <f>VARIABLES!B12</f>
        <v>GENER</v>
      </c>
      <c r="D32" s="1080" t="str">
        <f>VARIABLES!C12</f>
        <v>FEBRER</v>
      </c>
      <c r="E32" s="1080" t="str">
        <f>VARIABLES!D12</f>
        <v>MARÇ</v>
      </c>
      <c r="F32" s="1080" t="str">
        <f>VARIABLES!E12</f>
        <v>ABRIL</v>
      </c>
      <c r="G32" s="1080" t="str">
        <f>VARIABLES!F12</f>
        <v>MAIG</v>
      </c>
      <c r="H32" s="1080" t="str">
        <f>VARIABLES!G12</f>
        <v>JUNY</v>
      </c>
      <c r="I32" s="1080" t="str">
        <f>VARIABLES!H12</f>
        <v>JULIOL</v>
      </c>
      <c r="J32" s="1080" t="str">
        <f>VARIABLES!I12</f>
        <v>AGOST</v>
      </c>
      <c r="K32" s="1080" t="str">
        <f>VARIABLES!J12</f>
        <v>SETEMBRE</v>
      </c>
      <c r="L32" s="1080" t="str">
        <f>VARIABLES!K12</f>
        <v>OCTUBRE</v>
      </c>
      <c r="M32" s="1080" t="str">
        <f>VARIABLES!L12</f>
        <v>NOVEMBRE</v>
      </c>
      <c r="N32" s="1080" t="str">
        <f>VARIABLES!M12</f>
        <v>DESEMBRE</v>
      </c>
      <c r="O32" s="1080" t="str">
        <f>VARIABLES!N12</f>
        <v>TOTAL</v>
      </c>
    </row>
    <row r="33" spans="1:15" ht="13" x14ac:dyDescent="0.3">
      <c r="A33" s="1880" t="s">
        <v>361</v>
      </c>
      <c r="B33" s="1880"/>
      <c r="C33" s="1081">
        <f>C34+C40+C58</f>
        <v>0</v>
      </c>
      <c r="D33" s="1081">
        <f t="shared" ref="D33:O33" si="0">D34+D40+D58</f>
        <v>0</v>
      </c>
      <c r="E33" s="1081">
        <f t="shared" si="0"/>
        <v>0</v>
      </c>
      <c r="F33" s="1081">
        <f t="shared" si="0"/>
        <v>0</v>
      </c>
      <c r="G33" s="1081">
        <f t="shared" si="0"/>
        <v>0</v>
      </c>
      <c r="H33" s="1081">
        <f t="shared" si="0"/>
        <v>0</v>
      </c>
      <c r="I33" s="1081">
        <f t="shared" si="0"/>
        <v>0</v>
      </c>
      <c r="J33" s="1081">
        <f t="shared" si="0"/>
        <v>0</v>
      </c>
      <c r="K33" s="1081">
        <f t="shared" si="0"/>
        <v>0</v>
      </c>
      <c r="L33" s="1081">
        <f t="shared" si="0"/>
        <v>0</v>
      </c>
      <c r="M33" s="1081">
        <f t="shared" si="0"/>
        <v>0</v>
      </c>
      <c r="N33" s="1081">
        <f t="shared" si="0"/>
        <v>0</v>
      </c>
      <c r="O33" s="1081">
        <f t="shared" si="0"/>
        <v>0</v>
      </c>
    </row>
    <row r="34" spans="1:15" ht="13" x14ac:dyDescent="0.3">
      <c r="A34" s="1881" t="s">
        <v>362</v>
      </c>
      <c r="B34" s="1881"/>
      <c r="C34" s="1082">
        <f>SUM(C35:C39)</f>
        <v>0</v>
      </c>
      <c r="D34" s="1082">
        <f t="shared" ref="D34:N34" si="1">SUM(D35:D39)</f>
        <v>0</v>
      </c>
      <c r="E34" s="1082">
        <f t="shared" si="1"/>
        <v>0</v>
      </c>
      <c r="F34" s="1082">
        <f t="shared" si="1"/>
        <v>0</v>
      </c>
      <c r="G34" s="1082">
        <f t="shared" si="1"/>
        <v>0</v>
      </c>
      <c r="H34" s="1082">
        <f t="shared" si="1"/>
        <v>0</v>
      </c>
      <c r="I34" s="1082">
        <f t="shared" si="1"/>
        <v>0</v>
      </c>
      <c r="J34" s="1082">
        <f t="shared" si="1"/>
        <v>0</v>
      </c>
      <c r="K34" s="1082">
        <f t="shared" si="1"/>
        <v>0</v>
      </c>
      <c r="L34" s="1082">
        <f t="shared" si="1"/>
        <v>0</v>
      </c>
      <c r="M34" s="1082">
        <f t="shared" si="1"/>
        <v>0</v>
      </c>
      <c r="N34" s="1082">
        <f t="shared" si="1"/>
        <v>0</v>
      </c>
      <c r="O34" s="1082">
        <f>SUM(C34:N34)</f>
        <v>0</v>
      </c>
    </row>
    <row r="35" spans="1:15" s="788" customFormat="1" ht="10.5" x14ac:dyDescent="0.25">
      <c r="A35" s="1152" t="str">
        <f>C3</f>
        <v>Categoria A</v>
      </c>
      <c r="B35" s="1153"/>
      <c r="C35" s="1154">
        <f>IF(C$32=C$5,C$18,0)</f>
        <v>0</v>
      </c>
      <c r="D35" s="1154">
        <f>IF(AND(C35=0,D32=$C$5),$C18,0)+IF(C35=0,0,$C18)</f>
        <v>0</v>
      </c>
      <c r="E35" s="1154">
        <f>IF(AND(D35=0,E32=$C$5),$C18,0)+IF(D35=0,0,$C18)</f>
        <v>0</v>
      </c>
      <c r="F35" s="1154">
        <f t="shared" ref="F35:N35" si="2">IF(AND(E35=0,F32=$C$5),$C18,0)+IF(E35=0,0,$C18)</f>
        <v>0</v>
      </c>
      <c r="G35" s="1154">
        <f t="shared" si="2"/>
        <v>0</v>
      </c>
      <c r="H35" s="1154">
        <f t="shared" si="2"/>
        <v>0</v>
      </c>
      <c r="I35" s="1154">
        <f t="shared" si="2"/>
        <v>0</v>
      </c>
      <c r="J35" s="1154">
        <f t="shared" si="2"/>
        <v>0</v>
      </c>
      <c r="K35" s="1154">
        <f t="shared" si="2"/>
        <v>0</v>
      </c>
      <c r="L35" s="1154">
        <f t="shared" si="2"/>
        <v>0</v>
      </c>
      <c r="M35" s="1154">
        <f t="shared" si="2"/>
        <v>0</v>
      </c>
      <c r="N35" s="1154">
        <f t="shared" si="2"/>
        <v>0</v>
      </c>
      <c r="O35" s="1154">
        <f t="shared" ref="O35:O45" si="3">SUM(C35:N35)</f>
        <v>0</v>
      </c>
    </row>
    <row r="36" spans="1:15" s="788" customFormat="1" ht="10.5" x14ac:dyDescent="0.25">
      <c r="A36" s="1152" t="str">
        <f>D3</f>
        <v>Categoria B</v>
      </c>
      <c r="B36" s="1153"/>
      <c r="C36" s="1154">
        <f>IF(C$32=D$5,D$18,0)</f>
        <v>0</v>
      </c>
      <c r="D36" s="1154">
        <f>IF(AND(C36=0,D32=$D$5),$D18,0)+IF(C36=0,0,$D18)</f>
        <v>0</v>
      </c>
      <c r="E36" s="1154">
        <f>IF(AND(D36=0,E32=$D$5),$D18,0)+IF(D36=0,0,$D18)</f>
        <v>0</v>
      </c>
      <c r="F36" s="1154">
        <f t="shared" ref="F36:N36" si="4">IF(AND(E36=0,F32=$D$5),$D18,0)+IF(E36=0,0,$D18)</f>
        <v>0</v>
      </c>
      <c r="G36" s="1154">
        <f t="shared" si="4"/>
        <v>0</v>
      </c>
      <c r="H36" s="1154">
        <f t="shared" si="4"/>
        <v>0</v>
      </c>
      <c r="I36" s="1154">
        <f t="shared" si="4"/>
        <v>0</v>
      </c>
      <c r="J36" s="1154">
        <f t="shared" si="4"/>
        <v>0</v>
      </c>
      <c r="K36" s="1154">
        <f t="shared" si="4"/>
        <v>0</v>
      </c>
      <c r="L36" s="1154">
        <f t="shared" si="4"/>
        <v>0</v>
      </c>
      <c r="M36" s="1154">
        <f t="shared" si="4"/>
        <v>0</v>
      </c>
      <c r="N36" s="1154">
        <f t="shared" si="4"/>
        <v>0</v>
      </c>
      <c r="O36" s="1154">
        <f t="shared" si="3"/>
        <v>0</v>
      </c>
    </row>
    <row r="37" spans="1:15" s="788" customFormat="1" ht="10.5" x14ac:dyDescent="0.25">
      <c r="A37" s="1152" t="str">
        <f>E3</f>
        <v>Categoria C</v>
      </c>
      <c r="B37" s="1153"/>
      <c r="C37" s="1154">
        <f>IF(C$32=E$5,E$18,0)</f>
        <v>0</v>
      </c>
      <c r="D37" s="1154">
        <f>IF(AND(C37=0,D32=$E$5),$E18,0)+IF(C37=0,0,$E18)</f>
        <v>0</v>
      </c>
      <c r="E37" s="1154">
        <f>IF(AND(D37=0,E32=$E$5),$E18,0)+IF(D37=0,0,$E18)</f>
        <v>0</v>
      </c>
      <c r="F37" s="1154">
        <f t="shared" ref="F37:N37" si="5">IF(AND(E37=0,F32=$E$5),$E18,0)+IF(E37=0,0,$E18)</f>
        <v>0</v>
      </c>
      <c r="G37" s="1154">
        <f t="shared" si="5"/>
        <v>0</v>
      </c>
      <c r="H37" s="1154">
        <f t="shared" si="5"/>
        <v>0</v>
      </c>
      <c r="I37" s="1154">
        <f t="shared" si="5"/>
        <v>0</v>
      </c>
      <c r="J37" s="1154">
        <f t="shared" si="5"/>
        <v>0</v>
      </c>
      <c r="K37" s="1154">
        <f t="shared" si="5"/>
        <v>0</v>
      </c>
      <c r="L37" s="1154">
        <f t="shared" si="5"/>
        <v>0</v>
      </c>
      <c r="M37" s="1154">
        <f t="shared" si="5"/>
        <v>0</v>
      </c>
      <c r="N37" s="1154">
        <f t="shared" si="5"/>
        <v>0</v>
      </c>
      <c r="O37" s="1154">
        <f t="shared" si="3"/>
        <v>0</v>
      </c>
    </row>
    <row r="38" spans="1:15" s="788" customFormat="1" ht="10.5" x14ac:dyDescent="0.25">
      <c r="A38" s="1152" t="str">
        <f>F3</f>
        <v>Categoria D</v>
      </c>
      <c r="B38" s="1153"/>
      <c r="C38" s="1154">
        <f>IF(C$32=F$5,F$18,0)</f>
        <v>0</v>
      </c>
      <c r="D38" s="1154">
        <f>IF(AND(C38=0,D32=$F$5),$F18,0)+IF(C38=0,0,$F18)</f>
        <v>0</v>
      </c>
      <c r="E38" s="1154">
        <f>IF(AND(D38=0,E32=$F$5),$F18,0)+IF(D38=0,0,$F18)</f>
        <v>0</v>
      </c>
      <c r="F38" s="1154">
        <f t="shared" ref="F38:N38" si="6">IF(AND(E38=0,F32=$F$5),$F18,0)+IF(E38=0,0,$F18)</f>
        <v>0</v>
      </c>
      <c r="G38" s="1154">
        <f t="shared" si="6"/>
        <v>0</v>
      </c>
      <c r="H38" s="1154">
        <f t="shared" si="6"/>
        <v>0</v>
      </c>
      <c r="I38" s="1154">
        <f t="shared" si="6"/>
        <v>0</v>
      </c>
      <c r="J38" s="1154">
        <f t="shared" si="6"/>
        <v>0</v>
      </c>
      <c r="K38" s="1154">
        <f t="shared" si="6"/>
        <v>0</v>
      </c>
      <c r="L38" s="1154">
        <f t="shared" si="6"/>
        <v>0</v>
      </c>
      <c r="M38" s="1154">
        <f t="shared" si="6"/>
        <v>0</v>
      </c>
      <c r="N38" s="1154">
        <f t="shared" si="6"/>
        <v>0</v>
      </c>
      <c r="O38" s="1154">
        <f t="shared" si="3"/>
        <v>0</v>
      </c>
    </row>
    <row r="39" spans="1:15" s="788" customFormat="1" ht="10.5" x14ac:dyDescent="0.25">
      <c r="A39" s="1152" t="str">
        <f>G3</f>
        <v>Categoria E</v>
      </c>
      <c r="B39" s="1153"/>
      <c r="C39" s="1154">
        <f>IF(C$32=G$5,G$18,0)</f>
        <v>0</v>
      </c>
      <c r="D39" s="1154">
        <f>IF(AND(C39=0,D32=$G$5),$G18,0)+IF(C39=0,0,$G18)</f>
        <v>0</v>
      </c>
      <c r="E39" s="1154">
        <f>IF(AND(D39=0,E32=$G$5),$G18,0)+IF(D39=0,0,$G18)</f>
        <v>0</v>
      </c>
      <c r="F39" s="1154">
        <f t="shared" ref="F39:N39" si="7">IF(AND(E39=0,F32=$G$5),$G18,0)+IF(E39=0,0,$G18)</f>
        <v>0</v>
      </c>
      <c r="G39" s="1154">
        <f t="shared" si="7"/>
        <v>0</v>
      </c>
      <c r="H39" s="1154">
        <f t="shared" si="7"/>
        <v>0</v>
      </c>
      <c r="I39" s="1154">
        <f t="shared" si="7"/>
        <v>0</v>
      </c>
      <c r="J39" s="1154">
        <f t="shared" si="7"/>
        <v>0</v>
      </c>
      <c r="K39" s="1154">
        <f t="shared" si="7"/>
        <v>0</v>
      </c>
      <c r="L39" s="1154">
        <f t="shared" si="7"/>
        <v>0</v>
      </c>
      <c r="M39" s="1154">
        <f t="shared" si="7"/>
        <v>0</v>
      </c>
      <c r="N39" s="1154">
        <f t="shared" si="7"/>
        <v>0</v>
      </c>
      <c r="O39" s="1154">
        <f t="shared" si="3"/>
        <v>0</v>
      </c>
    </row>
    <row r="40" spans="1:15" ht="13" x14ac:dyDescent="0.3">
      <c r="A40" s="1881" t="s">
        <v>374</v>
      </c>
      <c r="B40" s="1881"/>
      <c r="C40" s="1082">
        <f>SUM(C41:C45)</f>
        <v>0</v>
      </c>
      <c r="D40" s="1082">
        <f t="shared" ref="D40:N40" si="8">SUM(D41:D45)</f>
        <v>0</v>
      </c>
      <c r="E40" s="1082">
        <f t="shared" si="8"/>
        <v>0</v>
      </c>
      <c r="F40" s="1082">
        <f t="shared" si="8"/>
        <v>0</v>
      </c>
      <c r="G40" s="1082">
        <f t="shared" si="8"/>
        <v>0</v>
      </c>
      <c r="H40" s="1082">
        <f t="shared" si="8"/>
        <v>0</v>
      </c>
      <c r="I40" s="1082">
        <f t="shared" si="8"/>
        <v>0</v>
      </c>
      <c r="J40" s="1082">
        <f t="shared" si="8"/>
        <v>0</v>
      </c>
      <c r="K40" s="1082">
        <f t="shared" si="8"/>
        <v>0</v>
      </c>
      <c r="L40" s="1082">
        <f t="shared" si="8"/>
        <v>0</v>
      </c>
      <c r="M40" s="1082">
        <f t="shared" si="8"/>
        <v>0</v>
      </c>
      <c r="N40" s="1082">
        <f t="shared" si="8"/>
        <v>0</v>
      </c>
      <c r="O40" s="1082">
        <f t="shared" si="3"/>
        <v>0</v>
      </c>
    </row>
    <row r="41" spans="1:15" s="788" customFormat="1" ht="10.5" hidden="1" x14ac:dyDescent="0.25">
      <c r="A41" s="1152" t="str">
        <f>A35</f>
        <v>Categoria A</v>
      </c>
      <c r="B41" s="1153"/>
      <c r="C41" s="1154">
        <f>IF(OR(C35=0,C19=0),0,C19)</f>
        <v>0</v>
      </c>
      <c r="D41" s="1154">
        <f t="shared" ref="D41:N41" si="9">IF(OR(D35=0,$C$19=0),0,$C$19)</f>
        <v>0</v>
      </c>
      <c r="E41" s="1154">
        <f t="shared" si="9"/>
        <v>0</v>
      </c>
      <c r="F41" s="1154">
        <f t="shared" si="9"/>
        <v>0</v>
      </c>
      <c r="G41" s="1154">
        <f t="shared" si="9"/>
        <v>0</v>
      </c>
      <c r="H41" s="1154">
        <f t="shared" si="9"/>
        <v>0</v>
      </c>
      <c r="I41" s="1154">
        <f t="shared" si="9"/>
        <v>0</v>
      </c>
      <c r="J41" s="1154">
        <f t="shared" si="9"/>
        <v>0</v>
      </c>
      <c r="K41" s="1154">
        <f t="shared" si="9"/>
        <v>0</v>
      </c>
      <c r="L41" s="1154">
        <f t="shared" si="9"/>
        <v>0</v>
      </c>
      <c r="M41" s="1154">
        <f t="shared" si="9"/>
        <v>0</v>
      </c>
      <c r="N41" s="1154">
        <f t="shared" si="9"/>
        <v>0</v>
      </c>
      <c r="O41" s="1154">
        <f t="shared" si="3"/>
        <v>0</v>
      </c>
    </row>
    <row r="42" spans="1:15" s="788" customFormat="1" ht="10.5" hidden="1" x14ac:dyDescent="0.25">
      <c r="A42" s="1152" t="str">
        <f>A36</f>
        <v>Categoria B</v>
      </c>
      <c r="B42" s="1153"/>
      <c r="C42" s="1154">
        <f>IF(OR(C36=0,D19=0),0,D19)</f>
        <v>0</v>
      </c>
      <c r="D42" s="1154">
        <f t="shared" ref="D42:N42" si="10">IF(OR(D36=0,$D$19=0),0,$D$19)</f>
        <v>0</v>
      </c>
      <c r="E42" s="1154">
        <f t="shared" si="10"/>
        <v>0</v>
      </c>
      <c r="F42" s="1154">
        <f t="shared" si="10"/>
        <v>0</v>
      </c>
      <c r="G42" s="1154">
        <f t="shared" si="10"/>
        <v>0</v>
      </c>
      <c r="H42" s="1154">
        <f t="shared" si="10"/>
        <v>0</v>
      </c>
      <c r="I42" s="1154">
        <f t="shared" si="10"/>
        <v>0</v>
      </c>
      <c r="J42" s="1154">
        <f t="shared" si="10"/>
        <v>0</v>
      </c>
      <c r="K42" s="1154">
        <f t="shared" si="10"/>
        <v>0</v>
      </c>
      <c r="L42" s="1154">
        <f t="shared" si="10"/>
        <v>0</v>
      </c>
      <c r="M42" s="1154">
        <f t="shared" si="10"/>
        <v>0</v>
      </c>
      <c r="N42" s="1154">
        <f t="shared" si="10"/>
        <v>0</v>
      </c>
      <c r="O42" s="1154">
        <f t="shared" si="3"/>
        <v>0</v>
      </c>
    </row>
    <row r="43" spans="1:15" s="788" customFormat="1" ht="10.5" hidden="1" x14ac:dyDescent="0.25">
      <c r="A43" s="1152" t="str">
        <f>A37</f>
        <v>Categoria C</v>
      </c>
      <c r="B43" s="1153"/>
      <c r="C43" s="1154">
        <f>IF(OR(C37=0,E19=0),0,E19)</f>
        <v>0</v>
      </c>
      <c r="D43" s="1154">
        <f t="shared" ref="D43:N43" si="11">IF(OR(D37=0,$E$19=0),0,$E$19)</f>
        <v>0</v>
      </c>
      <c r="E43" s="1154">
        <f t="shared" si="11"/>
        <v>0</v>
      </c>
      <c r="F43" s="1154">
        <f t="shared" si="11"/>
        <v>0</v>
      </c>
      <c r="G43" s="1154">
        <f t="shared" si="11"/>
        <v>0</v>
      </c>
      <c r="H43" s="1154">
        <f t="shared" si="11"/>
        <v>0</v>
      </c>
      <c r="I43" s="1154">
        <f t="shared" si="11"/>
        <v>0</v>
      </c>
      <c r="J43" s="1154">
        <f t="shared" si="11"/>
        <v>0</v>
      </c>
      <c r="K43" s="1154">
        <f t="shared" si="11"/>
        <v>0</v>
      </c>
      <c r="L43" s="1154">
        <f t="shared" si="11"/>
        <v>0</v>
      </c>
      <c r="M43" s="1154">
        <f t="shared" si="11"/>
        <v>0</v>
      </c>
      <c r="N43" s="1154">
        <f t="shared" si="11"/>
        <v>0</v>
      </c>
      <c r="O43" s="1154">
        <f t="shared" si="3"/>
        <v>0</v>
      </c>
    </row>
    <row r="44" spans="1:15" s="788" customFormat="1" ht="10.5" hidden="1" x14ac:dyDescent="0.25">
      <c r="A44" s="1152" t="str">
        <f>A38</f>
        <v>Categoria D</v>
      </c>
      <c r="B44" s="1153"/>
      <c r="C44" s="1154">
        <f>IF(OR(C38=0,F19=0),0,F19)</f>
        <v>0</v>
      </c>
      <c r="D44" s="1154">
        <f t="shared" ref="D44:N44" si="12">IF(OR(D38=0,$F$19=0),0,$F$19)</f>
        <v>0</v>
      </c>
      <c r="E44" s="1154">
        <f t="shared" si="12"/>
        <v>0</v>
      </c>
      <c r="F44" s="1154">
        <f t="shared" si="12"/>
        <v>0</v>
      </c>
      <c r="G44" s="1154">
        <f t="shared" si="12"/>
        <v>0</v>
      </c>
      <c r="H44" s="1154">
        <f t="shared" si="12"/>
        <v>0</v>
      </c>
      <c r="I44" s="1154">
        <f t="shared" si="12"/>
        <v>0</v>
      </c>
      <c r="J44" s="1154">
        <f t="shared" si="12"/>
        <v>0</v>
      </c>
      <c r="K44" s="1154">
        <f t="shared" si="12"/>
        <v>0</v>
      </c>
      <c r="L44" s="1154">
        <f t="shared" si="12"/>
        <v>0</v>
      </c>
      <c r="M44" s="1154">
        <f t="shared" si="12"/>
        <v>0</v>
      </c>
      <c r="N44" s="1154">
        <f t="shared" si="12"/>
        <v>0</v>
      </c>
      <c r="O44" s="1154">
        <f t="shared" si="3"/>
        <v>0</v>
      </c>
    </row>
    <row r="45" spans="1:15" s="788" customFormat="1" ht="10.5" hidden="1" x14ac:dyDescent="0.25">
      <c r="A45" s="1152" t="str">
        <f>A39</f>
        <v>Categoria E</v>
      </c>
      <c r="B45" s="1153"/>
      <c r="C45" s="1154">
        <f>IF(OR(C39=0,G19=0),0,G19)</f>
        <v>0</v>
      </c>
      <c r="D45" s="1154">
        <f t="shared" ref="D45:I45" si="13">IF(OR(D39=0,$G$19=0),0,$G$19)</f>
        <v>0</v>
      </c>
      <c r="E45" s="1154">
        <f t="shared" si="13"/>
        <v>0</v>
      </c>
      <c r="F45" s="1154">
        <f t="shared" si="13"/>
        <v>0</v>
      </c>
      <c r="G45" s="1154">
        <f t="shared" si="13"/>
        <v>0</v>
      </c>
      <c r="H45" s="1154">
        <f t="shared" si="13"/>
        <v>0</v>
      </c>
      <c r="I45" s="1154">
        <f t="shared" si="13"/>
        <v>0</v>
      </c>
      <c r="J45" s="1154">
        <f>IF(OR(J39=0,$G$19=0),0,$G$19)</f>
        <v>0</v>
      </c>
      <c r="K45" s="1154">
        <f>IF(OR(K39=0,$G$19=0),0,$G$19)</f>
        <v>0</v>
      </c>
      <c r="L45" s="1154">
        <f>IF(OR(L39=0,$G$19=0),0,$G$19)</f>
        <v>0</v>
      </c>
      <c r="M45" s="1154">
        <f>IF(OR(M39=0,$G$19=0),0,$G$19)</f>
        <v>0</v>
      </c>
      <c r="N45" s="1154">
        <f>IF(OR(N39=0,$G$19=0),0,$G$19)</f>
        <v>0</v>
      </c>
      <c r="O45" s="1154">
        <f t="shared" si="3"/>
        <v>0</v>
      </c>
    </row>
    <row r="46" spans="1:15" s="788" customFormat="1" ht="10.5" x14ac:dyDescent="0.25">
      <c r="A46" s="1895" t="s">
        <v>376</v>
      </c>
      <c r="B46" s="1895"/>
      <c r="C46" s="1085">
        <f>SUM(C47:C51)</f>
        <v>0</v>
      </c>
      <c r="D46" s="1085">
        <f t="shared" ref="D46:N46" si="14">SUM(D47:D51)</f>
        <v>0</v>
      </c>
      <c r="E46" s="1085">
        <f t="shared" si="14"/>
        <v>0</v>
      </c>
      <c r="F46" s="1085">
        <f t="shared" si="14"/>
        <v>0</v>
      </c>
      <c r="G46" s="1085">
        <f t="shared" si="14"/>
        <v>0</v>
      </c>
      <c r="H46" s="1085">
        <f t="shared" si="14"/>
        <v>0</v>
      </c>
      <c r="I46" s="1085">
        <f t="shared" si="14"/>
        <v>0</v>
      </c>
      <c r="J46" s="1085">
        <f t="shared" si="14"/>
        <v>0</v>
      </c>
      <c r="K46" s="1085">
        <f t="shared" si="14"/>
        <v>0</v>
      </c>
      <c r="L46" s="1085">
        <f t="shared" si="14"/>
        <v>0</v>
      </c>
      <c r="M46" s="1085">
        <f t="shared" si="14"/>
        <v>0</v>
      </c>
      <c r="N46" s="1085">
        <f t="shared" si="14"/>
        <v>0</v>
      </c>
      <c r="O46" s="1085">
        <f>SUM(O47:O51)</f>
        <v>0</v>
      </c>
    </row>
    <row r="47" spans="1:15" s="788" customFormat="1" ht="10.5" hidden="1" x14ac:dyDescent="0.25">
      <c r="A47" s="1152" t="str">
        <f>A35</f>
        <v>Categoria A</v>
      </c>
      <c r="B47" s="1153"/>
      <c r="C47" s="1154">
        <f>C41</f>
        <v>0</v>
      </c>
      <c r="D47" s="1154">
        <f t="shared" ref="D47:N51" si="15">C47+D41-C53</f>
        <v>0</v>
      </c>
      <c r="E47" s="1154">
        <f t="shared" si="15"/>
        <v>0</v>
      </c>
      <c r="F47" s="1154">
        <f t="shared" si="15"/>
        <v>0</v>
      </c>
      <c r="G47" s="1154">
        <f t="shared" si="15"/>
        <v>0</v>
      </c>
      <c r="H47" s="1154">
        <f t="shared" si="15"/>
        <v>0</v>
      </c>
      <c r="I47" s="1154">
        <f t="shared" si="15"/>
        <v>0</v>
      </c>
      <c r="J47" s="1154">
        <f t="shared" si="15"/>
        <v>0</v>
      </c>
      <c r="K47" s="1154">
        <f t="shared" si="15"/>
        <v>0</v>
      </c>
      <c r="L47" s="1154">
        <f t="shared" si="15"/>
        <v>0</v>
      </c>
      <c r="M47" s="1154">
        <f t="shared" si="15"/>
        <v>0</v>
      </c>
      <c r="N47" s="1154">
        <f t="shared" si="15"/>
        <v>0</v>
      </c>
      <c r="O47" s="1154">
        <f>N47-N53</f>
        <v>0</v>
      </c>
    </row>
    <row r="48" spans="1:15" s="788" customFormat="1" ht="10.5" hidden="1" x14ac:dyDescent="0.25">
      <c r="A48" s="1152" t="str">
        <f>A36</f>
        <v>Categoria B</v>
      </c>
      <c r="B48" s="1153"/>
      <c r="C48" s="1154">
        <f>C42</f>
        <v>0</v>
      </c>
      <c r="D48" s="1154">
        <f t="shared" si="15"/>
        <v>0</v>
      </c>
      <c r="E48" s="1154">
        <f t="shared" si="15"/>
        <v>0</v>
      </c>
      <c r="F48" s="1154">
        <f t="shared" si="15"/>
        <v>0</v>
      </c>
      <c r="G48" s="1154">
        <f t="shared" si="15"/>
        <v>0</v>
      </c>
      <c r="H48" s="1154">
        <f t="shared" si="15"/>
        <v>0</v>
      </c>
      <c r="I48" s="1154">
        <f t="shared" si="15"/>
        <v>0</v>
      </c>
      <c r="J48" s="1154">
        <f t="shared" si="15"/>
        <v>0</v>
      </c>
      <c r="K48" s="1154">
        <f t="shared" si="15"/>
        <v>0</v>
      </c>
      <c r="L48" s="1154">
        <f t="shared" si="15"/>
        <v>0</v>
      </c>
      <c r="M48" s="1154">
        <f t="shared" si="15"/>
        <v>0</v>
      </c>
      <c r="N48" s="1154">
        <f t="shared" si="15"/>
        <v>0</v>
      </c>
      <c r="O48" s="1154">
        <f>N48-N54</f>
        <v>0</v>
      </c>
    </row>
    <row r="49" spans="1:15" s="788" customFormat="1" ht="10.5" hidden="1" x14ac:dyDescent="0.25">
      <c r="A49" s="1152" t="str">
        <f>A37</f>
        <v>Categoria C</v>
      </c>
      <c r="B49" s="1153"/>
      <c r="C49" s="1154">
        <f>C43</f>
        <v>0</v>
      </c>
      <c r="D49" s="1154">
        <f t="shared" si="15"/>
        <v>0</v>
      </c>
      <c r="E49" s="1154">
        <f t="shared" si="15"/>
        <v>0</v>
      </c>
      <c r="F49" s="1154">
        <f t="shared" si="15"/>
        <v>0</v>
      </c>
      <c r="G49" s="1154">
        <f t="shared" si="15"/>
        <v>0</v>
      </c>
      <c r="H49" s="1154">
        <f t="shared" si="15"/>
        <v>0</v>
      </c>
      <c r="I49" s="1154">
        <f t="shared" si="15"/>
        <v>0</v>
      </c>
      <c r="J49" s="1154">
        <f t="shared" si="15"/>
        <v>0</v>
      </c>
      <c r="K49" s="1154">
        <f t="shared" si="15"/>
        <v>0</v>
      </c>
      <c r="L49" s="1154">
        <f t="shared" si="15"/>
        <v>0</v>
      </c>
      <c r="M49" s="1154">
        <f t="shared" si="15"/>
        <v>0</v>
      </c>
      <c r="N49" s="1154">
        <f t="shared" si="15"/>
        <v>0</v>
      </c>
      <c r="O49" s="1154">
        <f>N49-N55</f>
        <v>0</v>
      </c>
    </row>
    <row r="50" spans="1:15" s="788" customFormat="1" ht="10.5" hidden="1" x14ac:dyDescent="0.25">
      <c r="A50" s="1152" t="str">
        <f>A38</f>
        <v>Categoria D</v>
      </c>
      <c r="B50" s="1153"/>
      <c r="C50" s="1154">
        <f>C44</f>
        <v>0</v>
      </c>
      <c r="D50" s="1154">
        <f t="shared" si="15"/>
        <v>0</v>
      </c>
      <c r="E50" s="1154">
        <f t="shared" si="15"/>
        <v>0</v>
      </c>
      <c r="F50" s="1154">
        <f t="shared" si="15"/>
        <v>0</v>
      </c>
      <c r="G50" s="1154">
        <f t="shared" si="15"/>
        <v>0</v>
      </c>
      <c r="H50" s="1154">
        <f t="shared" si="15"/>
        <v>0</v>
      </c>
      <c r="I50" s="1154">
        <f t="shared" si="15"/>
        <v>0</v>
      </c>
      <c r="J50" s="1154">
        <f t="shared" si="15"/>
        <v>0</v>
      </c>
      <c r="K50" s="1154">
        <f t="shared" si="15"/>
        <v>0</v>
      </c>
      <c r="L50" s="1154">
        <f t="shared" si="15"/>
        <v>0</v>
      </c>
      <c r="M50" s="1154">
        <f t="shared" si="15"/>
        <v>0</v>
      </c>
      <c r="N50" s="1154">
        <f t="shared" si="15"/>
        <v>0</v>
      </c>
      <c r="O50" s="1154">
        <f>N50-N56</f>
        <v>0</v>
      </c>
    </row>
    <row r="51" spans="1:15" s="788" customFormat="1" ht="10.5" hidden="1" x14ac:dyDescent="0.25">
      <c r="A51" s="1152" t="str">
        <f>A39</f>
        <v>Categoria E</v>
      </c>
      <c r="B51" s="1153"/>
      <c r="C51" s="1154">
        <f>C45</f>
        <v>0</v>
      </c>
      <c r="D51" s="1154">
        <f t="shared" si="15"/>
        <v>0</v>
      </c>
      <c r="E51" s="1154">
        <f t="shared" si="15"/>
        <v>0</v>
      </c>
      <c r="F51" s="1154">
        <f t="shared" si="15"/>
        <v>0</v>
      </c>
      <c r="G51" s="1154">
        <f t="shared" si="15"/>
        <v>0</v>
      </c>
      <c r="H51" s="1154">
        <f t="shared" si="15"/>
        <v>0</v>
      </c>
      <c r="I51" s="1154">
        <f t="shared" si="15"/>
        <v>0</v>
      </c>
      <c r="J51" s="1154">
        <f t="shared" si="15"/>
        <v>0</v>
      </c>
      <c r="K51" s="1154">
        <f t="shared" si="15"/>
        <v>0</v>
      </c>
      <c r="L51" s="1154">
        <f t="shared" si="15"/>
        <v>0</v>
      </c>
      <c r="M51" s="1154">
        <f t="shared" si="15"/>
        <v>0</v>
      </c>
      <c r="N51" s="1154">
        <f t="shared" si="15"/>
        <v>0</v>
      </c>
      <c r="O51" s="1154">
        <f>N51-N57</f>
        <v>0</v>
      </c>
    </row>
    <row r="52" spans="1:15" s="788" customFormat="1" ht="12.75" customHeight="1" x14ac:dyDescent="0.25">
      <c r="A52" s="1895" t="s">
        <v>377</v>
      </c>
      <c r="B52" s="1895"/>
      <c r="C52" s="1085">
        <f>SUM(C53:C57)</f>
        <v>0</v>
      </c>
      <c r="D52" s="1085">
        <f t="shared" ref="D52:N52" si="16">SUM(D53:D57)</f>
        <v>0</v>
      </c>
      <c r="E52" s="1085">
        <f t="shared" si="16"/>
        <v>0</v>
      </c>
      <c r="F52" s="1085">
        <f t="shared" si="16"/>
        <v>0</v>
      </c>
      <c r="G52" s="1085">
        <f t="shared" si="16"/>
        <v>0</v>
      </c>
      <c r="H52" s="1085">
        <f t="shared" si="16"/>
        <v>0</v>
      </c>
      <c r="I52" s="1085">
        <f t="shared" si="16"/>
        <v>0</v>
      </c>
      <c r="J52" s="1085">
        <f t="shared" si="16"/>
        <v>0</v>
      </c>
      <c r="K52" s="1085">
        <f t="shared" si="16"/>
        <v>0</v>
      </c>
      <c r="L52" s="1085">
        <f t="shared" si="16"/>
        <v>0</v>
      </c>
      <c r="M52" s="1085">
        <f t="shared" si="16"/>
        <v>0</v>
      </c>
      <c r="N52" s="1085">
        <f t="shared" si="16"/>
        <v>0</v>
      </c>
      <c r="O52" s="1155"/>
    </row>
    <row r="53" spans="1:15" s="788" customFormat="1" ht="12.75" hidden="1" customHeight="1" x14ac:dyDescent="0.25">
      <c r="A53" s="1156" t="str">
        <f>A47</f>
        <v>Categoria A</v>
      </c>
      <c r="B53" s="1156"/>
      <c r="C53" s="1154">
        <f>IF(AND($C17=15,OR(C32=$A30,C32=$B30,C32=$C30)),C47,0)+IF(AND($C17=14,OR(C32=$A30,C32=$B30)),C47,0)</f>
        <v>0</v>
      </c>
      <c r="D53" s="1154">
        <f t="shared" ref="D53:N53" si="17">IF(AND($C17=15,OR(D32=$A30,D32=$B30,D32=$C30)),D47,0)+IF(AND($C17=14,OR(D32=$A30,D32=$B30)),D47,0)</f>
        <v>0</v>
      </c>
      <c r="E53" s="1154">
        <f t="shared" si="17"/>
        <v>0</v>
      </c>
      <c r="F53" s="1154">
        <f t="shared" si="17"/>
        <v>0</v>
      </c>
      <c r="G53" s="1154">
        <f t="shared" si="17"/>
        <v>0</v>
      </c>
      <c r="H53" s="1154">
        <f t="shared" si="17"/>
        <v>0</v>
      </c>
      <c r="I53" s="1154">
        <f t="shared" si="17"/>
        <v>0</v>
      </c>
      <c r="J53" s="1154">
        <f t="shared" si="17"/>
        <v>0</v>
      </c>
      <c r="K53" s="1154">
        <f t="shared" si="17"/>
        <v>0</v>
      </c>
      <c r="L53" s="1154">
        <f t="shared" si="17"/>
        <v>0</v>
      </c>
      <c r="M53" s="1154">
        <f t="shared" si="17"/>
        <v>0</v>
      </c>
      <c r="N53" s="1154">
        <f t="shared" si="17"/>
        <v>0</v>
      </c>
      <c r="O53" s="1155"/>
    </row>
    <row r="54" spans="1:15" s="788" customFormat="1" ht="12.75" hidden="1" customHeight="1" x14ac:dyDescent="0.25">
      <c r="A54" s="1156" t="str">
        <f>A48</f>
        <v>Categoria B</v>
      </c>
      <c r="B54" s="1156"/>
      <c r="C54" s="1154">
        <f>IF(AND($D17=15,OR(C32=$A30,C32=$B30,C32=$C30)),C48,0)+IF(AND($D17=14,OR(C32=$A30,C32=$B30)),C48,0)</f>
        <v>0</v>
      </c>
      <c r="D54" s="1154">
        <f t="shared" ref="D54:N54" si="18">IF(AND($D17=15,OR(D32=$A30,D32=$B30,D32=$C30)),D48,0)+IF(AND($D17=14,OR(D32=$A30,D32=$B30)),D48,0)</f>
        <v>0</v>
      </c>
      <c r="E54" s="1154">
        <f t="shared" si="18"/>
        <v>0</v>
      </c>
      <c r="F54" s="1154">
        <f t="shared" si="18"/>
        <v>0</v>
      </c>
      <c r="G54" s="1154">
        <f t="shared" si="18"/>
        <v>0</v>
      </c>
      <c r="H54" s="1154">
        <f t="shared" si="18"/>
        <v>0</v>
      </c>
      <c r="I54" s="1154">
        <f t="shared" si="18"/>
        <v>0</v>
      </c>
      <c r="J54" s="1154">
        <f t="shared" si="18"/>
        <v>0</v>
      </c>
      <c r="K54" s="1154">
        <f t="shared" si="18"/>
        <v>0</v>
      </c>
      <c r="L54" s="1154">
        <f t="shared" si="18"/>
        <v>0</v>
      </c>
      <c r="M54" s="1154">
        <f t="shared" si="18"/>
        <v>0</v>
      </c>
      <c r="N54" s="1154">
        <f t="shared" si="18"/>
        <v>0</v>
      </c>
      <c r="O54" s="1155"/>
    </row>
    <row r="55" spans="1:15" s="788" customFormat="1" ht="12.75" hidden="1" customHeight="1" x14ac:dyDescent="0.25">
      <c r="A55" s="1156" t="str">
        <f>A49</f>
        <v>Categoria C</v>
      </c>
      <c r="B55" s="1156"/>
      <c r="C55" s="1154">
        <f>IF(AND($E17=15,OR(C32=$A30,C32=$B30,C32=$C30)),C49,0)+IF(AND($E17=14,OR(C32=$A30,C32=$B30)),C49,0)</f>
        <v>0</v>
      </c>
      <c r="D55" s="1154">
        <f t="shared" ref="D55:N55" si="19">IF(AND($E17=15,OR(D32=$A30,D32=$B30,D32=$C30)),D49,0)+IF(AND($E17=14,OR(D32=$A30,D32=$B30)),D49,0)</f>
        <v>0</v>
      </c>
      <c r="E55" s="1154">
        <f t="shared" si="19"/>
        <v>0</v>
      </c>
      <c r="F55" s="1154">
        <f t="shared" si="19"/>
        <v>0</v>
      </c>
      <c r="G55" s="1154">
        <f t="shared" si="19"/>
        <v>0</v>
      </c>
      <c r="H55" s="1154">
        <f t="shared" si="19"/>
        <v>0</v>
      </c>
      <c r="I55" s="1154">
        <f t="shared" si="19"/>
        <v>0</v>
      </c>
      <c r="J55" s="1154">
        <f t="shared" si="19"/>
        <v>0</v>
      </c>
      <c r="K55" s="1154">
        <f t="shared" si="19"/>
        <v>0</v>
      </c>
      <c r="L55" s="1154">
        <f t="shared" si="19"/>
        <v>0</v>
      </c>
      <c r="M55" s="1154">
        <f t="shared" si="19"/>
        <v>0</v>
      </c>
      <c r="N55" s="1154">
        <f t="shared" si="19"/>
        <v>0</v>
      </c>
      <c r="O55" s="1155"/>
    </row>
    <row r="56" spans="1:15" s="788" customFormat="1" ht="12.75" hidden="1" customHeight="1" x14ac:dyDescent="0.25">
      <c r="A56" s="1156" t="str">
        <f>A50</f>
        <v>Categoria D</v>
      </c>
      <c r="B56" s="1156"/>
      <c r="C56" s="1154">
        <f>IF(AND($F17=15,OR(C32=$A30,C32=$B30,C32=$C30)),C50,0)+IF(AND($F17=14,OR(C32=$A30,C32=$B30)),C50,0)</f>
        <v>0</v>
      </c>
      <c r="D56" s="1154">
        <f t="shared" ref="D56:N56" si="20">IF(AND($F17=15,OR(D32=$A30,D32=$B30,D32=$C30)),D50,0)+IF(AND($F17=14,OR(D32=$A30,D32=$B30)),D50,0)</f>
        <v>0</v>
      </c>
      <c r="E56" s="1154">
        <f t="shared" si="20"/>
        <v>0</v>
      </c>
      <c r="F56" s="1154">
        <f t="shared" si="20"/>
        <v>0</v>
      </c>
      <c r="G56" s="1154">
        <f t="shared" si="20"/>
        <v>0</v>
      </c>
      <c r="H56" s="1154">
        <f t="shared" si="20"/>
        <v>0</v>
      </c>
      <c r="I56" s="1154">
        <f t="shared" si="20"/>
        <v>0</v>
      </c>
      <c r="J56" s="1154">
        <f t="shared" si="20"/>
        <v>0</v>
      </c>
      <c r="K56" s="1154">
        <f t="shared" si="20"/>
        <v>0</v>
      </c>
      <c r="L56" s="1154">
        <f t="shared" si="20"/>
        <v>0</v>
      </c>
      <c r="M56" s="1154">
        <f t="shared" si="20"/>
        <v>0</v>
      </c>
      <c r="N56" s="1154">
        <f t="shared" si="20"/>
        <v>0</v>
      </c>
      <c r="O56" s="1155"/>
    </row>
    <row r="57" spans="1:15" s="788" customFormat="1" ht="12.75" hidden="1" customHeight="1" x14ac:dyDescent="0.25">
      <c r="A57" s="1156" t="str">
        <f>A51</f>
        <v>Categoria E</v>
      </c>
      <c r="B57" s="1156"/>
      <c r="C57" s="1154">
        <f>IF(AND($G17=15,OR(C32=$A30,C32=$B30,C32=$C30)),C51,0)+IF(AND($G17=14,OR(C32=$A30,C32=$B30)),C51,0)</f>
        <v>0</v>
      </c>
      <c r="D57" s="1154">
        <f t="shared" ref="D57:N57" si="21">IF(AND($G17=15,OR(D32=$A30,D32=$B30,D32=$C30)),D51,0)+IF(AND($G17=14,OR(D32=$A30,D32=$B30)),D51,0)</f>
        <v>0</v>
      </c>
      <c r="E57" s="1154">
        <f t="shared" si="21"/>
        <v>0</v>
      </c>
      <c r="F57" s="1154">
        <f t="shared" si="21"/>
        <v>0</v>
      </c>
      <c r="G57" s="1154">
        <f t="shared" si="21"/>
        <v>0</v>
      </c>
      <c r="H57" s="1154">
        <f t="shared" si="21"/>
        <v>0</v>
      </c>
      <c r="I57" s="1154">
        <f t="shared" si="21"/>
        <v>0</v>
      </c>
      <c r="J57" s="1154">
        <f t="shared" si="21"/>
        <v>0</v>
      </c>
      <c r="K57" s="1154">
        <f t="shared" si="21"/>
        <v>0</v>
      </c>
      <c r="L57" s="1154">
        <f t="shared" si="21"/>
        <v>0</v>
      </c>
      <c r="M57" s="1154">
        <f t="shared" si="21"/>
        <v>0</v>
      </c>
      <c r="N57" s="1154">
        <f t="shared" si="21"/>
        <v>0</v>
      </c>
      <c r="O57" s="1155"/>
    </row>
    <row r="58" spans="1:15" ht="13" x14ac:dyDescent="0.3">
      <c r="A58" s="1882" t="s">
        <v>363</v>
      </c>
      <c r="B58" s="1882"/>
      <c r="C58" s="1086">
        <f>SUM(C59:C63)</f>
        <v>0</v>
      </c>
      <c r="D58" s="1086">
        <f t="shared" ref="D58:N58" si="22">SUM(D59:D63)</f>
        <v>0</v>
      </c>
      <c r="E58" s="1086">
        <f t="shared" si="22"/>
        <v>0</v>
      </c>
      <c r="F58" s="1086">
        <f t="shared" si="22"/>
        <v>0</v>
      </c>
      <c r="G58" s="1086">
        <f t="shared" si="22"/>
        <v>0</v>
      </c>
      <c r="H58" s="1086">
        <f t="shared" si="22"/>
        <v>0</v>
      </c>
      <c r="I58" s="1086">
        <f t="shared" si="22"/>
        <v>0</v>
      </c>
      <c r="J58" s="1086">
        <f t="shared" si="22"/>
        <v>0</v>
      </c>
      <c r="K58" s="1086">
        <f t="shared" si="22"/>
        <v>0</v>
      </c>
      <c r="L58" s="1086">
        <f t="shared" si="22"/>
        <v>0</v>
      </c>
      <c r="M58" s="1086">
        <f t="shared" si="22"/>
        <v>0</v>
      </c>
      <c r="N58" s="1086">
        <f t="shared" si="22"/>
        <v>0</v>
      </c>
      <c r="O58" s="1086">
        <f t="shared" ref="O58:O75" si="23">SUM(C58:N58)</f>
        <v>0</v>
      </c>
    </row>
    <row r="59" spans="1:15" hidden="1" x14ac:dyDescent="0.25">
      <c r="A59" s="1157" t="str">
        <f>A53</f>
        <v>Categoria A</v>
      </c>
      <c r="B59" s="1158"/>
      <c r="C59" s="1159">
        <f>$C16*VARIABLES!B13</f>
        <v>0</v>
      </c>
      <c r="D59" s="1154">
        <f>$C16*VARIABLES!C13</f>
        <v>0</v>
      </c>
      <c r="E59" s="1154">
        <f>$C16*VARIABLES!D13</f>
        <v>0</v>
      </c>
      <c r="F59" s="1154">
        <f>$C16*VARIABLES!E13</f>
        <v>0</v>
      </c>
      <c r="G59" s="1154">
        <f>$C16*VARIABLES!F13</f>
        <v>0</v>
      </c>
      <c r="H59" s="1154">
        <f>$C16*VARIABLES!G13</f>
        <v>0</v>
      </c>
      <c r="I59" s="1154">
        <f>$C16*VARIABLES!H13</f>
        <v>0</v>
      </c>
      <c r="J59" s="1154">
        <f>$C16*VARIABLES!I13</f>
        <v>0</v>
      </c>
      <c r="K59" s="1154">
        <f>$C16*VARIABLES!J13</f>
        <v>0</v>
      </c>
      <c r="L59" s="1154">
        <f>$C16*VARIABLES!K13</f>
        <v>0</v>
      </c>
      <c r="M59" s="1154">
        <f>$C16*VARIABLES!L13</f>
        <v>0</v>
      </c>
      <c r="N59" s="1160">
        <f>$C16*VARIABLES!M13</f>
        <v>0</v>
      </c>
      <c r="O59" s="1161">
        <f t="shared" si="23"/>
        <v>0</v>
      </c>
    </row>
    <row r="60" spans="1:15" hidden="1" x14ac:dyDescent="0.25">
      <c r="A60" s="1157" t="str">
        <f>A54</f>
        <v>Categoria B</v>
      </c>
      <c r="B60" s="1158"/>
      <c r="C60" s="1159">
        <f>$D16*VARIABLES!B13</f>
        <v>0</v>
      </c>
      <c r="D60" s="1154">
        <f>$D16*VARIABLES!C13</f>
        <v>0</v>
      </c>
      <c r="E60" s="1154">
        <f>$D16*VARIABLES!D13</f>
        <v>0</v>
      </c>
      <c r="F60" s="1154">
        <f>$D16*VARIABLES!E13</f>
        <v>0</v>
      </c>
      <c r="G60" s="1154">
        <f>$D16*VARIABLES!F13</f>
        <v>0</v>
      </c>
      <c r="H60" s="1154">
        <f>$D16*VARIABLES!G13</f>
        <v>0</v>
      </c>
      <c r="I60" s="1154">
        <f>$D16*VARIABLES!H13</f>
        <v>0</v>
      </c>
      <c r="J60" s="1154">
        <f>$D16*VARIABLES!I13</f>
        <v>0</v>
      </c>
      <c r="K60" s="1154">
        <f>$D16*VARIABLES!J13</f>
        <v>0</v>
      </c>
      <c r="L60" s="1154">
        <f>$D16*VARIABLES!K13</f>
        <v>0</v>
      </c>
      <c r="M60" s="1154">
        <f>$D16*VARIABLES!L13</f>
        <v>0</v>
      </c>
      <c r="N60" s="1160">
        <f>$D16*VARIABLES!M13</f>
        <v>0</v>
      </c>
      <c r="O60" s="1161">
        <f t="shared" si="23"/>
        <v>0</v>
      </c>
    </row>
    <row r="61" spans="1:15" hidden="1" x14ac:dyDescent="0.25">
      <c r="A61" s="1157" t="str">
        <f>A55</f>
        <v>Categoria C</v>
      </c>
      <c r="B61" s="1158"/>
      <c r="C61" s="1159">
        <f>$E16*VARIABLES!B13</f>
        <v>0</v>
      </c>
      <c r="D61" s="1154">
        <f>$E16*VARIABLES!C13</f>
        <v>0</v>
      </c>
      <c r="E61" s="1154">
        <f>$E16*VARIABLES!D13</f>
        <v>0</v>
      </c>
      <c r="F61" s="1154">
        <f>$E16*VARIABLES!E13</f>
        <v>0</v>
      </c>
      <c r="G61" s="1154">
        <f>$E16*VARIABLES!F13</f>
        <v>0</v>
      </c>
      <c r="H61" s="1154">
        <f>$E16*VARIABLES!G13</f>
        <v>0</v>
      </c>
      <c r="I61" s="1154">
        <f>$E16*VARIABLES!H13</f>
        <v>0</v>
      </c>
      <c r="J61" s="1154">
        <f>$E16*VARIABLES!I13</f>
        <v>0</v>
      </c>
      <c r="K61" s="1154">
        <f>$E16*VARIABLES!J13</f>
        <v>0</v>
      </c>
      <c r="L61" s="1154">
        <f>$E16*VARIABLES!K13</f>
        <v>0</v>
      </c>
      <c r="M61" s="1154">
        <f>$E16*VARIABLES!L13</f>
        <v>0</v>
      </c>
      <c r="N61" s="1160">
        <f>$E16*VARIABLES!M13</f>
        <v>0</v>
      </c>
      <c r="O61" s="1161">
        <f t="shared" si="23"/>
        <v>0</v>
      </c>
    </row>
    <row r="62" spans="1:15" hidden="1" x14ac:dyDescent="0.25">
      <c r="A62" s="1157" t="str">
        <f>A56</f>
        <v>Categoria D</v>
      </c>
      <c r="B62" s="1158"/>
      <c r="C62" s="1159">
        <f>$F16*VARIABLES!B13</f>
        <v>0</v>
      </c>
      <c r="D62" s="1154">
        <f>$F16*VARIABLES!C13</f>
        <v>0</v>
      </c>
      <c r="E62" s="1154">
        <f>$F16*VARIABLES!D13</f>
        <v>0</v>
      </c>
      <c r="F62" s="1154">
        <f>$F16*VARIABLES!E13</f>
        <v>0</v>
      </c>
      <c r="G62" s="1154">
        <f>$F16*VARIABLES!F13</f>
        <v>0</v>
      </c>
      <c r="H62" s="1154">
        <f>$F16*VARIABLES!G13</f>
        <v>0</v>
      </c>
      <c r="I62" s="1154">
        <f>$F16*VARIABLES!H13</f>
        <v>0</v>
      </c>
      <c r="J62" s="1154">
        <f>$F16*VARIABLES!I13</f>
        <v>0</v>
      </c>
      <c r="K62" s="1154">
        <f>$F16*VARIABLES!J13</f>
        <v>0</v>
      </c>
      <c r="L62" s="1154">
        <f>$F16*VARIABLES!K13</f>
        <v>0</v>
      </c>
      <c r="M62" s="1154">
        <f>$F16*VARIABLES!L13</f>
        <v>0</v>
      </c>
      <c r="N62" s="1160">
        <f>$F16*VARIABLES!M13</f>
        <v>0</v>
      </c>
      <c r="O62" s="1161">
        <f t="shared" si="23"/>
        <v>0</v>
      </c>
    </row>
    <row r="63" spans="1:15" hidden="1" x14ac:dyDescent="0.25">
      <c r="A63" s="1157" t="str">
        <f>A57</f>
        <v>Categoria E</v>
      </c>
      <c r="B63" s="1158"/>
      <c r="C63" s="1159">
        <f>$G16*VARIABLES!B13</f>
        <v>0</v>
      </c>
      <c r="D63" s="1154">
        <f>$G16*VARIABLES!C13</f>
        <v>0</v>
      </c>
      <c r="E63" s="1154">
        <f>$G16*VARIABLES!D13</f>
        <v>0</v>
      </c>
      <c r="F63" s="1154">
        <f>$G16*VARIABLES!E13</f>
        <v>0</v>
      </c>
      <c r="G63" s="1154">
        <f>$G16*VARIABLES!F13</f>
        <v>0</v>
      </c>
      <c r="H63" s="1154">
        <f>$G16*VARIABLES!G13</f>
        <v>0</v>
      </c>
      <c r="I63" s="1154">
        <f>$G16*VARIABLES!H13</f>
        <v>0</v>
      </c>
      <c r="J63" s="1154">
        <f>$G16*VARIABLES!I13</f>
        <v>0</v>
      </c>
      <c r="K63" s="1154">
        <f>$G16*VARIABLES!J13</f>
        <v>0</v>
      </c>
      <c r="L63" s="1154">
        <f>$G16*VARIABLES!K13</f>
        <v>0</v>
      </c>
      <c r="M63" s="1154">
        <f>$G16*VARIABLES!L13</f>
        <v>0</v>
      </c>
      <c r="N63" s="1160">
        <f>$G16*VARIABLES!M13</f>
        <v>0</v>
      </c>
      <c r="O63" s="1161">
        <f t="shared" si="23"/>
        <v>0</v>
      </c>
    </row>
    <row r="64" spans="1:15" ht="17.25" customHeight="1" x14ac:dyDescent="0.3">
      <c r="A64" s="1889" t="s">
        <v>378</v>
      </c>
      <c r="B64" s="1889"/>
      <c r="C64" s="1081">
        <f>SUM(C65:C69)</f>
        <v>0</v>
      </c>
      <c r="D64" s="1081">
        <f t="shared" ref="D64:N64" si="24">SUM(D65:D69)</f>
        <v>0</v>
      </c>
      <c r="E64" s="1081">
        <f t="shared" si="24"/>
        <v>0</v>
      </c>
      <c r="F64" s="1081">
        <f t="shared" si="24"/>
        <v>0</v>
      </c>
      <c r="G64" s="1081">
        <f t="shared" si="24"/>
        <v>0</v>
      </c>
      <c r="H64" s="1081">
        <f t="shared" si="24"/>
        <v>0</v>
      </c>
      <c r="I64" s="1081">
        <f t="shared" si="24"/>
        <v>0</v>
      </c>
      <c r="J64" s="1081">
        <f t="shared" si="24"/>
        <v>0</v>
      </c>
      <c r="K64" s="1081">
        <f t="shared" si="24"/>
        <v>0</v>
      </c>
      <c r="L64" s="1081">
        <f t="shared" si="24"/>
        <v>0</v>
      </c>
      <c r="M64" s="1081">
        <f t="shared" si="24"/>
        <v>0</v>
      </c>
      <c r="N64" s="1081">
        <f t="shared" si="24"/>
        <v>0</v>
      </c>
      <c r="O64" s="1081">
        <f t="shared" si="23"/>
        <v>0</v>
      </c>
    </row>
    <row r="65" spans="1:15" x14ac:dyDescent="0.25">
      <c r="A65" s="1156" t="s">
        <v>208</v>
      </c>
      <c r="B65" s="1156"/>
      <c r="C65" s="1154">
        <f>IF(C35=0,0,$C$25)</f>
        <v>0</v>
      </c>
      <c r="D65" s="1154">
        <f t="shared" ref="D65:N65" si="25">IF(D35=0,0,$C$25)</f>
        <v>0</v>
      </c>
      <c r="E65" s="1154">
        <f t="shared" si="25"/>
        <v>0</v>
      </c>
      <c r="F65" s="1154">
        <f t="shared" si="25"/>
        <v>0</v>
      </c>
      <c r="G65" s="1154">
        <f t="shared" si="25"/>
        <v>0</v>
      </c>
      <c r="H65" s="1154">
        <f t="shared" si="25"/>
        <v>0</v>
      </c>
      <c r="I65" s="1154">
        <f t="shared" si="25"/>
        <v>0</v>
      </c>
      <c r="J65" s="1154">
        <f t="shared" si="25"/>
        <v>0</v>
      </c>
      <c r="K65" s="1154">
        <f t="shared" si="25"/>
        <v>0</v>
      </c>
      <c r="L65" s="1154">
        <f t="shared" si="25"/>
        <v>0</v>
      </c>
      <c r="M65" s="1154">
        <f t="shared" si="25"/>
        <v>0</v>
      </c>
      <c r="N65" s="1154">
        <f t="shared" si="25"/>
        <v>0</v>
      </c>
      <c r="O65" s="1154">
        <f t="shared" si="23"/>
        <v>0</v>
      </c>
    </row>
    <row r="66" spans="1:15" x14ac:dyDescent="0.25">
      <c r="A66" s="1156" t="s">
        <v>209</v>
      </c>
      <c r="B66" s="1156"/>
      <c r="C66" s="1154">
        <f>IF(C36=0,0,$D$25)</f>
        <v>0</v>
      </c>
      <c r="D66" s="1154">
        <f t="shared" ref="D66:N66" si="26">IF(D36=0,0,$D$25)</f>
        <v>0</v>
      </c>
      <c r="E66" s="1154">
        <f t="shared" si="26"/>
        <v>0</v>
      </c>
      <c r="F66" s="1154">
        <f t="shared" si="26"/>
        <v>0</v>
      </c>
      <c r="G66" s="1154">
        <f t="shared" si="26"/>
        <v>0</v>
      </c>
      <c r="H66" s="1154">
        <f t="shared" si="26"/>
        <v>0</v>
      </c>
      <c r="I66" s="1154">
        <f t="shared" si="26"/>
        <v>0</v>
      </c>
      <c r="J66" s="1154">
        <f t="shared" si="26"/>
        <v>0</v>
      </c>
      <c r="K66" s="1154">
        <f t="shared" si="26"/>
        <v>0</v>
      </c>
      <c r="L66" s="1154">
        <f t="shared" si="26"/>
        <v>0</v>
      </c>
      <c r="M66" s="1154">
        <f t="shared" si="26"/>
        <v>0</v>
      </c>
      <c r="N66" s="1154">
        <f t="shared" si="26"/>
        <v>0</v>
      </c>
      <c r="O66" s="1154">
        <f t="shared" si="23"/>
        <v>0</v>
      </c>
    </row>
    <row r="67" spans="1:15" ht="15.75" customHeight="1" x14ac:dyDescent="0.25">
      <c r="A67" s="1156" t="s">
        <v>219</v>
      </c>
      <c r="B67" s="1156"/>
      <c r="C67" s="1154">
        <f>IF(C37=0,0,$E$25)</f>
        <v>0</v>
      </c>
      <c r="D67" s="1154">
        <f t="shared" ref="D67:N67" si="27">IF(D37=0,0,$E$25)</f>
        <v>0</v>
      </c>
      <c r="E67" s="1154">
        <f t="shared" si="27"/>
        <v>0</v>
      </c>
      <c r="F67" s="1154">
        <f t="shared" si="27"/>
        <v>0</v>
      </c>
      <c r="G67" s="1154">
        <f t="shared" si="27"/>
        <v>0</v>
      </c>
      <c r="H67" s="1154">
        <f t="shared" si="27"/>
        <v>0</v>
      </c>
      <c r="I67" s="1154">
        <f t="shared" si="27"/>
        <v>0</v>
      </c>
      <c r="J67" s="1154">
        <f t="shared" si="27"/>
        <v>0</v>
      </c>
      <c r="K67" s="1154">
        <f t="shared" si="27"/>
        <v>0</v>
      </c>
      <c r="L67" s="1154">
        <f t="shared" si="27"/>
        <v>0</v>
      </c>
      <c r="M67" s="1154">
        <f t="shared" si="27"/>
        <v>0</v>
      </c>
      <c r="N67" s="1154">
        <f t="shared" si="27"/>
        <v>0</v>
      </c>
      <c r="O67" s="1154">
        <f t="shared" si="23"/>
        <v>0</v>
      </c>
    </row>
    <row r="68" spans="1:15" ht="21" customHeight="1" x14ac:dyDescent="0.25">
      <c r="A68" s="1156" t="s">
        <v>220</v>
      </c>
      <c r="B68" s="1156"/>
      <c r="C68" s="1154">
        <f>IF(C38=0,0,$F$25)</f>
        <v>0</v>
      </c>
      <c r="D68" s="1154">
        <f t="shared" ref="D68:N68" si="28">IF(D38=0,0,$F$25)</f>
        <v>0</v>
      </c>
      <c r="E68" s="1154">
        <f t="shared" si="28"/>
        <v>0</v>
      </c>
      <c r="F68" s="1154">
        <f t="shared" si="28"/>
        <v>0</v>
      </c>
      <c r="G68" s="1154">
        <f t="shared" si="28"/>
        <v>0</v>
      </c>
      <c r="H68" s="1154">
        <f t="shared" si="28"/>
        <v>0</v>
      </c>
      <c r="I68" s="1154">
        <f t="shared" si="28"/>
        <v>0</v>
      </c>
      <c r="J68" s="1154">
        <f t="shared" si="28"/>
        <v>0</v>
      </c>
      <c r="K68" s="1154">
        <f t="shared" si="28"/>
        <v>0</v>
      </c>
      <c r="L68" s="1154">
        <f t="shared" si="28"/>
        <v>0</v>
      </c>
      <c r="M68" s="1154">
        <f t="shared" si="28"/>
        <v>0</v>
      </c>
      <c r="N68" s="1154">
        <f t="shared" si="28"/>
        <v>0</v>
      </c>
      <c r="O68" s="1154">
        <f t="shared" si="23"/>
        <v>0</v>
      </c>
    </row>
    <row r="69" spans="1:15" ht="19.5" customHeight="1" x14ac:dyDescent="0.25">
      <c r="A69" s="1156" t="s">
        <v>221</v>
      </c>
      <c r="B69" s="1156"/>
      <c r="C69" s="1154">
        <f>IF(C39=0,0,$G$25)</f>
        <v>0</v>
      </c>
      <c r="D69" s="1154">
        <f t="shared" ref="D69:N69" si="29">IF(D39=0,0,$G$25)</f>
        <v>0</v>
      </c>
      <c r="E69" s="1154">
        <f t="shared" si="29"/>
        <v>0</v>
      </c>
      <c r="F69" s="1154">
        <f t="shared" si="29"/>
        <v>0</v>
      </c>
      <c r="G69" s="1154">
        <f t="shared" si="29"/>
        <v>0</v>
      </c>
      <c r="H69" s="1154">
        <f t="shared" si="29"/>
        <v>0</v>
      </c>
      <c r="I69" s="1154">
        <f t="shared" si="29"/>
        <v>0</v>
      </c>
      <c r="J69" s="1154">
        <f t="shared" si="29"/>
        <v>0</v>
      </c>
      <c r="K69" s="1154">
        <f t="shared" si="29"/>
        <v>0</v>
      </c>
      <c r="L69" s="1154">
        <f t="shared" si="29"/>
        <v>0</v>
      </c>
      <c r="M69" s="1154">
        <f t="shared" si="29"/>
        <v>0</v>
      </c>
      <c r="N69" s="1154">
        <f t="shared" si="29"/>
        <v>0</v>
      </c>
      <c r="O69" s="1154">
        <f t="shared" si="23"/>
        <v>0</v>
      </c>
    </row>
    <row r="70" spans="1:15" ht="13" x14ac:dyDescent="0.3">
      <c r="A70" s="1892" t="s">
        <v>379</v>
      </c>
      <c r="B70" s="1892"/>
      <c r="C70" s="1086">
        <f>SUM(C71:C75)</f>
        <v>0</v>
      </c>
      <c r="D70" s="1086">
        <f t="shared" ref="D70:N70" si="30">SUM(D71:D75)</f>
        <v>0</v>
      </c>
      <c r="E70" s="1086">
        <f t="shared" si="30"/>
        <v>0</v>
      </c>
      <c r="F70" s="1086">
        <f t="shared" si="30"/>
        <v>0</v>
      </c>
      <c r="G70" s="1086">
        <f t="shared" si="30"/>
        <v>0</v>
      </c>
      <c r="H70" s="1086">
        <f t="shared" si="30"/>
        <v>0</v>
      </c>
      <c r="I70" s="1086">
        <f t="shared" si="30"/>
        <v>0</v>
      </c>
      <c r="J70" s="1086">
        <f t="shared" si="30"/>
        <v>0</v>
      </c>
      <c r="K70" s="1086">
        <f t="shared" si="30"/>
        <v>0</v>
      </c>
      <c r="L70" s="1086">
        <f t="shared" si="30"/>
        <v>0</v>
      </c>
      <c r="M70" s="1086">
        <f t="shared" si="30"/>
        <v>0</v>
      </c>
      <c r="N70" s="1086">
        <f t="shared" si="30"/>
        <v>0</v>
      </c>
      <c r="O70" s="1086">
        <f t="shared" si="23"/>
        <v>0</v>
      </c>
    </row>
    <row r="71" spans="1:15" hidden="1" x14ac:dyDescent="0.25">
      <c r="A71" s="1157" t="s">
        <v>208</v>
      </c>
      <c r="B71" s="1158"/>
      <c r="C71" s="1159">
        <f>IF(C65=0,0,$C$26)</f>
        <v>0</v>
      </c>
      <c r="D71" s="1154">
        <f t="shared" ref="D71:N71" si="31">IF(D65=0,0,$C$26)</f>
        <v>0</v>
      </c>
      <c r="E71" s="1154">
        <f t="shared" si="31"/>
        <v>0</v>
      </c>
      <c r="F71" s="1154">
        <f t="shared" si="31"/>
        <v>0</v>
      </c>
      <c r="G71" s="1154">
        <f t="shared" si="31"/>
        <v>0</v>
      </c>
      <c r="H71" s="1154">
        <f t="shared" si="31"/>
        <v>0</v>
      </c>
      <c r="I71" s="1154">
        <f t="shared" si="31"/>
        <v>0</v>
      </c>
      <c r="J71" s="1154">
        <f t="shared" si="31"/>
        <v>0</v>
      </c>
      <c r="K71" s="1154">
        <f t="shared" si="31"/>
        <v>0</v>
      </c>
      <c r="L71" s="1154">
        <f t="shared" si="31"/>
        <v>0</v>
      </c>
      <c r="M71" s="1154">
        <f t="shared" si="31"/>
        <v>0</v>
      </c>
      <c r="N71" s="1160">
        <f t="shared" si="31"/>
        <v>0</v>
      </c>
      <c r="O71" s="1161">
        <f t="shared" si="23"/>
        <v>0</v>
      </c>
    </row>
    <row r="72" spans="1:15" hidden="1" x14ac:dyDescent="0.25">
      <c r="A72" s="1157" t="s">
        <v>209</v>
      </c>
      <c r="B72" s="1158"/>
      <c r="C72" s="1159">
        <f>IF(C66=0,0,$D$26)</f>
        <v>0</v>
      </c>
      <c r="D72" s="1154">
        <f t="shared" ref="D72:N72" si="32">IF(D66=0,0,$D$26)</f>
        <v>0</v>
      </c>
      <c r="E72" s="1154">
        <f t="shared" si="32"/>
        <v>0</v>
      </c>
      <c r="F72" s="1154">
        <f t="shared" si="32"/>
        <v>0</v>
      </c>
      <c r="G72" s="1154">
        <f t="shared" si="32"/>
        <v>0</v>
      </c>
      <c r="H72" s="1154">
        <f t="shared" si="32"/>
        <v>0</v>
      </c>
      <c r="I72" s="1154">
        <f t="shared" si="32"/>
        <v>0</v>
      </c>
      <c r="J72" s="1154">
        <f t="shared" si="32"/>
        <v>0</v>
      </c>
      <c r="K72" s="1154">
        <f t="shared" si="32"/>
        <v>0</v>
      </c>
      <c r="L72" s="1154">
        <f t="shared" si="32"/>
        <v>0</v>
      </c>
      <c r="M72" s="1154">
        <f t="shared" si="32"/>
        <v>0</v>
      </c>
      <c r="N72" s="1160">
        <f t="shared" si="32"/>
        <v>0</v>
      </c>
      <c r="O72" s="1161">
        <f t="shared" si="23"/>
        <v>0</v>
      </c>
    </row>
    <row r="73" spans="1:15" hidden="1" x14ac:dyDescent="0.25">
      <c r="A73" s="1157" t="s">
        <v>219</v>
      </c>
      <c r="B73" s="1158"/>
      <c r="C73" s="1159">
        <f>IF(C67=0,0,$E$26)</f>
        <v>0</v>
      </c>
      <c r="D73" s="1154">
        <f t="shared" ref="D73:N73" si="33">IF(D67=0,0,$E$26)</f>
        <v>0</v>
      </c>
      <c r="E73" s="1154">
        <f t="shared" si="33"/>
        <v>0</v>
      </c>
      <c r="F73" s="1154">
        <f t="shared" si="33"/>
        <v>0</v>
      </c>
      <c r="G73" s="1154">
        <f t="shared" si="33"/>
        <v>0</v>
      </c>
      <c r="H73" s="1154">
        <f t="shared" si="33"/>
        <v>0</v>
      </c>
      <c r="I73" s="1154">
        <f t="shared" si="33"/>
        <v>0</v>
      </c>
      <c r="J73" s="1154">
        <f t="shared" si="33"/>
        <v>0</v>
      </c>
      <c r="K73" s="1154">
        <f t="shared" si="33"/>
        <v>0</v>
      </c>
      <c r="L73" s="1154">
        <f t="shared" si="33"/>
        <v>0</v>
      </c>
      <c r="M73" s="1154">
        <f t="shared" si="33"/>
        <v>0</v>
      </c>
      <c r="N73" s="1160">
        <f t="shared" si="33"/>
        <v>0</v>
      </c>
      <c r="O73" s="1161">
        <f t="shared" si="23"/>
        <v>0</v>
      </c>
    </row>
    <row r="74" spans="1:15" hidden="1" x14ac:dyDescent="0.25">
      <c r="A74" s="1157" t="s">
        <v>220</v>
      </c>
      <c r="B74" s="1158"/>
      <c r="C74" s="1159">
        <f>IF(C68=0,0,$F$26)</f>
        <v>0</v>
      </c>
      <c r="D74" s="1154">
        <f t="shared" ref="D74:N74" si="34">IF(D68=0,0,$F$26)</f>
        <v>0</v>
      </c>
      <c r="E74" s="1154">
        <f t="shared" si="34"/>
        <v>0</v>
      </c>
      <c r="F74" s="1154">
        <f t="shared" si="34"/>
        <v>0</v>
      </c>
      <c r="G74" s="1154">
        <f t="shared" si="34"/>
        <v>0</v>
      </c>
      <c r="H74" s="1154">
        <f t="shared" si="34"/>
        <v>0</v>
      </c>
      <c r="I74" s="1154">
        <f t="shared" si="34"/>
        <v>0</v>
      </c>
      <c r="J74" s="1154">
        <f t="shared" si="34"/>
        <v>0</v>
      </c>
      <c r="K74" s="1154">
        <f t="shared" si="34"/>
        <v>0</v>
      </c>
      <c r="L74" s="1154">
        <f t="shared" si="34"/>
        <v>0</v>
      </c>
      <c r="M74" s="1154">
        <f t="shared" si="34"/>
        <v>0</v>
      </c>
      <c r="N74" s="1160">
        <f t="shared" si="34"/>
        <v>0</v>
      </c>
      <c r="O74" s="1161">
        <f t="shared" si="23"/>
        <v>0</v>
      </c>
    </row>
    <row r="75" spans="1:15" hidden="1" x14ac:dyDescent="0.25">
      <c r="A75" s="1157" t="s">
        <v>221</v>
      </c>
      <c r="B75" s="1158"/>
      <c r="C75" s="1159">
        <f>IF(C69=0,0,$G$26)</f>
        <v>0</v>
      </c>
      <c r="D75" s="1154">
        <f t="shared" ref="D75:N75" si="35">IF(D69=0,0,$G$26)</f>
        <v>0</v>
      </c>
      <c r="E75" s="1154">
        <f t="shared" si="35"/>
        <v>0</v>
      </c>
      <c r="F75" s="1154">
        <f t="shared" si="35"/>
        <v>0</v>
      </c>
      <c r="G75" s="1154">
        <f t="shared" si="35"/>
        <v>0</v>
      </c>
      <c r="H75" s="1154">
        <f t="shared" si="35"/>
        <v>0</v>
      </c>
      <c r="I75" s="1154">
        <f t="shared" si="35"/>
        <v>0</v>
      </c>
      <c r="J75" s="1154">
        <f t="shared" si="35"/>
        <v>0</v>
      </c>
      <c r="K75" s="1154">
        <f t="shared" si="35"/>
        <v>0</v>
      </c>
      <c r="L75" s="1154">
        <f t="shared" si="35"/>
        <v>0</v>
      </c>
      <c r="M75" s="1154">
        <f t="shared" si="35"/>
        <v>0</v>
      </c>
      <c r="N75" s="1160">
        <f t="shared" si="35"/>
        <v>0</v>
      </c>
      <c r="O75" s="1161">
        <f t="shared" si="23"/>
        <v>0</v>
      </c>
    </row>
    <row r="76" spans="1:15" ht="13" x14ac:dyDescent="0.3">
      <c r="A76" s="1781" t="s">
        <v>365</v>
      </c>
      <c r="B76" s="1781"/>
      <c r="C76" s="1096">
        <f t="shared" ref="C76:O76" si="36">C64+C33</f>
        <v>0</v>
      </c>
      <c r="D76" s="1096">
        <f t="shared" si="36"/>
        <v>0</v>
      </c>
      <c r="E76" s="1096">
        <f t="shared" si="36"/>
        <v>0</v>
      </c>
      <c r="F76" s="1096">
        <f t="shared" si="36"/>
        <v>0</v>
      </c>
      <c r="G76" s="1096">
        <f t="shared" si="36"/>
        <v>0</v>
      </c>
      <c r="H76" s="1096">
        <f t="shared" si="36"/>
        <v>0</v>
      </c>
      <c r="I76" s="1096">
        <f t="shared" si="36"/>
        <v>0</v>
      </c>
      <c r="J76" s="1096">
        <f t="shared" si="36"/>
        <v>0</v>
      </c>
      <c r="K76" s="1096">
        <f t="shared" si="36"/>
        <v>0</v>
      </c>
      <c r="L76" s="1096">
        <f t="shared" si="36"/>
        <v>0</v>
      </c>
      <c r="M76" s="1096">
        <f t="shared" si="36"/>
        <v>0</v>
      </c>
      <c r="N76" s="1096">
        <f t="shared" si="36"/>
        <v>0</v>
      </c>
      <c r="O76" s="1096">
        <f t="shared" si="36"/>
        <v>0</v>
      </c>
    </row>
    <row r="77" spans="1:15" ht="13" x14ac:dyDescent="0.3">
      <c r="A77" s="1883" t="s">
        <v>163</v>
      </c>
      <c r="B77" s="1883"/>
      <c r="C77" s="1072">
        <f>SUM(C78:C82)</f>
        <v>0</v>
      </c>
      <c r="D77" s="1072">
        <f t="shared" ref="D77:N77" si="37">SUM(D78:D82)</f>
        <v>0</v>
      </c>
      <c r="E77" s="1072">
        <f t="shared" si="37"/>
        <v>0</v>
      </c>
      <c r="F77" s="1072">
        <f t="shared" si="37"/>
        <v>0</v>
      </c>
      <c r="G77" s="1072">
        <f t="shared" si="37"/>
        <v>0</v>
      </c>
      <c r="H77" s="1072">
        <f t="shared" si="37"/>
        <v>0</v>
      </c>
      <c r="I77" s="1072">
        <f t="shared" si="37"/>
        <v>0</v>
      </c>
      <c r="J77" s="1072">
        <f t="shared" si="37"/>
        <v>0</v>
      </c>
      <c r="K77" s="1072">
        <f t="shared" si="37"/>
        <v>0</v>
      </c>
      <c r="L77" s="1072">
        <f t="shared" si="37"/>
        <v>0</v>
      </c>
      <c r="M77" s="1072">
        <f t="shared" si="37"/>
        <v>0</v>
      </c>
      <c r="N77" s="1072">
        <f t="shared" si="37"/>
        <v>0</v>
      </c>
      <c r="O77" s="1072">
        <f>SUM(O78:O82)</f>
        <v>0</v>
      </c>
    </row>
    <row r="78" spans="1:15" hidden="1" x14ac:dyDescent="0.25">
      <c r="A78" s="1157" t="s">
        <v>208</v>
      </c>
      <c r="B78" s="1158"/>
      <c r="C78" s="1159">
        <f>(C35+C53)*$C27</f>
        <v>0</v>
      </c>
      <c r="D78" s="1154">
        <f t="shared" ref="D78:I78" si="38">(D35+D53)*$C27</f>
        <v>0</v>
      </c>
      <c r="E78" s="1154">
        <f t="shared" si="38"/>
        <v>0</v>
      </c>
      <c r="F78" s="1154">
        <f t="shared" si="38"/>
        <v>0</v>
      </c>
      <c r="G78" s="1154">
        <f t="shared" si="38"/>
        <v>0</v>
      </c>
      <c r="H78" s="1154">
        <f t="shared" si="38"/>
        <v>0</v>
      </c>
      <c r="I78" s="1154">
        <f t="shared" si="38"/>
        <v>0</v>
      </c>
      <c r="J78" s="1154">
        <f>(J35+J53)*$C27</f>
        <v>0</v>
      </c>
      <c r="K78" s="1154">
        <f>(K35+K53)*$C27</f>
        <v>0</v>
      </c>
      <c r="L78" s="1154">
        <f>(L35+L53)*$C27</f>
        <v>0</v>
      </c>
      <c r="M78" s="1154">
        <f>(M35+M53)*$C27</f>
        <v>0</v>
      </c>
      <c r="N78" s="1160">
        <f>(N35+N53)*$C27</f>
        <v>0</v>
      </c>
      <c r="O78" s="1161">
        <f t="shared" ref="O78:O94" si="39">SUM(C78:N78)</f>
        <v>0</v>
      </c>
    </row>
    <row r="79" spans="1:15" hidden="1" x14ac:dyDescent="0.25">
      <c r="A79" s="1157" t="s">
        <v>209</v>
      </c>
      <c r="B79" s="1158"/>
      <c r="C79" s="1159">
        <f>(C36+C54)*$D27</f>
        <v>0</v>
      </c>
      <c r="D79" s="1154">
        <f t="shared" ref="D79:I79" si="40">(D36+D54)*$D27</f>
        <v>0</v>
      </c>
      <c r="E79" s="1154">
        <f t="shared" si="40"/>
        <v>0</v>
      </c>
      <c r="F79" s="1154">
        <f t="shared" si="40"/>
        <v>0</v>
      </c>
      <c r="G79" s="1154">
        <f t="shared" si="40"/>
        <v>0</v>
      </c>
      <c r="H79" s="1154">
        <f t="shared" si="40"/>
        <v>0</v>
      </c>
      <c r="I79" s="1154">
        <f t="shared" si="40"/>
        <v>0</v>
      </c>
      <c r="J79" s="1154">
        <f>(J36+J54)*$D27</f>
        <v>0</v>
      </c>
      <c r="K79" s="1154">
        <f>(K36+K54)*$D27</f>
        <v>0</v>
      </c>
      <c r="L79" s="1154">
        <f>(L36+L54)*$D27</f>
        <v>0</v>
      </c>
      <c r="M79" s="1154">
        <f>(M36+M54)*$D27</f>
        <v>0</v>
      </c>
      <c r="N79" s="1160">
        <f>(N36+N54)*$D27</f>
        <v>0</v>
      </c>
      <c r="O79" s="1161">
        <f t="shared" si="39"/>
        <v>0</v>
      </c>
    </row>
    <row r="80" spans="1:15" hidden="1" x14ac:dyDescent="0.25">
      <c r="A80" s="1157" t="s">
        <v>219</v>
      </c>
      <c r="B80" s="1158"/>
      <c r="C80" s="1159">
        <f>(C37+C55)*$E27</f>
        <v>0</v>
      </c>
      <c r="D80" s="1154">
        <f t="shared" ref="D80:I80" si="41">(D37+D55)*$E27</f>
        <v>0</v>
      </c>
      <c r="E80" s="1154">
        <f t="shared" si="41"/>
        <v>0</v>
      </c>
      <c r="F80" s="1154">
        <f t="shared" si="41"/>
        <v>0</v>
      </c>
      <c r="G80" s="1154">
        <f t="shared" si="41"/>
        <v>0</v>
      </c>
      <c r="H80" s="1154">
        <f t="shared" si="41"/>
        <v>0</v>
      </c>
      <c r="I80" s="1154">
        <f t="shared" si="41"/>
        <v>0</v>
      </c>
      <c r="J80" s="1154">
        <f>(J37+J55)*$E27</f>
        <v>0</v>
      </c>
      <c r="K80" s="1154">
        <f>(K37+K55)*$E27</f>
        <v>0</v>
      </c>
      <c r="L80" s="1154">
        <f>(L37+L55)*$E27</f>
        <v>0</v>
      </c>
      <c r="M80" s="1154">
        <f>(M37+M55)*$E27</f>
        <v>0</v>
      </c>
      <c r="N80" s="1160">
        <f>(N37+N55)*$E27</f>
        <v>0</v>
      </c>
      <c r="O80" s="1161">
        <f t="shared" si="39"/>
        <v>0</v>
      </c>
    </row>
    <row r="81" spans="1:16" hidden="1" x14ac:dyDescent="0.25">
      <c r="A81" s="1157" t="s">
        <v>220</v>
      </c>
      <c r="B81" s="1158"/>
      <c r="C81" s="1159">
        <f>(C38+C56)*$F27</f>
        <v>0</v>
      </c>
      <c r="D81" s="1154">
        <f t="shared" ref="D81:I81" si="42">(D38+D56)*$F27</f>
        <v>0</v>
      </c>
      <c r="E81" s="1154">
        <f t="shared" si="42"/>
        <v>0</v>
      </c>
      <c r="F81" s="1154">
        <f t="shared" si="42"/>
        <v>0</v>
      </c>
      <c r="G81" s="1154">
        <f t="shared" si="42"/>
        <v>0</v>
      </c>
      <c r="H81" s="1154">
        <f t="shared" si="42"/>
        <v>0</v>
      </c>
      <c r="I81" s="1154">
        <f t="shared" si="42"/>
        <v>0</v>
      </c>
      <c r="J81" s="1154">
        <f>(J38+J56)*$F27</f>
        <v>0</v>
      </c>
      <c r="K81" s="1154">
        <f>(K38+K56)*$F27</f>
        <v>0</v>
      </c>
      <c r="L81" s="1154">
        <f>(L38+L56)*$F27</f>
        <v>0</v>
      </c>
      <c r="M81" s="1154">
        <f>(M38+M56)*$F27</f>
        <v>0</v>
      </c>
      <c r="N81" s="1160">
        <f>(N38+N56)*$F27</f>
        <v>0</v>
      </c>
      <c r="O81" s="1161">
        <f t="shared" si="39"/>
        <v>0</v>
      </c>
    </row>
    <row r="82" spans="1:16" hidden="1" x14ac:dyDescent="0.25">
      <c r="A82" s="1157" t="s">
        <v>221</v>
      </c>
      <c r="B82" s="1158"/>
      <c r="C82" s="1159">
        <f>(C39+C57)*$G27</f>
        <v>0</v>
      </c>
      <c r="D82" s="1154">
        <f t="shared" ref="D82:I82" si="43">(D39+D57)*$G27</f>
        <v>0</v>
      </c>
      <c r="E82" s="1154">
        <f t="shared" si="43"/>
        <v>0</v>
      </c>
      <c r="F82" s="1154">
        <f t="shared" si="43"/>
        <v>0</v>
      </c>
      <c r="G82" s="1154">
        <f t="shared" si="43"/>
        <v>0</v>
      </c>
      <c r="H82" s="1154">
        <f t="shared" si="43"/>
        <v>0</v>
      </c>
      <c r="I82" s="1154">
        <f t="shared" si="43"/>
        <v>0</v>
      </c>
      <c r="J82" s="1154">
        <f>(J39+J57)*$G27</f>
        <v>0</v>
      </c>
      <c r="K82" s="1154">
        <f>(K39+K57)*$G27</f>
        <v>0</v>
      </c>
      <c r="L82" s="1154">
        <f>(L39+L57)*$G27</f>
        <v>0</v>
      </c>
      <c r="M82" s="1154">
        <f>(M39+M57)*$G27</f>
        <v>0</v>
      </c>
      <c r="N82" s="1160">
        <f>(N39+N57)*$G27</f>
        <v>0</v>
      </c>
      <c r="O82" s="1161">
        <f t="shared" si="39"/>
        <v>0</v>
      </c>
    </row>
    <row r="83" spans="1:16" ht="13" x14ac:dyDescent="0.3">
      <c r="A83" s="1884" t="s">
        <v>366</v>
      </c>
      <c r="B83" s="1884"/>
      <c r="C83" s="1097">
        <f>SUM(C84:C88)</f>
        <v>0</v>
      </c>
      <c r="D83" s="1097">
        <f t="shared" ref="D83:N83" si="44">SUM(D84:D88)</f>
        <v>0</v>
      </c>
      <c r="E83" s="1097">
        <f t="shared" si="44"/>
        <v>0</v>
      </c>
      <c r="F83" s="1097">
        <f t="shared" si="44"/>
        <v>0</v>
      </c>
      <c r="G83" s="1097">
        <f t="shared" si="44"/>
        <v>0</v>
      </c>
      <c r="H83" s="1097">
        <f t="shared" si="44"/>
        <v>0</v>
      </c>
      <c r="I83" s="1097">
        <f t="shared" si="44"/>
        <v>0</v>
      </c>
      <c r="J83" s="1097">
        <f t="shared" si="44"/>
        <v>0</v>
      </c>
      <c r="K83" s="1097">
        <f t="shared" si="44"/>
        <v>0</v>
      </c>
      <c r="L83" s="1097">
        <f t="shared" si="44"/>
        <v>0</v>
      </c>
      <c r="M83" s="1097">
        <f t="shared" si="44"/>
        <v>0</v>
      </c>
      <c r="N83" s="1097">
        <f t="shared" si="44"/>
        <v>0</v>
      </c>
      <c r="O83" s="1097">
        <f t="shared" si="39"/>
        <v>0</v>
      </c>
      <c r="P83" s="21"/>
    </row>
    <row r="84" spans="1:16" hidden="1" x14ac:dyDescent="0.25">
      <c r="A84" s="1162" t="s">
        <v>208</v>
      </c>
      <c r="B84" s="1163"/>
      <c r="C84" s="1159">
        <f>C35+C53+C59-C71-C78</f>
        <v>0</v>
      </c>
      <c r="D84" s="1154">
        <f t="shared" ref="D84:N84" si="45">D35+D53+D59-D71-D78</f>
        <v>0</v>
      </c>
      <c r="E84" s="1154">
        <f t="shared" si="45"/>
        <v>0</v>
      </c>
      <c r="F84" s="1154">
        <f t="shared" si="45"/>
        <v>0</v>
      </c>
      <c r="G84" s="1154">
        <f t="shared" si="45"/>
        <v>0</v>
      </c>
      <c r="H84" s="1154">
        <f t="shared" si="45"/>
        <v>0</v>
      </c>
      <c r="I84" s="1154">
        <f t="shared" si="45"/>
        <v>0</v>
      </c>
      <c r="J84" s="1154">
        <f t="shared" si="45"/>
        <v>0</v>
      </c>
      <c r="K84" s="1154">
        <f t="shared" si="45"/>
        <v>0</v>
      </c>
      <c r="L84" s="1154">
        <f t="shared" si="45"/>
        <v>0</v>
      </c>
      <c r="M84" s="1154">
        <f t="shared" si="45"/>
        <v>0</v>
      </c>
      <c r="N84" s="1160">
        <f t="shared" si="45"/>
        <v>0</v>
      </c>
      <c r="O84" s="1161">
        <f t="shared" si="39"/>
        <v>0</v>
      </c>
      <c r="P84" s="21"/>
    </row>
    <row r="85" spans="1:16" hidden="1" x14ac:dyDescent="0.25">
      <c r="A85" s="1162" t="s">
        <v>209</v>
      </c>
      <c r="B85" s="1163"/>
      <c r="C85" s="1159">
        <f t="shared" ref="C85:N88" si="46">C36+C54+C60-C72-C79</f>
        <v>0</v>
      </c>
      <c r="D85" s="1154">
        <f t="shared" si="46"/>
        <v>0</v>
      </c>
      <c r="E85" s="1154">
        <f t="shared" si="46"/>
        <v>0</v>
      </c>
      <c r="F85" s="1154">
        <f t="shared" si="46"/>
        <v>0</v>
      </c>
      <c r="G85" s="1154">
        <f t="shared" si="46"/>
        <v>0</v>
      </c>
      <c r="H85" s="1154">
        <f t="shared" si="46"/>
        <v>0</v>
      </c>
      <c r="I85" s="1154">
        <f t="shared" si="46"/>
        <v>0</v>
      </c>
      <c r="J85" s="1154">
        <f t="shared" si="46"/>
        <v>0</v>
      </c>
      <c r="K85" s="1154">
        <f t="shared" si="46"/>
        <v>0</v>
      </c>
      <c r="L85" s="1154">
        <f t="shared" si="46"/>
        <v>0</v>
      </c>
      <c r="M85" s="1154">
        <f t="shared" si="46"/>
        <v>0</v>
      </c>
      <c r="N85" s="1160">
        <f t="shared" si="46"/>
        <v>0</v>
      </c>
      <c r="O85" s="1161">
        <f t="shared" si="39"/>
        <v>0</v>
      </c>
      <c r="P85" s="21"/>
    </row>
    <row r="86" spans="1:16" hidden="1" x14ac:dyDescent="0.25">
      <c r="A86" s="1162" t="s">
        <v>219</v>
      </c>
      <c r="B86" s="1163"/>
      <c r="C86" s="1159">
        <f t="shared" si="46"/>
        <v>0</v>
      </c>
      <c r="D86" s="1154">
        <f t="shared" si="46"/>
        <v>0</v>
      </c>
      <c r="E86" s="1154">
        <f t="shared" si="46"/>
        <v>0</v>
      </c>
      <c r="F86" s="1154">
        <f t="shared" si="46"/>
        <v>0</v>
      </c>
      <c r="G86" s="1154">
        <f t="shared" si="46"/>
        <v>0</v>
      </c>
      <c r="H86" s="1154">
        <f t="shared" si="46"/>
        <v>0</v>
      </c>
      <c r="I86" s="1154">
        <f t="shared" si="46"/>
        <v>0</v>
      </c>
      <c r="J86" s="1154">
        <f t="shared" si="46"/>
        <v>0</v>
      </c>
      <c r="K86" s="1154">
        <f t="shared" si="46"/>
        <v>0</v>
      </c>
      <c r="L86" s="1154">
        <f t="shared" si="46"/>
        <v>0</v>
      </c>
      <c r="M86" s="1154">
        <f t="shared" si="46"/>
        <v>0</v>
      </c>
      <c r="N86" s="1160">
        <f t="shared" si="46"/>
        <v>0</v>
      </c>
      <c r="O86" s="1161">
        <f t="shared" si="39"/>
        <v>0</v>
      </c>
      <c r="P86" s="21"/>
    </row>
    <row r="87" spans="1:16" hidden="1" x14ac:dyDescent="0.25">
      <c r="A87" s="1162" t="s">
        <v>220</v>
      </c>
      <c r="B87" s="1163"/>
      <c r="C87" s="1159">
        <f t="shared" si="46"/>
        <v>0</v>
      </c>
      <c r="D87" s="1154">
        <f t="shared" si="46"/>
        <v>0</v>
      </c>
      <c r="E87" s="1154">
        <f t="shared" si="46"/>
        <v>0</v>
      </c>
      <c r="F87" s="1154">
        <f t="shared" si="46"/>
        <v>0</v>
      </c>
      <c r="G87" s="1154">
        <f t="shared" si="46"/>
        <v>0</v>
      </c>
      <c r="H87" s="1154">
        <f t="shared" si="46"/>
        <v>0</v>
      </c>
      <c r="I87" s="1154">
        <f t="shared" si="46"/>
        <v>0</v>
      </c>
      <c r="J87" s="1154">
        <f t="shared" si="46"/>
        <v>0</v>
      </c>
      <c r="K87" s="1154">
        <f t="shared" si="46"/>
        <v>0</v>
      </c>
      <c r="L87" s="1154">
        <f t="shared" si="46"/>
        <v>0</v>
      </c>
      <c r="M87" s="1154">
        <f t="shared" si="46"/>
        <v>0</v>
      </c>
      <c r="N87" s="1160">
        <f t="shared" si="46"/>
        <v>0</v>
      </c>
      <c r="O87" s="1161">
        <f t="shared" si="39"/>
        <v>0</v>
      </c>
      <c r="P87" s="21"/>
    </row>
    <row r="88" spans="1:16" hidden="1" x14ac:dyDescent="0.25">
      <c r="A88" s="1162" t="s">
        <v>221</v>
      </c>
      <c r="B88" s="1163"/>
      <c r="C88" s="1159">
        <f t="shared" si="46"/>
        <v>0</v>
      </c>
      <c r="D88" s="1154">
        <f t="shared" si="46"/>
        <v>0</v>
      </c>
      <c r="E88" s="1154">
        <f t="shared" si="46"/>
        <v>0</v>
      </c>
      <c r="F88" s="1154">
        <f t="shared" si="46"/>
        <v>0</v>
      </c>
      <c r="G88" s="1154">
        <f t="shared" si="46"/>
        <v>0</v>
      </c>
      <c r="H88" s="1154">
        <f t="shared" si="46"/>
        <v>0</v>
      </c>
      <c r="I88" s="1154">
        <f t="shared" si="46"/>
        <v>0</v>
      </c>
      <c r="J88" s="1154">
        <f t="shared" si="46"/>
        <v>0</v>
      </c>
      <c r="K88" s="1154">
        <f t="shared" si="46"/>
        <v>0</v>
      </c>
      <c r="L88" s="1154">
        <f t="shared" si="46"/>
        <v>0</v>
      </c>
      <c r="M88" s="1154">
        <f t="shared" si="46"/>
        <v>0</v>
      </c>
      <c r="N88" s="1160">
        <f t="shared" si="46"/>
        <v>0</v>
      </c>
      <c r="O88" s="1161">
        <f t="shared" si="39"/>
        <v>0</v>
      </c>
      <c r="P88" s="21"/>
    </row>
    <row r="89" spans="1:16" ht="13" x14ac:dyDescent="0.3">
      <c r="A89" s="1883" t="s">
        <v>367</v>
      </c>
      <c r="B89" s="1883"/>
      <c r="C89" s="15">
        <f>SUM(C90:C94)</f>
        <v>0</v>
      </c>
      <c r="D89" s="15">
        <f t="shared" ref="D89:N89" si="47">SUM(D90:D94)</f>
        <v>0</v>
      </c>
      <c r="E89" s="15">
        <f t="shared" si="47"/>
        <v>0</v>
      </c>
      <c r="F89" s="15">
        <f t="shared" si="47"/>
        <v>0</v>
      </c>
      <c r="G89" s="15">
        <f t="shared" si="47"/>
        <v>0</v>
      </c>
      <c r="H89" s="15">
        <f t="shared" si="47"/>
        <v>0</v>
      </c>
      <c r="I89" s="15">
        <f t="shared" si="47"/>
        <v>0</v>
      </c>
      <c r="J89" s="15">
        <f t="shared" si="47"/>
        <v>0</v>
      </c>
      <c r="K89" s="15">
        <f t="shared" si="47"/>
        <v>0</v>
      </c>
      <c r="L89" s="15">
        <f t="shared" si="47"/>
        <v>0</v>
      </c>
      <c r="M89" s="15">
        <f t="shared" si="47"/>
        <v>0</v>
      </c>
      <c r="N89" s="15">
        <f t="shared" si="47"/>
        <v>0</v>
      </c>
      <c r="O89" s="15">
        <f>SUM(C89:N89)</f>
        <v>0</v>
      </c>
      <c r="P89" s="21"/>
    </row>
    <row r="90" spans="1:16" hidden="1" x14ac:dyDescent="0.25">
      <c r="A90" s="1162" t="s">
        <v>208</v>
      </c>
      <c r="B90" s="1163"/>
      <c r="C90" s="1159">
        <f>IF(C$32=$C$6,C84,0)</f>
        <v>0</v>
      </c>
      <c r="D90" s="1154">
        <f t="shared" ref="D90:N90" si="48">IF(D$32=$C$6,D84,0)+IF(C90=0,0,D84)</f>
        <v>0</v>
      </c>
      <c r="E90" s="1154">
        <f t="shared" si="48"/>
        <v>0</v>
      </c>
      <c r="F90" s="1154">
        <f t="shared" si="48"/>
        <v>0</v>
      </c>
      <c r="G90" s="1154">
        <f t="shared" si="48"/>
        <v>0</v>
      </c>
      <c r="H90" s="1154">
        <f t="shared" si="48"/>
        <v>0</v>
      </c>
      <c r="I90" s="1154">
        <f t="shared" si="48"/>
        <v>0</v>
      </c>
      <c r="J90" s="1154">
        <f t="shared" si="48"/>
        <v>0</v>
      </c>
      <c r="K90" s="1154">
        <f t="shared" si="48"/>
        <v>0</v>
      </c>
      <c r="L90" s="1154">
        <f t="shared" si="48"/>
        <v>0</v>
      </c>
      <c r="M90" s="1154">
        <f t="shared" si="48"/>
        <v>0</v>
      </c>
      <c r="N90" s="1160">
        <f t="shared" si="48"/>
        <v>0</v>
      </c>
      <c r="O90" s="1161">
        <f t="shared" si="39"/>
        <v>0</v>
      </c>
    </row>
    <row r="91" spans="1:16" hidden="1" x14ac:dyDescent="0.25">
      <c r="A91" s="1162" t="s">
        <v>209</v>
      </c>
      <c r="B91" s="1163"/>
      <c r="C91" s="1159">
        <f>IF(C$32=$D$6,C85,0)</f>
        <v>0</v>
      </c>
      <c r="D91" s="1154">
        <f t="shared" ref="D91:N91" si="49">IF(D$32=$D$6,D85,0)+IF(C91=0,0,D85)</f>
        <v>0</v>
      </c>
      <c r="E91" s="1154">
        <f t="shared" si="49"/>
        <v>0</v>
      </c>
      <c r="F91" s="1154">
        <f t="shared" si="49"/>
        <v>0</v>
      </c>
      <c r="G91" s="1154">
        <f t="shared" si="49"/>
        <v>0</v>
      </c>
      <c r="H91" s="1154">
        <f t="shared" si="49"/>
        <v>0</v>
      </c>
      <c r="I91" s="1154">
        <f t="shared" si="49"/>
        <v>0</v>
      </c>
      <c r="J91" s="1154">
        <f t="shared" si="49"/>
        <v>0</v>
      </c>
      <c r="K91" s="1154">
        <f t="shared" si="49"/>
        <v>0</v>
      </c>
      <c r="L91" s="1154">
        <f t="shared" si="49"/>
        <v>0</v>
      </c>
      <c r="M91" s="1154">
        <f t="shared" si="49"/>
        <v>0</v>
      </c>
      <c r="N91" s="1160">
        <f t="shared" si="49"/>
        <v>0</v>
      </c>
      <c r="O91" s="1161">
        <f t="shared" si="39"/>
        <v>0</v>
      </c>
    </row>
    <row r="92" spans="1:16" hidden="1" x14ac:dyDescent="0.25">
      <c r="A92" s="1162" t="s">
        <v>219</v>
      </c>
      <c r="B92" s="1163"/>
      <c r="C92" s="1159">
        <f>IF(C$32=$E$6,C86,0)</f>
        <v>0</v>
      </c>
      <c r="D92" s="1154">
        <f t="shared" ref="D92:N92" si="50">IF(D$32=$E$6,D86,0)+IF(C92=0,0,D86)</f>
        <v>0</v>
      </c>
      <c r="E92" s="1154">
        <f t="shared" si="50"/>
        <v>0</v>
      </c>
      <c r="F92" s="1154">
        <f t="shared" si="50"/>
        <v>0</v>
      </c>
      <c r="G92" s="1154">
        <f t="shared" si="50"/>
        <v>0</v>
      </c>
      <c r="H92" s="1154">
        <f t="shared" si="50"/>
        <v>0</v>
      </c>
      <c r="I92" s="1154">
        <f t="shared" si="50"/>
        <v>0</v>
      </c>
      <c r="J92" s="1154">
        <f t="shared" si="50"/>
        <v>0</v>
      </c>
      <c r="K92" s="1154">
        <f t="shared" si="50"/>
        <v>0</v>
      </c>
      <c r="L92" s="1154">
        <f t="shared" si="50"/>
        <v>0</v>
      </c>
      <c r="M92" s="1154">
        <f t="shared" si="50"/>
        <v>0</v>
      </c>
      <c r="N92" s="1160">
        <f t="shared" si="50"/>
        <v>0</v>
      </c>
      <c r="O92" s="1161">
        <f t="shared" si="39"/>
        <v>0</v>
      </c>
    </row>
    <row r="93" spans="1:16" hidden="1" x14ac:dyDescent="0.25">
      <c r="A93" s="1162" t="s">
        <v>220</v>
      </c>
      <c r="B93" s="1163"/>
      <c r="C93" s="1159">
        <f>IF(C$32=$F$6,C87,0)</f>
        <v>0</v>
      </c>
      <c r="D93" s="1154">
        <f t="shared" ref="D93:N93" si="51">IF(D$32=$F$6,D87,0)+IF(C93=0,0,D87)</f>
        <v>0</v>
      </c>
      <c r="E93" s="1154">
        <f t="shared" si="51"/>
        <v>0</v>
      </c>
      <c r="F93" s="1154">
        <f t="shared" si="51"/>
        <v>0</v>
      </c>
      <c r="G93" s="1154">
        <f t="shared" si="51"/>
        <v>0</v>
      </c>
      <c r="H93" s="1154">
        <f t="shared" si="51"/>
        <v>0</v>
      </c>
      <c r="I93" s="1154">
        <f t="shared" si="51"/>
        <v>0</v>
      </c>
      <c r="J93" s="1154">
        <f t="shared" si="51"/>
        <v>0</v>
      </c>
      <c r="K93" s="1154">
        <f t="shared" si="51"/>
        <v>0</v>
      </c>
      <c r="L93" s="1154">
        <f t="shared" si="51"/>
        <v>0</v>
      </c>
      <c r="M93" s="1154">
        <f t="shared" si="51"/>
        <v>0</v>
      </c>
      <c r="N93" s="1160">
        <f t="shared" si="51"/>
        <v>0</v>
      </c>
      <c r="O93" s="1161">
        <f t="shared" si="39"/>
        <v>0</v>
      </c>
    </row>
    <row r="94" spans="1:16" hidden="1" x14ac:dyDescent="0.25">
      <c r="A94" s="1162" t="s">
        <v>221</v>
      </c>
      <c r="B94" s="1163"/>
      <c r="C94" s="1159">
        <f>IF(C$32=$G$6,C88,0)</f>
        <v>0</v>
      </c>
      <c r="D94" s="1154">
        <f t="shared" ref="D94:N94" si="52">IF(D$32=$G$6,D88,0)+IF(C94=0,0,D88)</f>
        <v>0</v>
      </c>
      <c r="E94" s="1154">
        <f t="shared" si="52"/>
        <v>0</v>
      </c>
      <c r="F94" s="1154">
        <f t="shared" si="52"/>
        <v>0</v>
      </c>
      <c r="G94" s="1154">
        <f t="shared" si="52"/>
        <v>0</v>
      </c>
      <c r="H94" s="1154">
        <f t="shared" si="52"/>
        <v>0</v>
      </c>
      <c r="I94" s="1154">
        <f t="shared" si="52"/>
        <v>0</v>
      </c>
      <c r="J94" s="1154">
        <f t="shared" si="52"/>
        <v>0</v>
      </c>
      <c r="K94" s="1154">
        <f t="shared" si="52"/>
        <v>0</v>
      </c>
      <c r="L94" s="1154">
        <f t="shared" si="52"/>
        <v>0</v>
      </c>
      <c r="M94" s="1154">
        <f t="shared" si="52"/>
        <v>0</v>
      </c>
      <c r="N94" s="1160">
        <f t="shared" si="52"/>
        <v>0</v>
      </c>
      <c r="O94" s="1161">
        <f t="shared" si="39"/>
        <v>0</v>
      </c>
    </row>
    <row r="95" spans="1:16" ht="13" x14ac:dyDescent="0.3">
      <c r="A95" s="1886" t="s">
        <v>380</v>
      </c>
      <c r="B95" s="1886"/>
      <c r="C95" s="1026">
        <f>C83-C89</f>
        <v>0</v>
      </c>
      <c r="D95" s="1026">
        <f>C95+D83-D89</f>
        <v>0</v>
      </c>
      <c r="E95" s="1026">
        <f t="shared" ref="E95:M95" si="53">D95+E83-E89</f>
        <v>0</v>
      </c>
      <c r="F95" s="1026">
        <f t="shared" si="53"/>
        <v>0</v>
      </c>
      <c r="G95" s="1026">
        <f t="shared" si="53"/>
        <v>0</v>
      </c>
      <c r="H95" s="1026">
        <f t="shared" si="53"/>
        <v>0</v>
      </c>
      <c r="I95" s="1026">
        <f t="shared" si="53"/>
        <v>0</v>
      </c>
      <c r="J95" s="1026">
        <f t="shared" si="53"/>
        <v>0</v>
      </c>
      <c r="K95" s="1026">
        <f t="shared" si="53"/>
        <v>0</v>
      </c>
      <c r="L95" s="1026">
        <f t="shared" si="53"/>
        <v>0</v>
      </c>
      <c r="M95" s="1026">
        <f t="shared" si="53"/>
        <v>0</v>
      </c>
      <c r="N95" s="1026">
        <f>M95+N83-N89+N46-N52</f>
        <v>0</v>
      </c>
      <c r="O95" s="1026">
        <f>N95</f>
        <v>0</v>
      </c>
    </row>
    <row r="98" spans="1:15" ht="13" x14ac:dyDescent="0.3">
      <c r="A98" s="1834" t="s">
        <v>47</v>
      </c>
      <c r="B98" s="1834"/>
    </row>
    <row r="100" spans="1:15" ht="13" x14ac:dyDescent="0.3">
      <c r="A100" s="1887"/>
      <c r="B100" s="1887"/>
      <c r="C100" s="1164" t="str">
        <f>C3</f>
        <v>Categoria A</v>
      </c>
      <c r="D100" s="1164" t="str">
        <f>D3</f>
        <v>Categoria B</v>
      </c>
      <c r="E100" s="1164" t="str">
        <f>E3</f>
        <v>Categoria C</v>
      </c>
      <c r="F100" s="1164" t="str">
        <f>F3</f>
        <v>Categoria D</v>
      </c>
      <c r="G100" s="1164" t="str">
        <f>G3</f>
        <v>Categoria E</v>
      </c>
      <c r="H100" s="1127" t="s">
        <v>77</v>
      </c>
    </row>
    <row r="101" spans="1:15" ht="13" x14ac:dyDescent="0.3">
      <c r="A101" s="1883" t="s">
        <v>210</v>
      </c>
      <c r="B101" s="1883"/>
      <c r="C101" s="229">
        <f>'Introducció dades'!C352</f>
        <v>0</v>
      </c>
      <c r="D101" s="229">
        <f>'Introducció dades'!D352</f>
        <v>0</v>
      </c>
      <c r="E101" s="229">
        <f>'Introducció dades'!E352</f>
        <v>0</v>
      </c>
      <c r="F101" s="229">
        <f>'Introducció dades'!F352</f>
        <v>0</v>
      </c>
      <c r="G101" s="229">
        <f>'Introducció dades'!G352</f>
        <v>0</v>
      </c>
      <c r="H101" s="1014">
        <f>SUM(C101:G101)</f>
        <v>0</v>
      </c>
    </row>
    <row r="102" spans="1:15" ht="13" x14ac:dyDescent="0.3">
      <c r="A102" s="1883" t="s">
        <v>194</v>
      </c>
      <c r="B102" s="1883"/>
      <c r="C102" s="229" t="str">
        <f>'Introducció dades'!C353</f>
        <v>GENER</v>
      </c>
      <c r="D102" s="229" t="str">
        <f>'Introducció dades'!D353</f>
        <v>GENER</v>
      </c>
      <c r="E102" s="229" t="str">
        <f>'Introducció dades'!E353</f>
        <v>GENER</v>
      </c>
      <c r="F102" s="229" t="str">
        <f>'Introducció dades'!F353</f>
        <v>GENER</v>
      </c>
      <c r="G102" s="229" t="str">
        <f>'Introducció dades'!G353</f>
        <v>GENER</v>
      </c>
      <c r="H102" s="920"/>
    </row>
    <row r="103" spans="1:15" ht="13" x14ac:dyDescent="0.3">
      <c r="A103" s="1883" t="s">
        <v>195</v>
      </c>
      <c r="B103" s="1883"/>
      <c r="C103" s="229" t="str">
        <f>'Introducció dades'!C354</f>
        <v>GENER</v>
      </c>
      <c r="D103" s="229" t="str">
        <f>'Introducció dades'!D354</f>
        <v>GENER</v>
      </c>
      <c r="E103" s="229" t="str">
        <f>'Introducció dades'!E354</f>
        <v>GENER</v>
      </c>
      <c r="F103" s="229" t="str">
        <f>'Introducció dades'!F354</f>
        <v>GENER</v>
      </c>
      <c r="G103" s="229" t="str">
        <f>'Introducció dades'!G354</f>
        <v>GENER</v>
      </c>
      <c r="H103" s="920"/>
    </row>
    <row r="104" spans="1:15" ht="13" x14ac:dyDescent="0.3">
      <c r="A104" s="1883" t="s">
        <v>369</v>
      </c>
      <c r="B104" s="1883"/>
      <c r="C104" s="1128">
        <f>IF(C102=$C129,12)+IF(C102=$D129,11)+IF(C102=$E129,10)+IF(C102=$F129,9)+IF(C102=$G129,8)+IF(C102=$H129,7)+IF(C102=$I129,6)+IF(C102=$J129,5)+IF(C102=$K129,4)+IF(C102=$L129,3)+IF(C102=$M129,2)+IF(C102=$M129,1)</f>
        <v>12</v>
      </c>
      <c r="D104" s="1128">
        <f>IF(D102=$C129,12)+IF(D102=$D129,11)+IF(D102=$E129,10)+IF(D102=$F129,9)+IF(D102=$G129,8)+IF(D102=$H129,7)+IF(D102=$I129,6)+IF(D102=$J129,5)+IF(D102=$K129,4)+IF(D102=$L129,3)+IF(D102=$M129,2)+IF(D102=$M129,1)</f>
        <v>12</v>
      </c>
      <c r="E104" s="1128">
        <f>IF(E102=$C129,12)+IF(E102=$D129,11)+IF(E102=$E129,10)+IF(E102=$F129,9)+IF(E102=$G129,8)+IF(E102=$H129,7)+IF(E102=$I129,6)+IF(E102=$J129,5)+IF(E102=$K129,4)+IF(E102=$L129,3)+IF(E102=$M129,2)+IF(E102=$M129,1)</f>
        <v>12</v>
      </c>
      <c r="F104" s="1128">
        <f>IF(F102=$C129,12)+IF(F102=$D129,11)+IF(F102=$E129,10)+IF(F102=$F129,9)+IF(F102=$G129,8)+IF(F102=$H129,7)+IF(F102=$I129,6)+IF(F102=$J129,5)+IF(F102=$K129,4)+IF(F102=$L129,3)+IF(F102=$M129,2)+IF(F102=$M129,1)</f>
        <v>12</v>
      </c>
      <c r="G104" s="1128">
        <f>IF(G102=$C129,12)+IF(G102=$D129,11)+IF(G102=$E129,10)+IF(G102=$F129,9)+IF(G102=$G129,8)+IF(G102=$H129,7)+IF(G102=$I129,6)+IF(G102=$J129,5)+IF(G102=$K129,4)+IF(G102=$L129,3)+IF(G102=$M129,2)+IF(G102=$M129,1)</f>
        <v>12</v>
      </c>
      <c r="H104" s="920"/>
    </row>
    <row r="105" spans="1:15" ht="13" x14ac:dyDescent="0.3">
      <c r="A105" s="1880" t="s">
        <v>370</v>
      </c>
      <c r="B105" s="1880"/>
      <c r="C105" s="1129">
        <f>IF(C103=$C129,12)+IF(C103=$D129,11)+IF(C103=$E129,10)+IF(C103=$F129,9)+IF(C103=$G129,8)+IF(C103=$H129,7)+IF(C103=$I129,6)+IF(C103=$J129,5)+IF(C103=$K129,4)+IF(C103=$L129,3)+IF(C103=$M129,2)+IF(C103=$M129,1)</f>
        <v>12</v>
      </c>
      <c r="D105" s="1129">
        <f>IF(D103=$C129,12)+IF(D103=$D129,11)+IF(D103=$E129,10)+IF(D103=$F129,9)+IF(D103=$G129,8)+IF(D103=$H129,7)+IF(D103=$I129,6)+IF(D103=$J129,5)+IF(D103=$K129,4)+IF(D103=$L129,3)+IF(D103=$M129,2)+IF(D103=$M129,1)</f>
        <v>12</v>
      </c>
      <c r="E105" s="1129">
        <f>IF(E103=$C129,12)+IF(E103=$D129,11)+IF(E103=$E129,10)+IF(E103=$F129,9)+IF(E103=$G129,8)+IF(E103=$H129,7)+IF(E103=$I129,6)+IF(E103=$J129,5)+IF(E103=$K129,4)+IF(E103=$L129,3)+IF(E103=$M129,2)+IF(E103=$M129,1)</f>
        <v>12</v>
      </c>
      <c r="F105" s="1129">
        <f>IF(F103=$C129,12)+IF(F103=$D129,11)+IF(F103=$E129,10)+IF(F103=$F129,9)+IF(F103=$G129,8)+IF(F103=$H129,7)+IF(F103=$I129,6)+IF(F103=$J129,5)+IF(F103=$K129,4)+IF(F103=$L129,3)+IF(F103=$M129,2)+IF(F103=$M129,1)</f>
        <v>12</v>
      </c>
      <c r="G105" s="1129">
        <f>IF(G103=$C129,12)+IF(G103=$D129,11)+IF(G103=$E129,10)+IF(G103=$F129,9)+IF(G103=$G129,8)+IF(G103=$H129,7)+IF(G103=$I129,6)+IF(G103=$J129,5)+IF(G103=$K129,4)+IF(G103=$L129,3)+IF(G103=$M129,2)+IF(G103=$M129,1)</f>
        <v>12</v>
      </c>
      <c r="H105" s="1130"/>
    </row>
    <row r="106" spans="1:15" ht="13" x14ac:dyDescent="0.3">
      <c r="A106" s="1880" t="s">
        <v>211</v>
      </c>
      <c r="B106" s="1880"/>
      <c r="C106" s="1131"/>
      <c r="D106" s="1131"/>
      <c r="E106" s="1131"/>
      <c r="F106" s="1131"/>
      <c r="G106" s="1131"/>
      <c r="H106" s="1129"/>
    </row>
    <row r="107" spans="1:15" ht="13" x14ac:dyDescent="0.3">
      <c r="A107" s="1888" t="s">
        <v>212</v>
      </c>
      <c r="B107" s="1888"/>
      <c r="C107" s="1165">
        <f>'Introducció dades'!C356</f>
        <v>0</v>
      </c>
      <c r="D107" s="1165">
        <f>'Introducció dades'!D356</f>
        <v>0</v>
      </c>
      <c r="E107" s="1165">
        <f>'Introducció dades'!E356</f>
        <v>0</v>
      </c>
      <c r="F107" s="1165">
        <f>'Introducció dades'!F356</f>
        <v>0</v>
      </c>
      <c r="G107" s="1165">
        <f>'Introducció dades'!G356</f>
        <v>0</v>
      </c>
      <c r="H107" s="1133"/>
    </row>
    <row r="108" spans="1:15" x14ac:dyDescent="0.25">
      <c r="A108" s="1881" t="s">
        <v>371</v>
      </c>
      <c r="B108" s="1881"/>
      <c r="C108" s="1134">
        <f>C107*C104</f>
        <v>0</v>
      </c>
      <c r="D108" s="1134">
        <f>D107*D104</f>
        <v>0</v>
      </c>
      <c r="E108" s="1134">
        <f>E107*E104</f>
        <v>0</v>
      </c>
      <c r="F108" s="1134">
        <f>F107*F104</f>
        <v>0</v>
      </c>
      <c r="G108" s="1134">
        <f>G107*G104</f>
        <v>0</v>
      </c>
      <c r="H108" s="1134"/>
    </row>
    <row r="109" spans="1:15" x14ac:dyDescent="0.25">
      <c r="A109" s="1882" t="s">
        <v>372</v>
      </c>
      <c r="B109" s="1882"/>
      <c r="C109" s="1135">
        <f>C101*C108</f>
        <v>0</v>
      </c>
      <c r="D109" s="1135">
        <f>D101*D108</f>
        <v>0</v>
      </c>
      <c r="E109" s="1135">
        <f>E101*E108</f>
        <v>0</v>
      </c>
      <c r="F109" s="1135">
        <f>F101*F108</f>
        <v>0</v>
      </c>
      <c r="G109" s="1135">
        <f>G101*G108</f>
        <v>0</v>
      </c>
      <c r="H109" s="1135">
        <f>SUM(C109:G109)</f>
        <v>0</v>
      </c>
    </row>
    <row r="110" spans="1:15" x14ac:dyDescent="0.25">
      <c r="A110" s="1889" t="s">
        <v>198</v>
      </c>
      <c r="B110" s="1889"/>
      <c r="C110" s="1116"/>
      <c r="D110" s="1116"/>
      <c r="E110" s="1116"/>
      <c r="F110" s="1116"/>
      <c r="G110" s="1116"/>
      <c r="H110" s="1116"/>
    </row>
    <row r="111" spans="1:15" ht="13" x14ac:dyDescent="0.3">
      <c r="A111" s="1890" t="s">
        <v>199</v>
      </c>
      <c r="B111" s="1890"/>
      <c r="C111" s="1117">
        <f>'Introducció dades'!C358</f>
        <v>0</v>
      </c>
      <c r="D111" s="1117">
        <f>'Introducció dades'!D358</f>
        <v>0</v>
      </c>
      <c r="E111" s="1117">
        <f>'Introducció dades'!E358</f>
        <v>0</v>
      </c>
      <c r="F111" s="1117">
        <f>'Introducció dades'!F358</f>
        <v>0</v>
      </c>
      <c r="G111" s="1117">
        <f>'Introducció dades'!G358</f>
        <v>0</v>
      </c>
      <c r="H111" s="1075">
        <f>SUM(C111:G111)</f>
        <v>0</v>
      </c>
      <c r="J111" s="7"/>
      <c r="K111" s="7"/>
      <c r="L111" s="7"/>
      <c r="M111" s="7"/>
      <c r="N111" s="7"/>
      <c r="O111" s="7"/>
    </row>
    <row r="112" spans="1:15" ht="13" x14ac:dyDescent="0.3">
      <c r="A112" s="1890" t="s">
        <v>200</v>
      </c>
      <c r="B112" s="1890"/>
      <c r="C112" s="1117">
        <f>'Introducció dades'!C359</f>
        <v>0</v>
      </c>
      <c r="D112" s="1117">
        <f>'Introducció dades'!D359</f>
        <v>0</v>
      </c>
      <c r="E112" s="1117">
        <f>'Introducció dades'!E359</f>
        <v>0</v>
      </c>
      <c r="F112" s="1117">
        <f>'Introducció dades'!F359</f>
        <v>0</v>
      </c>
      <c r="G112" s="1117">
        <f>'Introducció dades'!G359</f>
        <v>0</v>
      </c>
      <c r="H112" s="1075">
        <f>H113</f>
        <v>0</v>
      </c>
      <c r="J112" s="7"/>
      <c r="K112" s="7"/>
      <c r="L112" s="7"/>
      <c r="M112" s="7"/>
      <c r="N112" s="7"/>
      <c r="O112" s="7"/>
    </row>
    <row r="113" spans="1:15" ht="13.5" customHeight="1" x14ac:dyDescent="0.3">
      <c r="A113" s="1896"/>
      <c r="B113" s="1896"/>
      <c r="C113" s="1076">
        <f>C111*C112</f>
        <v>0</v>
      </c>
      <c r="D113" s="1076">
        <f>D111*D112</f>
        <v>0</v>
      </c>
      <c r="E113" s="1076">
        <f>E111*E112</f>
        <v>0</v>
      </c>
      <c r="F113" s="1076">
        <f>F111*F112</f>
        <v>0</v>
      </c>
      <c r="G113" s="1076">
        <f>G111*G112</f>
        <v>0</v>
      </c>
      <c r="H113" s="1076">
        <f>SUM(C113:G113)</f>
        <v>0</v>
      </c>
      <c r="J113" s="7"/>
      <c r="K113" s="7"/>
      <c r="L113" s="7"/>
      <c r="M113" s="7"/>
      <c r="N113" s="7"/>
      <c r="O113" s="7"/>
    </row>
    <row r="114" spans="1:15" ht="13" x14ac:dyDescent="0.3">
      <c r="A114" s="1880" t="s">
        <v>215</v>
      </c>
      <c r="B114" s="1880"/>
      <c r="C114" s="1166">
        <f>'Introducció dades'!C360</f>
        <v>12</v>
      </c>
      <c r="D114" s="1166">
        <f>'Introducció dades'!D360</f>
        <v>12</v>
      </c>
      <c r="E114" s="1166">
        <f>'Introducció dades'!E360</f>
        <v>12</v>
      </c>
      <c r="F114" s="1166">
        <f>'Introducció dades'!F360</f>
        <v>12</v>
      </c>
      <c r="G114" s="1166">
        <f>'Introducció dades'!G360</f>
        <v>12</v>
      </c>
      <c r="H114" s="1137"/>
      <c r="J114" s="7"/>
      <c r="K114" s="7"/>
      <c r="L114" s="7"/>
      <c r="M114" s="7"/>
      <c r="N114" s="7"/>
      <c r="O114" s="7"/>
    </row>
    <row r="115" spans="1:15" ht="13" x14ac:dyDescent="0.3">
      <c r="A115" s="1880" t="s">
        <v>373</v>
      </c>
      <c r="B115" s="1880"/>
      <c r="C115" s="1138">
        <f>C107*C101*12/C114</f>
        <v>0</v>
      </c>
      <c r="D115" s="1138">
        <f>D107*D101*12/D114</f>
        <v>0</v>
      </c>
      <c r="E115" s="1138">
        <f>E107*E101*12/E114</f>
        <v>0</v>
      </c>
      <c r="F115" s="1138">
        <f>F107*F101*12/F114</f>
        <v>0</v>
      </c>
      <c r="G115" s="1138">
        <f>G107*G101*12/G114</f>
        <v>0</v>
      </c>
      <c r="H115" s="1138">
        <f>SUM(C115:G115)</f>
        <v>0</v>
      </c>
      <c r="J115" s="7"/>
      <c r="K115" s="7"/>
      <c r="L115" s="7"/>
      <c r="M115" s="7"/>
      <c r="N115" s="7"/>
      <c r="O115" s="7"/>
    </row>
    <row r="116" spans="1:15" ht="13" x14ac:dyDescent="0.3">
      <c r="A116" s="1892" t="s">
        <v>374</v>
      </c>
      <c r="B116" s="1892"/>
      <c r="C116" s="1139">
        <f>IF(C114=12,0)+IF(C114=14,C115/6,0)+IF(C114=15,C115/4,0)</f>
        <v>0</v>
      </c>
      <c r="D116" s="1139">
        <f>IF(D114=12,0)+IF(D114=14,D115/6,0)+IF(D114=15,D115/4,0)</f>
        <v>0</v>
      </c>
      <c r="E116" s="1139">
        <f>IF(E114=12,0)+IF(E114=14,E115/6,0)+IF(E114=15,E115/4,0)</f>
        <v>0</v>
      </c>
      <c r="F116" s="1139">
        <f>IF(F114=12,0)+IF(F114=14,F115/6,0)+IF(F114=15,F115/4,0)</f>
        <v>0</v>
      </c>
      <c r="G116" s="1139">
        <f>IF(G114=12,0)+IF(G114=14,G115/6,0)+IF(G114=15,G115/4,0)</f>
        <v>0</v>
      </c>
      <c r="H116" s="1139">
        <f>SUM(C116:G116)</f>
        <v>0</v>
      </c>
      <c r="J116" s="7"/>
      <c r="K116" s="7"/>
      <c r="L116" s="7"/>
      <c r="M116" s="7"/>
      <c r="N116" s="7"/>
      <c r="O116" s="7"/>
    </row>
    <row r="117" spans="1:15" ht="13" x14ac:dyDescent="0.3">
      <c r="A117" s="1889" t="s">
        <v>201</v>
      </c>
      <c r="B117" s="1889"/>
      <c r="C117" s="1140">
        <f>+C107*C101</f>
        <v>0</v>
      </c>
      <c r="D117" s="1140">
        <f>+D107*D101</f>
        <v>0</v>
      </c>
      <c r="E117" s="1140">
        <f>+E107*E101</f>
        <v>0</v>
      </c>
      <c r="F117" s="1140">
        <f>+F107*F101</f>
        <v>0</v>
      </c>
      <c r="G117" s="1140">
        <f>+G107*G101</f>
        <v>0</v>
      </c>
      <c r="H117" s="12"/>
      <c r="I117" s="7"/>
      <c r="J117" s="7"/>
      <c r="K117" s="7"/>
      <c r="L117" s="7"/>
      <c r="M117" s="7"/>
      <c r="N117" s="7"/>
      <c r="O117" s="7"/>
    </row>
    <row r="118" spans="1:15" ht="13" x14ac:dyDescent="0.3">
      <c r="A118" s="1889" t="s">
        <v>202</v>
      </c>
      <c r="B118" s="1889"/>
      <c r="C118" s="1141"/>
      <c r="D118" s="1141"/>
      <c r="E118" s="1141"/>
      <c r="F118" s="1141"/>
      <c r="G118" s="1141"/>
      <c r="I118" s="7"/>
    </row>
    <row r="119" spans="1:15" ht="13" x14ac:dyDescent="0.3">
      <c r="A119" s="1881" t="s">
        <v>216</v>
      </c>
      <c r="B119" s="1881"/>
      <c r="C119" s="1142">
        <f>'Introducció dades'!C362</f>
        <v>0.33</v>
      </c>
      <c r="D119" s="1142">
        <f>'Introducció dades'!D362</f>
        <v>0.33</v>
      </c>
      <c r="E119" s="1142">
        <f>'Introducció dades'!E362</f>
        <v>0.33</v>
      </c>
      <c r="F119" s="1142">
        <f>'Introducció dades'!F362</f>
        <v>0.33</v>
      </c>
      <c r="G119" s="1142">
        <f>'Introducció dades'!G362</f>
        <v>0.33</v>
      </c>
      <c r="I119" s="7"/>
    </row>
    <row r="120" spans="1:15" ht="13" x14ac:dyDescent="0.3">
      <c r="A120" s="1881" t="s">
        <v>217</v>
      </c>
      <c r="B120" s="1881"/>
      <c r="C120" s="1142">
        <f>'Introducció dades'!C363</f>
        <v>6.3500000000000001E-2</v>
      </c>
      <c r="D120" s="1142">
        <f>'Introducció dades'!D363</f>
        <v>6.3500000000000001E-2</v>
      </c>
      <c r="E120" s="1142">
        <f>'Introducció dades'!E363</f>
        <v>6.3500000000000001E-2</v>
      </c>
      <c r="F120" s="1142">
        <f>'Introducció dades'!F363</f>
        <v>6.3500000000000001E-2</v>
      </c>
      <c r="G120" s="1142">
        <f>'Introducció dades'!G363</f>
        <v>6.3500000000000001E-2</v>
      </c>
      <c r="H120" s="1127" t="s">
        <v>77</v>
      </c>
      <c r="I120" s="1143"/>
    </row>
    <row r="121" spans="1:15" ht="13" x14ac:dyDescent="0.3">
      <c r="A121" s="1889" t="s">
        <v>360</v>
      </c>
      <c r="B121" s="1889"/>
      <c r="C121" s="1144"/>
      <c r="D121" s="1144"/>
      <c r="E121" s="1144"/>
      <c r="F121" s="1144"/>
      <c r="G121" s="1144"/>
      <c r="H121" s="1145"/>
      <c r="I121" s="7"/>
    </row>
    <row r="122" spans="1:15" ht="13" x14ac:dyDescent="0.3">
      <c r="A122" s="1881" t="s">
        <v>216</v>
      </c>
      <c r="B122" s="1881"/>
      <c r="C122" s="154">
        <f>C117*C119</f>
        <v>0</v>
      </c>
      <c r="D122" s="154">
        <f>D117*D119</f>
        <v>0</v>
      </c>
      <c r="E122" s="154">
        <f>E117*E119</f>
        <v>0</v>
      </c>
      <c r="F122" s="154">
        <f>F117*F119</f>
        <v>0</v>
      </c>
      <c r="G122" s="154">
        <f>G117*G119</f>
        <v>0</v>
      </c>
      <c r="H122" s="1082">
        <f>SUM(C122:G122)</f>
        <v>0</v>
      </c>
      <c r="I122" s="7"/>
    </row>
    <row r="123" spans="1:15" ht="13" x14ac:dyDescent="0.3">
      <c r="A123" s="1882" t="s">
        <v>375</v>
      </c>
      <c r="B123" s="1882"/>
      <c r="C123" s="1146">
        <f>C117*C120</f>
        <v>0</v>
      </c>
      <c r="D123" s="1146">
        <f>D117*D120</f>
        <v>0</v>
      </c>
      <c r="E123" s="1146">
        <f>E117*E120</f>
        <v>0</v>
      </c>
      <c r="F123" s="1146">
        <f>F117*F120</f>
        <v>0</v>
      </c>
      <c r="G123" s="1146">
        <f>G117*G120</f>
        <v>0</v>
      </c>
      <c r="H123" s="1086">
        <f>SUM(C123:G123)</f>
        <v>0</v>
      </c>
      <c r="I123" s="7"/>
    </row>
    <row r="124" spans="1:15" ht="13" x14ac:dyDescent="0.3">
      <c r="A124" s="1893" t="s">
        <v>203</v>
      </c>
      <c r="B124" s="1893"/>
      <c r="C124" s="527">
        <f>'Introducció dades'!C364</f>
        <v>0</v>
      </c>
      <c r="D124" s="527">
        <f>'Introducció dades'!D364</f>
        <v>0</v>
      </c>
      <c r="E124" s="527">
        <f>'Introducció dades'!E364</f>
        <v>0</v>
      </c>
      <c r="F124" s="527">
        <f>'Introducció dades'!F364</f>
        <v>0</v>
      </c>
      <c r="G124" s="527">
        <f>'Introducció dades'!G364</f>
        <v>0</v>
      </c>
      <c r="H124" s="1079">
        <f>IF(H109&gt;0,(C109*C124+D109*D124+E109*E124+F109*F124+G109*G124)/H109,0)</f>
        <v>0</v>
      </c>
      <c r="I124" s="7"/>
      <c r="J124" s="7"/>
      <c r="K124" s="7"/>
      <c r="L124" s="7"/>
      <c r="M124" s="7"/>
      <c r="N124" s="7"/>
      <c r="O124" s="7"/>
    </row>
    <row r="125" spans="1:15" ht="13" x14ac:dyDescent="0.3">
      <c r="A125" s="1148"/>
      <c r="B125" s="1148"/>
      <c r="C125" s="1149"/>
      <c r="D125" s="1149"/>
      <c r="E125" s="1149"/>
      <c r="F125" s="1149"/>
      <c r="G125" s="1149"/>
      <c r="H125" s="1150"/>
      <c r="I125" s="7"/>
      <c r="J125" s="7"/>
      <c r="K125" s="7"/>
      <c r="L125" s="7"/>
      <c r="M125" s="7"/>
      <c r="N125" s="7"/>
      <c r="O125" s="7"/>
    </row>
    <row r="126" spans="1:15" ht="13" x14ac:dyDescent="0.3">
      <c r="A126" s="1894" t="s">
        <v>218</v>
      </c>
      <c r="B126" s="1894"/>
      <c r="C126" s="1894"/>
      <c r="D126" s="1149"/>
      <c r="E126" s="1149"/>
      <c r="F126" s="1149"/>
      <c r="G126" s="1149"/>
      <c r="H126" s="1150"/>
      <c r="I126" s="7"/>
      <c r="J126" s="7"/>
      <c r="K126" s="7"/>
      <c r="L126" s="7"/>
      <c r="M126" s="7"/>
      <c r="N126" s="7"/>
      <c r="O126" s="7"/>
    </row>
    <row r="127" spans="1:15" ht="13" x14ac:dyDescent="0.3">
      <c r="A127" s="1014" t="str">
        <f>+'Introducció dades'!C367</f>
        <v>JUNY</v>
      </c>
      <c r="B127" s="1014" t="str">
        <f>+'Introducció dades'!D367</f>
        <v>DESEMBRE</v>
      </c>
      <c r="C127" s="531">
        <f>+'Introducció dades'!E367</f>
        <v>0</v>
      </c>
      <c r="D127" s="1149"/>
      <c r="E127" s="1149"/>
      <c r="F127" s="1149"/>
      <c r="G127" s="1149"/>
      <c r="H127" s="1150"/>
      <c r="I127" s="7"/>
      <c r="J127" s="7"/>
      <c r="K127" s="7"/>
      <c r="L127" s="7"/>
      <c r="M127" s="7"/>
      <c r="N127" s="7"/>
      <c r="O127" s="7"/>
    </row>
    <row r="129" spans="1:15" ht="13" x14ac:dyDescent="0.3">
      <c r="C129" s="1080" t="str">
        <f>C32</f>
        <v>GENER</v>
      </c>
      <c r="D129" s="1080" t="str">
        <f t="shared" ref="D129:O129" si="54">D32</f>
        <v>FEBRER</v>
      </c>
      <c r="E129" s="1080" t="str">
        <f t="shared" si="54"/>
        <v>MARÇ</v>
      </c>
      <c r="F129" s="1080" t="str">
        <f t="shared" si="54"/>
        <v>ABRIL</v>
      </c>
      <c r="G129" s="1080" t="str">
        <f t="shared" si="54"/>
        <v>MAIG</v>
      </c>
      <c r="H129" s="1080" t="str">
        <f t="shared" si="54"/>
        <v>JUNY</v>
      </c>
      <c r="I129" s="1080" t="str">
        <f t="shared" si="54"/>
        <v>JULIOL</v>
      </c>
      <c r="J129" s="1080" t="str">
        <f t="shared" si="54"/>
        <v>AGOST</v>
      </c>
      <c r="K129" s="1080" t="str">
        <f t="shared" si="54"/>
        <v>SETEMBRE</v>
      </c>
      <c r="L129" s="1080" t="str">
        <f t="shared" si="54"/>
        <v>OCTUBRE</v>
      </c>
      <c r="M129" s="1080" t="str">
        <f t="shared" si="54"/>
        <v>NOVEMBRE</v>
      </c>
      <c r="N129" s="1080" t="str">
        <f t="shared" si="54"/>
        <v>DESEMBRE</v>
      </c>
      <c r="O129" s="1080" t="str">
        <f t="shared" si="54"/>
        <v>TOTAL</v>
      </c>
    </row>
    <row r="130" spans="1:15" ht="13" x14ac:dyDescent="0.3">
      <c r="A130" s="1880" t="s">
        <v>361</v>
      </c>
      <c r="B130" s="1880"/>
      <c r="C130" s="1081">
        <f>C131+C137+C155</f>
        <v>0</v>
      </c>
      <c r="D130" s="1081">
        <f t="shared" ref="D130:O130" si="55">D131+D137+D155</f>
        <v>0</v>
      </c>
      <c r="E130" s="1081">
        <f t="shared" si="55"/>
        <v>0</v>
      </c>
      <c r="F130" s="1081">
        <f t="shared" si="55"/>
        <v>0</v>
      </c>
      <c r="G130" s="1081">
        <f t="shared" si="55"/>
        <v>0</v>
      </c>
      <c r="H130" s="1081">
        <f t="shared" si="55"/>
        <v>0</v>
      </c>
      <c r="I130" s="1081">
        <f t="shared" si="55"/>
        <v>0</v>
      </c>
      <c r="J130" s="1081">
        <f t="shared" si="55"/>
        <v>0</v>
      </c>
      <c r="K130" s="1081">
        <f t="shared" si="55"/>
        <v>0</v>
      </c>
      <c r="L130" s="1081">
        <f t="shared" si="55"/>
        <v>0</v>
      </c>
      <c r="M130" s="1081">
        <f t="shared" si="55"/>
        <v>0</v>
      </c>
      <c r="N130" s="1081">
        <f t="shared" si="55"/>
        <v>0</v>
      </c>
      <c r="O130" s="1081">
        <f t="shared" si="55"/>
        <v>0</v>
      </c>
    </row>
    <row r="131" spans="1:15" ht="13" x14ac:dyDescent="0.3">
      <c r="A131" s="1881" t="s">
        <v>362</v>
      </c>
      <c r="B131" s="1881"/>
      <c r="C131" s="1082">
        <f>SUM(C132:C136)</f>
        <v>0</v>
      </c>
      <c r="D131" s="1082">
        <f t="shared" ref="D131:N131" si="56">SUM(D132:D136)</f>
        <v>0</v>
      </c>
      <c r="E131" s="1082">
        <f t="shared" si="56"/>
        <v>0</v>
      </c>
      <c r="F131" s="1082">
        <f t="shared" si="56"/>
        <v>0</v>
      </c>
      <c r="G131" s="1082">
        <f t="shared" si="56"/>
        <v>0</v>
      </c>
      <c r="H131" s="1082">
        <f t="shared" si="56"/>
        <v>0</v>
      </c>
      <c r="I131" s="1082">
        <f t="shared" si="56"/>
        <v>0</v>
      </c>
      <c r="J131" s="1082">
        <f t="shared" si="56"/>
        <v>0</v>
      </c>
      <c r="K131" s="1082">
        <f t="shared" si="56"/>
        <v>0</v>
      </c>
      <c r="L131" s="1082">
        <f t="shared" si="56"/>
        <v>0</v>
      </c>
      <c r="M131" s="1082">
        <f t="shared" si="56"/>
        <v>0</v>
      </c>
      <c r="N131" s="1082">
        <f t="shared" si="56"/>
        <v>0</v>
      </c>
      <c r="O131" s="1082">
        <f>SUM(C131:N131)</f>
        <v>0</v>
      </c>
    </row>
    <row r="132" spans="1:15" ht="12.75" customHeight="1" x14ac:dyDescent="0.25">
      <c r="A132" s="1152" t="str">
        <f>C100</f>
        <v>Categoria A</v>
      </c>
      <c r="B132" s="1153"/>
      <c r="C132" s="1154">
        <f>IF(C$129=C$102,C$115,0)</f>
        <v>0</v>
      </c>
      <c r="D132" s="1154">
        <f>IF(AND(C132=0,D129=$C$102),$C115,0)+IF(C132=0,0,$C115)</f>
        <v>0</v>
      </c>
      <c r="E132" s="1154">
        <f t="shared" ref="E132:N132" si="57">IF(AND(D132=0,E129=$C$102),$C115,0)+IF(D132=0,0,$C115)</f>
        <v>0</v>
      </c>
      <c r="F132" s="1154">
        <f t="shared" si="57"/>
        <v>0</v>
      </c>
      <c r="G132" s="1154">
        <f t="shared" si="57"/>
        <v>0</v>
      </c>
      <c r="H132" s="1154">
        <f t="shared" si="57"/>
        <v>0</v>
      </c>
      <c r="I132" s="1154">
        <f t="shared" si="57"/>
        <v>0</v>
      </c>
      <c r="J132" s="1154">
        <f t="shared" si="57"/>
        <v>0</v>
      </c>
      <c r="K132" s="1154">
        <f t="shared" si="57"/>
        <v>0</v>
      </c>
      <c r="L132" s="1154">
        <f t="shared" si="57"/>
        <v>0</v>
      </c>
      <c r="M132" s="1154">
        <f t="shared" si="57"/>
        <v>0</v>
      </c>
      <c r="N132" s="1154">
        <f t="shared" si="57"/>
        <v>0</v>
      </c>
      <c r="O132" s="1154">
        <f t="shared" ref="O132:O142" si="58">SUM(C132:N132)</f>
        <v>0</v>
      </c>
    </row>
    <row r="133" spans="1:15" ht="12.75" customHeight="1" x14ac:dyDescent="0.25">
      <c r="A133" s="1152" t="str">
        <f>D100</f>
        <v>Categoria B</v>
      </c>
      <c r="B133" s="1153"/>
      <c r="C133" s="1154">
        <f>IF(C$129=D$102,D$115,0)</f>
        <v>0</v>
      </c>
      <c r="D133" s="1154">
        <f>IF(AND(C133=0,D129=$D$102),$D115,0)+IF(C133=0,0,$D115)</f>
        <v>0</v>
      </c>
      <c r="E133" s="1154">
        <f t="shared" ref="E133:N133" si="59">IF(AND(D133=0,E129=$D$102),$D115,0)+IF(D133=0,0,$D115)</f>
        <v>0</v>
      </c>
      <c r="F133" s="1154">
        <f t="shared" si="59"/>
        <v>0</v>
      </c>
      <c r="G133" s="1154">
        <f t="shared" si="59"/>
        <v>0</v>
      </c>
      <c r="H133" s="1154">
        <f t="shared" si="59"/>
        <v>0</v>
      </c>
      <c r="I133" s="1154">
        <f t="shared" si="59"/>
        <v>0</v>
      </c>
      <c r="J133" s="1154">
        <f t="shared" si="59"/>
        <v>0</v>
      </c>
      <c r="K133" s="1154">
        <f t="shared" si="59"/>
        <v>0</v>
      </c>
      <c r="L133" s="1154">
        <f t="shared" si="59"/>
        <v>0</v>
      </c>
      <c r="M133" s="1154">
        <f t="shared" si="59"/>
        <v>0</v>
      </c>
      <c r="N133" s="1154">
        <f t="shared" si="59"/>
        <v>0</v>
      </c>
      <c r="O133" s="1154">
        <f t="shared" si="58"/>
        <v>0</v>
      </c>
    </row>
    <row r="134" spans="1:15" ht="12.75" customHeight="1" x14ac:dyDescent="0.25">
      <c r="A134" s="1152" t="str">
        <f>E100</f>
        <v>Categoria C</v>
      </c>
      <c r="B134" s="1153"/>
      <c r="C134" s="1154">
        <f>IF(C$129=E$102,E$115,0)</f>
        <v>0</v>
      </c>
      <c r="D134" s="1154">
        <f>IF(AND(C134=0,D129=$E$102),$E115,0)+IF(C134=0,0,$E115)</f>
        <v>0</v>
      </c>
      <c r="E134" s="1154">
        <f t="shared" ref="E134:N134" si="60">IF(AND(D134=0,E129=$E$102),$E115,0)+IF(D134=0,0,$E115)</f>
        <v>0</v>
      </c>
      <c r="F134" s="1154">
        <f t="shared" si="60"/>
        <v>0</v>
      </c>
      <c r="G134" s="1154">
        <f t="shared" si="60"/>
        <v>0</v>
      </c>
      <c r="H134" s="1154">
        <f t="shared" si="60"/>
        <v>0</v>
      </c>
      <c r="I134" s="1154">
        <f t="shared" si="60"/>
        <v>0</v>
      </c>
      <c r="J134" s="1154">
        <f t="shared" si="60"/>
        <v>0</v>
      </c>
      <c r="K134" s="1154">
        <f t="shared" si="60"/>
        <v>0</v>
      </c>
      <c r="L134" s="1154">
        <f t="shared" si="60"/>
        <v>0</v>
      </c>
      <c r="M134" s="1154">
        <f t="shared" si="60"/>
        <v>0</v>
      </c>
      <c r="N134" s="1154">
        <f t="shared" si="60"/>
        <v>0</v>
      </c>
      <c r="O134" s="1154">
        <f t="shared" si="58"/>
        <v>0</v>
      </c>
    </row>
    <row r="135" spans="1:15" ht="12.75" customHeight="1" x14ac:dyDescent="0.25">
      <c r="A135" s="1152" t="str">
        <f>F100</f>
        <v>Categoria D</v>
      </c>
      <c r="B135" s="1153"/>
      <c r="C135" s="1154">
        <f>IF(C$129=F$102,F$115,0)</f>
        <v>0</v>
      </c>
      <c r="D135" s="1154">
        <f>IF(AND(C135=0,D129=$F$102),$F115,0)+IF(C135=0,0,$F115)</f>
        <v>0</v>
      </c>
      <c r="E135" s="1154">
        <f t="shared" ref="E135:N135" si="61">IF(AND(D135=0,E129=$F$102),$F115,0)+IF(D135=0,0,$F115)</f>
        <v>0</v>
      </c>
      <c r="F135" s="1154">
        <f t="shared" si="61"/>
        <v>0</v>
      </c>
      <c r="G135" s="1154">
        <f t="shared" si="61"/>
        <v>0</v>
      </c>
      <c r="H135" s="1154">
        <f t="shared" si="61"/>
        <v>0</v>
      </c>
      <c r="I135" s="1154">
        <f t="shared" si="61"/>
        <v>0</v>
      </c>
      <c r="J135" s="1154">
        <f t="shared" si="61"/>
        <v>0</v>
      </c>
      <c r="K135" s="1154">
        <f t="shared" si="61"/>
        <v>0</v>
      </c>
      <c r="L135" s="1154">
        <f t="shared" si="61"/>
        <v>0</v>
      </c>
      <c r="M135" s="1154">
        <f t="shared" si="61"/>
        <v>0</v>
      </c>
      <c r="N135" s="1154">
        <f t="shared" si="61"/>
        <v>0</v>
      </c>
      <c r="O135" s="1154">
        <f t="shared" si="58"/>
        <v>0</v>
      </c>
    </row>
    <row r="136" spans="1:15" ht="12.75" customHeight="1" x14ac:dyDescent="0.25">
      <c r="A136" s="1152" t="str">
        <f>G100</f>
        <v>Categoria E</v>
      </c>
      <c r="B136" s="1153"/>
      <c r="C136" s="1154">
        <f>IF(C$129=G$102,G$115,0)</f>
        <v>0</v>
      </c>
      <c r="D136" s="1154">
        <f>IF(AND(C136=0,D129=$G$102),$G115,0)+IF(C136=0,0,$G115)</f>
        <v>0</v>
      </c>
      <c r="E136" s="1154">
        <f t="shared" ref="E136:N136" si="62">IF(AND(D136=0,E129=$G$102),$G115,0)+IF(D136=0,0,$G115)</f>
        <v>0</v>
      </c>
      <c r="F136" s="1154">
        <f t="shared" si="62"/>
        <v>0</v>
      </c>
      <c r="G136" s="1154">
        <f t="shared" si="62"/>
        <v>0</v>
      </c>
      <c r="H136" s="1154">
        <f t="shared" si="62"/>
        <v>0</v>
      </c>
      <c r="I136" s="1154">
        <f t="shared" si="62"/>
        <v>0</v>
      </c>
      <c r="J136" s="1154">
        <f t="shared" si="62"/>
        <v>0</v>
      </c>
      <c r="K136" s="1154">
        <f t="shared" si="62"/>
        <v>0</v>
      </c>
      <c r="L136" s="1154">
        <f t="shared" si="62"/>
        <v>0</v>
      </c>
      <c r="M136" s="1154">
        <f t="shared" si="62"/>
        <v>0</v>
      </c>
      <c r="N136" s="1154">
        <f t="shared" si="62"/>
        <v>0</v>
      </c>
      <c r="O136" s="1154">
        <f t="shared" si="58"/>
        <v>0</v>
      </c>
    </row>
    <row r="137" spans="1:15" ht="13" x14ac:dyDescent="0.3">
      <c r="A137" s="1881" t="s">
        <v>374</v>
      </c>
      <c r="B137" s="1881"/>
      <c r="C137" s="1082">
        <f>SUM(C138:C142)</f>
        <v>0</v>
      </c>
      <c r="D137" s="1082">
        <f t="shared" ref="D137:N137" si="63">SUM(D138:D142)</f>
        <v>0</v>
      </c>
      <c r="E137" s="1082">
        <f t="shared" si="63"/>
        <v>0</v>
      </c>
      <c r="F137" s="1082">
        <f t="shared" si="63"/>
        <v>0</v>
      </c>
      <c r="G137" s="1082">
        <f t="shared" si="63"/>
        <v>0</v>
      </c>
      <c r="H137" s="1082">
        <f t="shared" si="63"/>
        <v>0</v>
      </c>
      <c r="I137" s="1082">
        <f t="shared" si="63"/>
        <v>0</v>
      </c>
      <c r="J137" s="1082">
        <f t="shared" si="63"/>
        <v>0</v>
      </c>
      <c r="K137" s="1082">
        <f t="shared" si="63"/>
        <v>0</v>
      </c>
      <c r="L137" s="1082">
        <f t="shared" si="63"/>
        <v>0</v>
      </c>
      <c r="M137" s="1082">
        <f t="shared" si="63"/>
        <v>0</v>
      </c>
      <c r="N137" s="1082">
        <f t="shared" si="63"/>
        <v>0</v>
      </c>
      <c r="O137" s="1082">
        <f t="shared" si="58"/>
        <v>0</v>
      </c>
    </row>
    <row r="138" spans="1:15" ht="12.75" hidden="1" customHeight="1" x14ac:dyDescent="0.25">
      <c r="A138" s="1152" t="str">
        <f>A132</f>
        <v>Categoria A</v>
      </c>
      <c r="B138" s="1153"/>
      <c r="C138" s="1154">
        <f>IF(OR(C132=0,C116=0),0,C116)</f>
        <v>0</v>
      </c>
      <c r="D138" s="1154">
        <f>IF(OR(D132=0,$C$116=0),0,$C$116)</f>
        <v>0</v>
      </c>
      <c r="E138" s="1154">
        <f t="shared" ref="E138:N138" si="64">IF(OR(E132=0,$C$116=0),0,$C$116)</f>
        <v>0</v>
      </c>
      <c r="F138" s="1154">
        <f t="shared" si="64"/>
        <v>0</v>
      </c>
      <c r="G138" s="1154">
        <f t="shared" si="64"/>
        <v>0</v>
      </c>
      <c r="H138" s="1154">
        <f t="shared" si="64"/>
        <v>0</v>
      </c>
      <c r="I138" s="1154">
        <f t="shared" si="64"/>
        <v>0</v>
      </c>
      <c r="J138" s="1154">
        <f t="shared" si="64"/>
        <v>0</v>
      </c>
      <c r="K138" s="1154">
        <f t="shared" si="64"/>
        <v>0</v>
      </c>
      <c r="L138" s="1154">
        <f t="shared" si="64"/>
        <v>0</v>
      </c>
      <c r="M138" s="1154">
        <f t="shared" si="64"/>
        <v>0</v>
      </c>
      <c r="N138" s="1154">
        <f t="shared" si="64"/>
        <v>0</v>
      </c>
      <c r="O138" s="1154">
        <f t="shared" si="58"/>
        <v>0</v>
      </c>
    </row>
    <row r="139" spans="1:15" ht="12.75" hidden="1" customHeight="1" x14ac:dyDescent="0.25">
      <c r="A139" s="1152" t="str">
        <f>A133</f>
        <v>Categoria B</v>
      </c>
      <c r="B139" s="1153"/>
      <c r="C139" s="1154">
        <f>IF(OR(C133=0,D116=0),0,D116)</f>
        <v>0</v>
      </c>
      <c r="D139" s="1154">
        <f>IF(OR(D133=0,$D$116=0),0,$D$116)</f>
        <v>0</v>
      </c>
      <c r="E139" s="1154">
        <f t="shared" ref="E139:N139" si="65">IF(OR(E133=0,$D$116=0),0,$D$116)</f>
        <v>0</v>
      </c>
      <c r="F139" s="1154">
        <f t="shared" si="65"/>
        <v>0</v>
      </c>
      <c r="G139" s="1154">
        <f t="shared" si="65"/>
        <v>0</v>
      </c>
      <c r="H139" s="1154">
        <f t="shared" si="65"/>
        <v>0</v>
      </c>
      <c r="I139" s="1154">
        <f t="shared" si="65"/>
        <v>0</v>
      </c>
      <c r="J139" s="1154">
        <f t="shared" si="65"/>
        <v>0</v>
      </c>
      <c r="K139" s="1154">
        <f t="shared" si="65"/>
        <v>0</v>
      </c>
      <c r="L139" s="1154">
        <f t="shared" si="65"/>
        <v>0</v>
      </c>
      <c r="M139" s="1154">
        <f t="shared" si="65"/>
        <v>0</v>
      </c>
      <c r="N139" s="1154">
        <f t="shared" si="65"/>
        <v>0</v>
      </c>
      <c r="O139" s="1154">
        <f t="shared" si="58"/>
        <v>0</v>
      </c>
    </row>
    <row r="140" spans="1:15" ht="12.75" hidden="1" customHeight="1" x14ac:dyDescent="0.25">
      <c r="A140" s="1152" t="str">
        <f>A134</f>
        <v>Categoria C</v>
      </c>
      <c r="B140" s="1153"/>
      <c r="C140" s="1154">
        <f>IF(OR(C134=0,E116=0),0,E116)</f>
        <v>0</v>
      </c>
      <c r="D140" s="1154">
        <f>IF(OR(D134=0,$E$116=0),0,$E$116)</f>
        <v>0</v>
      </c>
      <c r="E140" s="1154">
        <f t="shared" ref="E140:N140" si="66">IF(OR(E134=0,$E$116=0),0,$E$116)</f>
        <v>0</v>
      </c>
      <c r="F140" s="1154">
        <f t="shared" si="66"/>
        <v>0</v>
      </c>
      <c r="G140" s="1154">
        <f t="shared" si="66"/>
        <v>0</v>
      </c>
      <c r="H140" s="1154">
        <f t="shared" si="66"/>
        <v>0</v>
      </c>
      <c r="I140" s="1154">
        <f t="shared" si="66"/>
        <v>0</v>
      </c>
      <c r="J140" s="1154">
        <f t="shared" si="66"/>
        <v>0</v>
      </c>
      <c r="K140" s="1154">
        <f t="shared" si="66"/>
        <v>0</v>
      </c>
      <c r="L140" s="1154">
        <f t="shared" si="66"/>
        <v>0</v>
      </c>
      <c r="M140" s="1154">
        <f t="shared" si="66"/>
        <v>0</v>
      </c>
      <c r="N140" s="1154">
        <f t="shared" si="66"/>
        <v>0</v>
      </c>
      <c r="O140" s="1154">
        <f t="shared" si="58"/>
        <v>0</v>
      </c>
    </row>
    <row r="141" spans="1:15" ht="12.75" hidden="1" customHeight="1" x14ac:dyDescent="0.25">
      <c r="A141" s="1152" t="str">
        <f>A135</f>
        <v>Categoria D</v>
      </c>
      <c r="B141" s="1153"/>
      <c r="C141" s="1154">
        <f>IF(OR(C135=0,F116=0),0,F116)</f>
        <v>0</v>
      </c>
      <c r="D141" s="1154">
        <f>IF(OR(D135=0,$F$116=0),0,$F$116)</f>
        <v>0</v>
      </c>
      <c r="E141" s="1154">
        <f t="shared" ref="E141:N141" si="67">IF(OR(E135=0,$F$116=0),0,$F$116)</f>
        <v>0</v>
      </c>
      <c r="F141" s="1154">
        <f t="shared" si="67"/>
        <v>0</v>
      </c>
      <c r="G141" s="1154">
        <f t="shared" si="67"/>
        <v>0</v>
      </c>
      <c r="H141" s="1154">
        <f t="shared" si="67"/>
        <v>0</v>
      </c>
      <c r="I141" s="1154">
        <f t="shared" si="67"/>
        <v>0</v>
      </c>
      <c r="J141" s="1154">
        <f t="shared" si="67"/>
        <v>0</v>
      </c>
      <c r="K141" s="1154">
        <f t="shared" si="67"/>
        <v>0</v>
      </c>
      <c r="L141" s="1154">
        <f t="shared" si="67"/>
        <v>0</v>
      </c>
      <c r="M141" s="1154">
        <f t="shared" si="67"/>
        <v>0</v>
      </c>
      <c r="N141" s="1154">
        <f t="shared" si="67"/>
        <v>0</v>
      </c>
      <c r="O141" s="1154">
        <f t="shared" si="58"/>
        <v>0</v>
      </c>
    </row>
    <row r="142" spans="1:15" ht="12.75" hidden="1" customHeight="1" x14ac:dyDescent="0.25">
      <c r="A142" s="1152" t="str">
        <f>A136</f>
        <v>Categoria E</v>
      </c>
      <c r="B142" s="1153"/>
      <c r="C142" s="1154">
        <f>IF(OR(C136=0,G116=0),0,G116)</f>
        <v>0</v>
      </c>
      <c r="D142" s="1154">
        <f>IF(OR(D136=0,$G$116=0),0,$G$116)</f>
        <v>0</v>
      </c>
      <c r="E142" s="1154">
        <f t="shared" ref="E142:N142" si="68">IF(OR(E136=0,$G$116=0),0,$G$116)</f>
        <v>0</v>
      </c>
      <c r="F142" s="1154">
        <f t="shared" si="68"/>
        <v>0</v>
      </c>
      <c r="G142" s="1154">
        <f t="shared" si="68"/>
        <v>0</v>
      </c>
      <c r="H142" s="1154">
        <f t="shared" si="68"/>
        <v>0</v>
      </c>
      <c r="I142" s="1154">
        <f t="shared" si="68"/>
        <v>0</v>
      </c>
      <c r="J142" s="1154">
        <f t="shared" si="68"/>
        <v>0</v>
      </c>
      <c r="K142" s="1154">
        <f t="shared" si="68"/>
        <v>0</v>
      </c>
      <c r="L142" s="1154">
        <f t="shared" si="68"/>
        <v>0</v>
      </c>
      <c r="M142" s="1154">
        <f t="shared" si="68"/>
        <v>0</v>
      </c>
      <c r="N142" s="1154">
        <f t="shared" si="68"/>
        <v>0</v>
      </c>
      <c r="O142" s="1154">
        <f t="shared" si="58"/>
        <v>0</v>
      </c>
    </row>
    <row r="143" spans="1:15" x14ac:dyDescent="0.25">
      <c r="A143" s="1895" t="s">
        <v>376</v>
      </c>
      <c r="B143" s="1895"/>
      <c r="C143" s="1085">
        <f>SUM(C144:C148)</f>
        <v>0</v>
      </c>
      <c r="D143" s="1085">
        <f t="shared" ref="D143:N143" si="69">SUM(D144:D148)</f>
        <v>0</v>
      </c>
      <c r="E143" s="1085">
        <f t="shared" si="69"/>
        <v>0</v>
      </c>
      <c r="F143" s="1085">
        <f t="shared" si="69"/>
        <v>0</v>
      </c>
      <c r="G143" s="1085">
        <f t="shared" si="69"/>
        <v>0</v>
      </c>
      <c r="H143" s="1085">
        <f t="shared" si="69"/>
        <v>0</v>
      </c>
      <c r="I143" s="1085">
        <f t="shared" si="69"/>
        <v>0</v>
      </c>
      <c r="J143" s="1085">
        <f t="shared" si="69"/>
        <v>0</v>
      </c>
      <c r="K143" s="1085">
        <f t="shared" si="69"/>
        <v>0</v>
      </c>
      <c r="L143" s="1085">
        <f t="shared" si="69"/>
        <v>0</v>
      </c>
      <c r="M143" s="1085">
        <f t="shared" si="69"/>
        <v>0</v>
      </c>
      <c r="N143" s="1085">
        <f t="shared" si="69"/>
        <v>0</v>
      </c>
      <c r="O143" s="1085">
        <f>SUM(O144:O148)</f>
        <v>0</v>
      </c>
    </row>
    <row r="144" spans="1:15" ht="12.75" hidden="1" customHeight="1" x14ac:dyDescent="0.25">
      <c r="A144" s="1152" t="str">
        <f>A132</f>
        <v>Categoria A</v>
      </c>
      <c r="B144" s="1153"/>
      <c r="C144" s="1154">
        <f>C138</f>
        <v>0</v>
      </c>
      <c r="D144" s="1154">
        <f t="shared" ref="D144:N148" si="70">C144+D138-C150</f>
        <v>0</v>
      </c>
      <c r="E144" s="1154">
        <f t="shared" si="70"/>
        <v>0</v>
      </c>
      <c r="F144" s="1154">
        <f t="shared" si="70"/>
        <v>0</v>
      </c>
      <c r="G144" s="1154">
        <f t="shared" si="70"/>
        <v>0</v>
      </c>
      <c r="H144" s="1154">
        <f t="shared" si="70"/>
        <v>0</v>
      </c>
      <c r="I144" s="1154">
        <f t="shared" si="70"/>
        <v>0</v>
      </c>
      <c r="J144" s="1154">
        <f t="shared" si="70"/>
        <v>0</v>
      </c>
      <c r="K144" s="1154">
        <f t="shared" si="70"/>
        <v>0</v>
      </c>
      <c r="L144" s="1154">
        <f t="shared" si="70"/>
        <v>0</v>
      </c>
      <c r="M144" s="1154">
        <f t="shared" si="70"/>
        <v>0</v>
      </c>
      <c r="N144" s="1154">
        <f t="shared" si="70"/>
        <v>0</v>
      </c>
      <c r="O144" s="1154">
        <f>N144-N150</f>
        <v>0</v>
      </c>
    </row>
    <row r="145" spans="1:15" ht="12.75" hidden="1" customHeight="1" x14ac:dyDescent="0.25">
      <c r="A145" s="1152" t="str">
        <f>A133</f>
        <v>Categoria B</v>
      </c>
      <c r="B145" s="1153"/>
      <c r="C145" s="1154">
        <f>C139</f>
        <v>0</v>
      </c>
      <c r="D145" s="1154">
        <f t="shared" si="70"/>
        <v>0</v>
      </c>
      <c r="E145" s="1154">
        <f t="shared" si="70"/>
        <v>0</v>
      </c>
      <c r="F145" s="1154">
        <f t="shared" si="70"/>
        <v>0</v>
      </c>
      <c r="G145" s="1154">
        <f t="shared" si="70"/>
        <v>0</v>
      </c>
      <c r="H145" s="1154">
        <f t="shared" si="70"/>
        <v>0</v>
      </c>
      <c r="I145" s="1154">
        <f t="shared" si="70"/>
        <v>0</v>
      </c>
      <c r="J145" s="1154">
        <f t="shared" si="70"/>
        <v>0</v>
      </c>
      <c r="K145" s="1154">
        <f t="shared" si="70"/>
        <v>0</v>
      </c>
      <c r="L145" s="1154">
        <f t="shared" si="70"/>
        <v>0</v>
      </c>
      <c r="M145" s="1154">
        <f t="shared" si="70"/>
        <v>0</v>
      </c>
      <c r="N145" s="1154">
        <f t="shared" si="70"/>
        <v>0</v>
      </c>
      <c r="O145" s="1154">
        <f>N145-N151</f>
        <v>0</v>
      </c>
    </row>
    <row r="146" spans="1:15" ht="12.75" hidden="1" customHeight="1" x14ac:dyDescent="0.25">
      <c r="A146" s="1152" t="str">
        <f>A134</f>
        <v>Categoria C</v>
      </c>
      <c r="B146" s="1153"/>
      <c r="C146" s="1154">
        <f>C140</f>
        <v>0</v>
      </c>
      <c r="D146" s="1154">
        <f t="shared" si="70"/>
        <v>0</v>
      </c>
      <c r="E146" s="1154">
        <f t="shared" si="70"/>
        <v>0</v>
      </c>
      <c r="F146" s="1154">
        <f t="shared" si="70"/>
        <v>0</v>
      </c>
      <c r="G146" s="1154">
        <f t="shared" si="70"/>
        <v>0</v>
      </c>
      <c r="H146" s="1154">
        <f t="shared" si="70"/>
        <v>0</v>
      </c>
      <c r="I146" s="1154">
        <f t="shared" si="70"/>
        <v>0</v>
      </c>
      <c r="J146" s="1154">
        <f t="shared" si="70"/>
        <v>0</v>
      </c>
      <c r="K146" s="1154">
        <f t="shared" si="70"/>
        <v>0</v>
      </c>
      <c r="L146" s="1154">
        <f t="shared" si="70"/>
        <v>0</v>
      </c>
      <c r="M146" s="1154">
        <f t="shared" si="70"/>
        <v>0</v>
      </c>
      <c r="N146" s="1154">
        <f t="shared" si="70"/>
        <v>0</v>
      </c>
      <c r="O146" s="1154">
        <f>N146-N152</f>
        <v>0</v>
      </c>
    </row>
    <row r="147" spans="1:15" ht="12.75" hidden="1" customHeight="1" x14ac:dyDescent="0.25">
      <c r="A147" s="1152" t="str">
        <f>A135</f>
        <v>Categoria D</v>
      </c>
      <c r="B147" s="1153"/>
      <c r="C147" s="1154">
        <f>C141</f>
        <v>0</v>
      </c>
      <c r="D147" s="1154">
        <f t="shared" si="70"/>
        <v>0</v>
      </c>
      <c r="E147" s="1154">
        <f t="shared" si="70"/>
        <v>0</v>
      </c>
      <c r="F147" s="1154">
        <f t="shared" si="70"/>
        <v>0</v>
      </c>
      <c r="G147" s="1154">
        <f t="shared" si="70"/>
        <v>0</v>
      </c>
      <c r="H147" s="1154">
        <f t="shared" si="70"/>
        <v>0</v>
      </c>
      <c r="I147" s="1154">
        <f t="shared" si="70"/>
        <v>0</v>
      </c>
      <c r="J147" s="1154">
        <f t="shared" si="70"/>
        <v>0</v>
      </c>
      <c r="K147" s="1154">
        <f t="shared" si="70"/>
        <v>0</v>
      </c>
      <c r="L147" s="1154">
        <f t="shared" si="70"/>
        <v>0</v>
      </c>
      <c r="M147" s="1154">
        <f t="shared" si="70"/>
        <v>0</v>
      </c>
      <c r="N147" s="1154">
        <f t="shared" si="70"/>
        <v>0</v>
      </c>
      <c r="O147" s="1154">
        <f>N147-N153</f>
        <v>0</v>
      </c>
    </row>
    <row r="148" spans="1:15" ht="12.75" hidden="1" customHeight="1" x14ac:dyDescent="0.25">
      <c r="A148" s="1152" t="str">
        <f>A136</f>
        <v>Categoria E</v>
      </c>
      <c r="B148" s="1153"/>
      <c r="C148" s="1154">
        <f>C142</f>
        <v>0</v>
      </c>
      <c r="D148" s="1154">
        <f t="shared" si="70"/>
        <v>0</v>
      </c>
      <c r="E148" s="1154">
        <f t="shared" si="70"/>
        <v>0</v>
      </c>
      <c r="F148" s="1154">
        <f t="shared" si="70"/>
        <v>0</v>
      </c>
      <c r="G148" s="1154">
        <f t="shared" si="70"/>
        <v>0</v>
      </c>
      <c r="H148" s="1154">
        <f t="shared" si="70"/>
        <v>0</v>
      </c>
      <c r="I148" s="1154">
        <f t="shared" si="70"/>
        <v>0</v>
      </c>
      <c r="J148" s="1154">
        <f t="shared" si="70"/>
        <v>0</v>
      </c>
      <c r="K148" s="1154">
        <f t="shared" si="70"/>
        <v>0</v>
      </c>
      <c r="L148" s="1154">
        <f t="shared" si="70"/>
        <v>0</v>
      </c>
      <c r="M148" s="1154">
        <f t="shared" si="70"/>
        <v>0</v>
      </c>
      <c r="N148" s="1154">
        <f t="shared" si="70"/>
        <v>0</v>
      </c>
      <c r="O148" s="1154">
        <f>N148-N154</f>
        <v>0</v>
      </c>
    </row>
    <row r="149" spans="1:15" x14ac:dyDescent="0.25">
      <c r="A149" s="1895" t="s">
        <v>377</v>
      </c>
      <c r="B149" s="1895"/>
      <c r="C149" s="1085">
        <f>SUM(C150:C154)</f>
        <v>0</v>
      </c>
      <c r="D149" s="1085">
        <f t="shared" ref="D149:N149" si="71">SUM(D150:D154)</f>
        <v>0</v>
      </c>
      <c r="E149" s="1085">
        <f t="shared" si="71"/>
        <v>0</v>
      </c>
      <c r="F149" s="1085">
        <f t="shared" si="71"/>
        <v>0</v>
      </c>
      <c r="G149" s="1085">
        <f t="shared" si="71"/>
        <v>0</v>
      </c>
      <c r="H149" s="1085">
        <f t="shared" si="71"/>
        <v>0</v>
      </c>
      <c r="I149" s="1085">
        <f t="shared" si="71"/>
        <v>0</v>
      </c>
      <c r="J149" s="1085">
        <f t="shared" si="71"/>
        <v>0</v>
      </c>
      <c r="K149" s="1085">
        <f t="shared" si="71"/>
        <v>0</v>
      </c>
      <c r="L149" s="1085">
        <f t="shared" si="71"/>
        <v>0</v>
      </c>
      <c r="M149" s="1085">
        <f t="shared" si="71"/>
        <v>0</v>
      </c>
      <c r="N149" s="1085">
        <f t="shared" si="71"/>
        <v>0</v>
      </c>
      <c r="O149" s="1155"/>
    </row>
    <row r="150" spans="1:15" ht="12.75" hidden="1" customHeight="1" x14ac:dyDescent="0.25">
      <c r="A150" s="1156" t="str">
        <f>A144</f>
        <v>Categoria A</v>
      </c>
      <c r="B150" s="1156"/>
      <c r="C150" s="1154">
        <f>IF(AND($C114=15,OR(C129=$A127,C129=$B127,C129=$C127)),C144,0)+IF(AND($C114=14,OR(C129=$A127,C129=$B127)),C144,0)</f>
        <v>0</v>
      </c>
      <c r="D150" s="1154">
        <f t="shared" ref="D150:N150" si="72">IF(AND($C114=15,OR(D129=$A127,D129=$B127,D129=$C127)),D144,0)+IF(AND($C114=14,OR(D129=$A127,D129=$B127)),D144,0)</f>
        <v>0</v>
      </c>
      <c r="E150" s="1154">
        <f t="shared" si="72"/>
        <v>0</v>
      </c>
      <c r="F150" s="1154">
        <f t="shared" si="72"/>
        <v>0</v>
      </c>
      <c r="G150" s="1154">
        <f t="shared" si="72"/>
        <v>0</v>
      </c>
      <c r="H150" s="1154">
        <f t="shared" si="72"/>
        <v>0</v>
      </c>
      <c r="I150" s="1154">
        <f t="shared" si="72"/>
        <v>0</v>
      </c>
      <c r="J150" s="1154">
        <f t="shared" si="72"/>
        <v>0</v>
      </c>
      <c r="K150" s="1154">
        <f t="shared" si="72"/>
        <v>0</v>
      </c>
      <c r="L150" s="1154">
        <f t="shared" si="72"/>
        <v>0</v>
      </c>
      <c r="M150" s="1154">
        <f t="shared" si="72"/>
        <v>0</v>
      </c>
      <c r="N150" s="1154">
        <f t="shared" si="72"/>
        <v>0</v>
      </c>
      <c r="O150" s="1155"/>
    </row>
    <row r="151" spans="1:15" ht="12.75" hidden="1" customHeight="1" x14ac:dyDescent="0.25">
      <c r="A151" s="1156" t="str">
        <f>A145</f>
        <v>Categoria B</v>
      </c>
      <c r="B151" s="1156"/>
      <c r="C151" s="1154">
        <f>IF(AND($D114=15,OR(C129=$A127,C129=$B127,C129=$C127)),C145,0)+IF(AND($D114=14,OR(C129=$A127,C129=$B127)),C145,0)</f>
        <v>0</v>
      </c>
      <c r="D151" s="1154">
        <f t="shared" ref="D151:N151" si="73">IF(AND($D114=15,OR(D129=$A127,D129=$B127,D129=$C127)),D145,0)+IF(AND($D114=14,OR(D129=$A127,D129=$B127)),D145,0)</f>
        <v>0</v>
      </c>
      <c r="E151" s="1154">
        <f t="shared" si="73"/>
        <v>0</v>
      </c>
      <c r="F151" s="1154">
        <f t="shared" si="73"/>
        <v>0</v>
      </c>
      <c r="G151" s="1154">
        <f t="shared" si="73"/>
        <v>0</v>
      </c>
      <c r="H151" s="1154">
        <f t="shared" si="73"/>
        <v>0</v>
      </c>
      <c r="I151" s="1154">
        <f t="shared" si="73"/>
        <v>0</v>
      </c>
      <c r="J151" s="1154">
        <f t="shared" si="73"/>
        <v>0</v>
      </c>
      <c r="K151" s="1154">
        <f t="shared" si="73"/>
        <v>0</v>
      </c>
      <c r="L151" s="1154">
        <f t="shared" si="73"/>
        <v>0</v>
      </c>
      <c r="M151" s="1154">
        <f t="shared" si="73"/>
        <v>0</v>
      </c>
      <c r="N151" s="1154">
        <f t="shared" si="73"/>
        <v>0</v>
      </c>
      <c r="O151" s="1155"/>
    </row>
    <row r="152" spans="1:15" ht="12.75" hidden="1" customHeight="1" x14ac:dyDescent="0.25">
      <c r="A152" s="1156" t="str">
        <f>A146</f>
        <v>Categoria C</v>
      </c>
      <c r="B152" s="1156"/>
      <c r="C152" s="1154">
        <f>IF(AND($E114=15,OR(C129=$A127,C129=$B127,C129=$C127)),C146,0)+IF(AND($E114=14,OR(C129=$A127,C129=$B127)),C146,0)</f>
        <v>0</v>
      </c>
      <c r="D152" s="1154">
        <f t="shared" ref="D152:N152" si="74">IF(AND($E114=15,OR(D129=$A127,D129=$B127,D129=$C127)),D146,0)+IF(AND($E114=14,OR(D129=$A127,D129=$B127)),D146,0)</f>
        <v>0</v>
      </c>
      <c r="E152" s="1154">
        <f t="shared" si="74"/>
        <v>0</v>
      </c>
      <c r="F152" s="1154">
        <f t="shared" si="74"/>
        <v>0</v>
      </c>
      <c r="G152" s="1154">
        <f t="shared" si="74"/>
        <v>0</v>
      </c>
      <c r="H152" s="1154">
        <f t="shared" si="74"/>
        <v>0</v>
      </c>
      <c r="I152" s="1154">
        <f t="shared" si="74"/>
        <v>0</v>
      </c>
      <c r="J152" s="1154">
        <f t="shared" si="74"/>
        <v>0</v>
      </c>
      <c r="K152" s="1154">
        <f t="shared" si="74"/>
        <v>0</v>
      </c>
      <c r="L152" s="1154">
        <f t="shared" si="74"/>
        <v>0</v>
      </c>
      <c r="M152" s="1154">
        <f t="shared" si="74"/>
        <v>0</v>
      </c>
      <c r="N152" s="1154">
        <f t="shared" si="74"/>
        <v>0</v>
      </c>
      <c r="O152" s="1155"/>
    </row>
    <row r="153" spans="1:15" ht="12.75" hidden="1" customHeight="1" x14ac:dyDescent="0.25">
      <c r="A153" s="1156" t="str">
        <f>A147</f>
        <v>Categoria D</v>
      </c>
      <c r="B153" s="1156"/>
      <c r="C153" s="1154">
        <f>IF(AND($F114=15,OR(C129=$A127,C129=$B127,C129=$C127)),C147,0)+IF(AND($F114=14,OR(C129=$A127,C129=$B127)),C147,0)</f>
        <v>0</v>
      </c>
      <c r="D153" s="1154">
        <f t="shared" ref="D153:N153" si="75">IF(AND($F114=15,OR(D129=$A127,D129=$B127,D129=$C127)),D147,0)+IF(AND($F114=14,OR(D129=$A127,D129=$B127)),D147,0)</f>
        <v>0</v>
      </c>
      <c r="E153" s="1154">
        <f t="shared" si="75"/>
        <v>0</v>
      </c>
      <c r="F153" s="1154">
        <f t="shared" si="75"/>
        <v>0</v>
      </c>
      <c r="G153" s="1154">
        <f t="shared" si="75"/>
        <v>0</v>
      </c>
      <c r="H153" s="1154">
        <f t="shared" si="75"/>
        <v>0</v>
      </c>
      <c r="I153" s="1154">
        <f t="shared" si="75"/>
        <v>0</v>
      </c>
      <c r="J153" s="1154">
        <f t="shared" si="75"/>
        <v>0</v>
      </c>
      <c r="K153" s="1154">
        <f t="shared" si="75"/>
        <v>0</v>
      </c>
      <c r="L153" s="1154">
        <f t="shared" si="75"/>
        <v>0</v>
      </c>
      <c r="M153" s="1154">
        <f t="shared" si="75"/>
        <v>0</v>
      </c>
      <c r="N153" s="1154">
        <f t="shared" si="75"/>
        <v>0</v>
      </c>
      <c r="O153" s="1155"/>
    </row>
    <row r="154" spans="1:15" ht="12.75" hidden="1" customHeight="1" x14ac:dyDescent="0.25">
      <c r="A154" s="1156" t="str">
        <f>A148</f>
        <v>Categoria E</v>
      </c>
      <c r="B154" s="1156"/>
      <c r="C154" s="1154">
        <f>IF(AND($G114=15,OR(C129=$A127,C129=$B127,C129=$C127)),C148,0)+IF(AND($G114=14,OR(C129=$A127,C129=$B127)),C148,0)</f>
        <v>0</v>
      </c>
      <c r="D154" s="1154">
        <f t="shared" ref="D154:N154" si="76">IF(AND($G114=15,OR(D129=$A127,D129=$B127,D129=$C127)),D148,0)+IF(AND($G114=14,OR(D129=$A127,D129=$B127)),D148,0)</f>
        <v>0</v>
      </c>
      <c r="E154" s="1154">
        <f t="shared" si="76"/>
        <v>0</v>
      </c>
      <c r="F154" s="1154">
        <f t="shared" si="76"/>
        <v>0</v>
      </c>
      <c r="G154" s="1154">
        <f t="shared" si="76"/>
        <v>0</v>
      </c>
      <c r="H154" s="1154">
        <f t="shared" si="76"/>
        <v>0</v>
      </c>
      <c r="I154" s="1154">
        <f t="shared" si="76"/>
        <v>0</v>
      </c>
      <c r="J154" s="1154">
        <f t="shared" si="76"/>
        <v>0</v>
      </c>
      <c r="K154" s="1154">
        <f t="shared" si="76"/>
        <v>0</v>
      </c>
      <c r="L154" s="1154">
        <f t="shared" si="76"/>
        <v>0</v>
      </c>
      <c r="M154" s="1154">
        <f t="shared" si="76"/>
        <v>0</v>
      </c>
      <c r="N154" s="1154">
        <f t="shared" si="76"/>
        <v>0</v>
      </c>
      <c r="O154" s="1155"/>
    </row>
    <row r="155" spans="1:15" ht="13" x14ac:dyDescent="0.3">
      <c r="A155" s="1882" t="s">
        <v>363</v>
      </c>
      <c r="B155" s="1882"/>
      <c r="C155" s="1086">
        <f t="shared" ref="C155:N155" si="77">SUM(C156:C160)</f>
        <v>0</v>
      </c>
      <c r="D155" s="1086">
        <f t="shared" si="77"/>
        <v>0</v>
      </c>
      <c r="E155" s="1086">
        <f t="shared" si="77"/>
        <v>0</v>
      </c>
      <c r="F155" s="1086">
        <f t="shared" si="77"/>
        <v>0</v>
      </c>
      <c r="G155" s="1086">
        <f t="shared" si="77"/>
        <v>0</v>
      </c>
      <c r="H155" s="1086">
        <f t="shared" si="77"/>
        <v>0</v>
      </c>
      <c r="I155" s="1086">
        <f t="shared" si="77"/>
        <v>0</v>
      </c>
      <c r="J155" s="1086">
        <f t="shared" si="77"/>
        <v>0</v>
      </c>
      <c r="K155" s="1086">
        <f t="shared" si="77"/>
        <v>0</v>
      </c>
      <c r="L155" s="1086">
        <f t="shared" si="77"/>
        <v>0</v>
      </c>
      <c r="M155" s="1086">
        <f t="shared" si="77"/>
        <v>0</v>
      </c>
      <c r="N155" s="1086">
        <f t="shared" si="77"/>
        <v>0</v>
      </c>
      <c r="O155" s="1086">
        <f t="shared" ref="O155:O172" si="78">SUM(C155:N155)</f>
        <v>0</v>
      </c>
    </row>
    <row r="156" spans="1:15" ht="12.75" hidden="1" customHeight="1" x14ac:dyDescent="0.25">
      <c r="A156" s="1157" t="str">
        <f>A150</f>
        <v>Categoria A</v>
      </c>
      <c r="B156" s="1158"/>
      <c r="C156" s="1159">
        <f>$C113*VARIABLES!B75</f>
        <v>0</v>
      </c>
      <c r="D156" s="1154">
        <f>$C113*VARIABLES!C75</f>
        <v>0</v>
      </c>
      <c r="E156" s="1154">
        <f>$C113*VARIABLES!D75</f>
        <v>0</v>
      </c>
      <c r="F156" s="1154">
        <f>$C113*VARIABLES!E75</f>
        <v>0</v>
      </c>
      <c r="G156" s="1154">
        <f>$C113*VARIABLES!F75</f>
        <v>0</v>
      </c>
      <c r="H156" s="1154">
        <f>$C113*VARIABLES!G75</f>
        <v>0</v>
      </c>
      <c r="I156" s="1154">
        <f>$C113*VARIABLES!H75</f>
        <v>0</v>
      </c>
      <c r="J156" s="1154">
        <f>$C113*VARIABLES!I75</f>
        <v>0</v>
      </c>
      <c r="K156" s="1154">
        <f>$C113*VARIABLES!J75</f>
        <v>0</v>
      </c>
      <c r="L156" s="1154">
        <f>$C113*VARIABLES!K75</f>
        <v>0</v>
      </c>
      <c r="M156" s="1154">
        <f>$C113*VARIABLES!L75</f>
        <v>0</v>
      </c>
      <c r="N156" s="1160">
        <f>$C113*VARIABLES!M75</f>
        <v>0</v>
      </c>
      <c r="O156" s="1161">
        <f t="shared" si="78"/>
        <v>0</v>
      </c>
    </row>
    <row r="157" spans="1:15" ht="12.75" hidden="1" customHeight="1" x14ac:dyDescent="0.25">
      <c r="A157" s="1157" t="str">
        <f>A151</f>
        <v>Categoria B</v>
      </c>
      <c r="B157" s="1158"/>
      <c r="C157" s="1159">
        <f>$D113*VARIABLES!B75</f>
        <v>0</v>
      </c>
      <c r="D157" s="1154">
        <f>$D113*VARIABLES!C75</f>
        <v>0</v>
      </c>
      <c r="E157" s="1154">
        <f>$D113*VARIABLES!D75</f>
        <v>0</v>
      </c>
      <c r="F157" s="1154">
        <f>$D113*VARIABLES!E75</f>
        <v>0</v>
      </c>
      <c r="G157" s="1154">
        <f>$D113*VARIABLES!F75</f>
        <v>0</v>
      </c>
      <c r="H157" s="1154">
        <f>$D113*VARIABLES!G75</f>
        <v>0</v>
      </c>
      <c r="I157" s="1154">
        <f>$D113*VARIABLES!H75</f>
        <v>0</v>
      </c>
      <c r="J157" s="1154">
        <f>$D113*VARIABLES!I75</f>
        <v>0</v>
      </c>
      <c r="K157" s="1154">
        <f>$D113*VARIABLES!J75</f>
        <v>0</v>
      </c>
      <c r="L157" s="1154">
        <f>$D113*VARIABLES!K75</f>
        <v>0</v>
      </c>
      <c r="M157" s="1154">
        <f>$D113*VARIABLES!L75</f>
        <v>0</v>
      </c>
      <c r="N157" s="1160">
        <f>$D113*VARIABLES!M75</f>
        <v>0</v>
      </c>
      <c r="O157" s="1161">
        <f t="shared" si="78"/>
        <v>0</v>
      </c>
    </row>
    <row r="158" spans="1:15" ht="12.75" hidden="1" customHeight="1" x14ac:dyDescent="0.25">
      <c r="A158" s="1157" t="str">
        <f>A152</f>
        <v>Categoria C</v>
      </c>
      <c r="B158" s="1158"/>
      <c r="C158" s="1159">
        <f>$E113*VARIABLES!B75</f>
        <v>0</v>
      </c>
      <c r="D158" s="1154">
        <f>$E113*VARIABLES!C75</f>
        <v>0</v>
      </c>
      <c r="E158" s="1154">
        <f>$E113*VARIABLES!D75</f>
        <v>0</v>
      </c>
      <c r="F158" s="1154">
        <f>$E113*VARIABLES!E75</f>
        <v>0</v>
      </c>
      <c r="G158" s="1154">
        <f>$E113*VARIABLES!F75</f>
        <v>0</v>
      </c>
      <c r="H158" s="1154">
        <f>$E113*VARIABLES!G75</f>
        <v>0</v>
      </c>
      <c r="I158" s="1154">
        <f>$E113*VARIABLES!H75</f>
        <v>0</v>
      </c>
      <c r="J158" s="1154">
        <f>$E113*VARIABLES!I75</f>
        <v>0</v>
      </c>
      <c r="K158" s="1154">
        <f>$E113*VARIABLES!J75</f>
        <v>0</v>
      </c>
      <c r="L158" s="1154">
        <f>$E113*VARIABLES!K75</f>
        <v>0</v>
      </c>
      <c r="M158" s="1154">
        <f>$E113*VARIABLES!L75</f>
        <v>0</v>
      </c>
      <c r="N158" s="1160">
        <f>$E113*VARIABLES!M75</f>
        <v>0</v>
      </c>
      <c r="O158" s="1161">
        <f t="shared" si="78"/>
        <v>0</v>
      </c>
    </row>
    <row r="159" spans="1:15" ht="12.75" hidden="1" customHeight="1" x14ac:dyDescent="0.25">
      <c r="A159" s="1157" t="str">
        <f>A153</f>
        <v>Categoria D</v>
      </c>
      <c r="B159" s="1158"/>
      <c r="C159" s="1159">
        <f>$F113*VARIABLES!B75</f>
        <v>0</v>
      </c>
      <c r="D159" s="1154">
        <f>$F113*VARIABLES!C75</f>
        <v>0</v>
      </c>
      <c r="E159" s="1154">
        <f>$F113*VARIABLES!D75</f>
        <v>0</v>
      </c>
      <c r="F159" s="1154">
        <f>$F113*VARIABLES!E75</f>
        <v>0</v>
      </c>
      <c r="G159" s="1154">
        <f>$F113*VARIABLES!F75</f>
        <v>0</v>
      </c>
      <c r="H159" s="1154">
        <f>$F113*VARIABLES!G75</f>
        <v>0</v>
      </c>
      <c r="I159" s="1154">
        <f>$F113*VARIABLES!H75</f>
        <v>0</v>
      </c>
      <c r="J159" s="1154">
        <f>$F113*VARIABLES!I75</f>
        <v>0</v>
      </c>
      <c r="K159" s="1154">
        <f>$F113*VARIABLES!J75</f>
        <v>0</v>
      </c>
      <c r="L159" s="1154">
        <f>$F113*VARIABLES!K75</f>
        <v>0</v>
      </c>
      <c r="M159" s="1154">
        <f>$F113*VARIABLES!L75</f>
        <v>0</v>
      </c>
      <c r="N159" s="1160">
        <f>$F113*VARIABLES!M75</f>
        <v>0</v>
      </c>
      <c r="O159" s="1161">
        <f t="shared" si="78"/>
        <v>0</v>
      </c>
    </row>
    <row r="160" spans="1:15" ht="12.75" hidden="1" customHeight="1" x14ac:dyDescent="0.25">
      <c r="A160" s="1157" t="str">
        <f>A154</f>
        <v>Categoria E</v>
      </c>
      <c r="B160" s="1158"/>
      <c r="C160" s="1159">
        <f>$G113*VARIABLES!B75</f>
        <v>0</v>
      </c>
      <c r="D160" s="1154">
        <f>$G113*VARIABLES!C75</f>
        <v>0</v>
      </c>
      <c r="E160" s="1154">
        <f>$G113*VARIABLES!D75</f>
        <v>0</v>
      </c>
      <c r="F160" s="1154">
        <f>$G113*VARIABLES!E75</f>
        <v>0</v>
      </c>
      <c r="G160" s="1154">
        <f>$G113*VARIABLES!F75</f>
        <v>0</v>
      </c>
      <c r="H160" s="1154">
        <f>$G113*VARIABLES!G75</f>
        <v>0</v>
      </c>
      <c r="I160" s="1154">
        <f>$G113*VARIABLES!H75</f>
        <v>0</v>
      </c>
      <c r="J160" s="1154">
        <f>$G113*VARIABLES!I75</f>
        <v>0</v>
      </c>
      <c r="K160" s="1154">
        <f>$G113*VARIABLES!J75</f>
        <v>0</v>
      </c>
      <c r="L160" s="1154">
        <f>$G113*VARIABLES!K75</f>
        <v>0</v>
      </c>
      <c r="M160" s="1154">
        <f>$G113*VARIABLES!L75</f>
        <v>0</v>
      </c>
      <c r="N160" s="1160">
        <f>$G113*VARIABLES!M75</f>
        <v>0</v>
      </c>
      <c r="O160" s="1161">
        <f t="shared" si="78"/>
        <v>0</v>
      </c>
    </row>
    <row r="161" spans="1:15" ht="13" x14ac:dyDescent="0.3">
      <c r="A161" s="1889" t="s">
        <v>378</v>
      </c>
      <c r="B161" s="1889"/>
      <c r="C161" s="1081">
        <f>SUM(C162:C166)</f>
        <v>0</v>
      </c>
      <c r="D161" s="1081">
        <f t="shared" ref="D161:N161" si="79">SUM(D162:D166)</f>
        <v>0</v>
      </c>
      <c r="E161" s="1081">
        <f t="shared" si="79"/>
        <v>0</v>
      </c>
      <c r="F161" s="1081">
        <f t="shared" si="79"/>
        <v>0</v>
      </c>
      <c r="G161" s="1081">
        <f t="shared" si="79"/>
        <v>0</v>
      </c>
      <c r="H161" s="1081">
        <f t="shared" si="79"/>
        <v>0</v>
      </c>
      <c r="I161" s="1081">
        <f t="shared" si="79"/>
        <v>0</v>
      </c>
      <c r="J161" s="1081">
        <f t="shared" si="79"/>
        <v>0</v>
      </c>
      <c r="K161" s="1081">
        <f t="shared" si="79"/>
        <v>0</v>
      </c>
      <c r="L161" s="1081">
        <f t="shared" si="79"/>
        <v>0</v>
      </c>
      <c r="M161" s="1081">
        <f t="shared" si="79"/>
        <v>0</v>
      </c>
      <c r="N161" s="1081">
        <f t="shared" si="79"/>
        <v>0</v>
      </c>
      <c r="O161" s="1081">
        <f t="shared" si="78"/>
        <v>0</v>
      </c>
    </row>
    <row r="162" spans="1:15" ht="12.75" hidden="1" customHeight="1" x14ac:dyDescent="0.25">
      <c r="A162" s="1156" t="s">
        <v>208</v>
      </c>
      <c r="B162" s="1156"/>
      <c r="C162" s="1154">
        <f>IF(C132=0,0,$C$122)</f>
        <v>0</v>
      </c>
      <c r="D162" s="1154">
        <f t="shared" ref="D162:N162" si="80">IF(D132=0,0,$C$122)</f>
        <v>0</v>
      </c>
      <c r="E162" s="1154">
        <f t="shared" si="80"/>
        <v>0</v>
      </c>
      <c r="F162" s="1154">
        <f t="shared" si="80"/>
        <v>0</v>
      </c>
      <c r="G162" s="1154">
        <f t="shared" si="80"/>
        <v>0</v>
      </c>
      <c r="H162" s="1154">
        <f t="shared" si="80"/>
        <v>0</v>
      </c>
      <c r="I162" s="1154">
        <f t="shared" si="80"/>
        <v>0</v>
      </c>
      <c r="J162" s="1154">
        <f t="shared" si="80"/>
        <v>0</v>
      </c>
      <c r="K162" s="1154">
        <f t="shared" si="80"/>
        <v>0</v>
      </c>
      <c r="L162" s="1154">
        <f t="shared" si="80"/>
        <v>0</v>
      </c>
      <c r="M162" s="1154">
        <f t="shared" si="80"/>
        <v>0</v>
      </c>
      <c r="N162" s="1154">
        <f t="shared" si="80"/>
        <v>0</v>
      </c>
      <c r="O162" s="1154">
        <f t="shared" si="78"/>
        <v>0</v>
      </c>
    </row>
    <row r="163" spans="1:15" ht="12.75" hidden="1" customHeight="1" x14ac:dyDescent="0.25">
      <c r="A163" s="1156" t="s">
        <v>209</v>
      </c>
      <c r="B163" s="1156"/>
      <c r="C163" s="1154">
        <f>IF(C133=0,0,$D$122)</f>
        <v>0</v>
      </c>
      <c r="D163" s="1154">
        <f t="shared" ref="D163:N163" si="81">IF(D133=0,0,$D$122)</f>
        <v>0</v>
      </c>
      <c r="E163" s="1154">
        <f t="shared" si="81"/>
        <v>0</v>
      </c>
      <c r="F163" s="1154">
        <f t="shared" si="81"/>
        <v>0</v>
      </c>
      <c r="G163" s="1154">
        <f t="shared" si="81"/>
        <v>0</v>
      </c>
      <c r="H163" s="1154">
        <f t="shared" si="81"/>
        <v>0</v>
      </c>
      <c r="I163" s="1154">
        <f t="shared" si="81"/>
        <v>0</v>
      </c>
      <c r="J163" s="1154">
        <f t="shared" si="81"/>
        <v>0</v>
      </c>
      <c r="K163" s="1154">
        <f t="shared" si="81"/>
        <v>0</v>
      </c>
      <c r="L163" s="1154">
        <f t="shared" si="81"/>
        <v>0</v>
      </c>
      <c r="M163" s="1154">
        <f t="shared" si="81"/>
        <v>0</v>
      </c>
      <c r="N163" s="1154">
        <f t="shared" si="81"/>
        <v>0</v>
      </c>
      <c r="O163" s="1154">
        <f t="shared" si="78"/>
        <v>0</v>
      </c>
    </row>
    <row r="164" spans="1:15" ht="12.75" hidden="1" customHeight="1" x14ac:dyDescent="0.25">
      <c r="A164" s="1156" t="s">
        <v>219</v>
      </c>
      <c r="B164" s="1156"/>
      <c r="C164" s="1154">
        <f>IF(C134=0,0,$E$122)</f>
        <v>0</v>
      </c>
      <c r="D164" s="1154">
        <f t="shared" ref="D164:N164" si="82">IF(D134=0,0,$E$122)</f>
        <v>0</v>
      </c>
      <c r="E164" s="1154">
        <f t="shared" si="82"/>
        <v>0</v>
      </c>
      <c r="F164" s="1154">
        <f t="shared" si="82"/>
        <v>0</v>
      </c>
      <c r="G164" s="1154">
        <f t="shared" si="82"/>
        <v>0</v>
      </c>
      <c r="H164" s="1154">
        <f t="shared" si="82"/>
        <v>0</v>
      </c>
      <c r="I164" s="1154">
        <f t="shared" si="82"/>
        <v>0</v>
      </c>
      <c r="J164" s="1154">
        <f t="shared" si="82"/>
        <v>0</v>
      </c>
      <c r="K164" s="1154">
        <f t="shared" si="82"/>
        <v>0</v>
      </c>
      <c r="L164" s="1154">
        <f t="shared" si="82"/>
        <v>0</v>
      </c>
      <c r="M164" s="1154">
        <f t="shared" si="82"/>
        <v>0</v>
      </c>
      <c r="N164" s="1154">
        <f t="shared" si="82"/>
        <v>0</v>
      </c>
      <c r="O164" s="1154">
        <f t="shared" si="78"/>
        <v>0</v>
      </c>
    </row>
    <row r="165" spans="1:15" ht="12.75" hidden="1" customHeight="1" x14ac:dyDescent="0.25">
      <c r="A165" s="1156" t="s">
        <v>220</v>
      </c>
      <c r="B165" s="1156"/>
      <c r="C165" s="1154">
        <f>IF(C135=0,0,$F$122)</f>
        <v>0</v>
      </c>
      <c r="D165" s="1154">
        <f t="shared" ref="D165:N165" si="83">IF(D135=0,0,$F$122)</f>
        <v>0</v>
      </c>
      <c r="E165" s="1154">
        <f t="shared" si="83"/>
        <v>0</v>
      </c>
      <c r="F165" s="1154">
        <f t="shared" si="83"/>
        <v>0</v>
      </c>
      <c r="G165" s="1154">
        <f t="shared" si="83"/>
        <v>0</v>
      </c>
      <c r="H165" s="1154">
        <f t="shared" si="83"/>
        <v>0</v>
      </c>
      <c r="I165" s="1154">
        <f t="shared" si="83"/>
        <v>0</v>
      </c>
      <c r="J165" s="1154">
        <f t="shared" si="83"/>
        <v>0</v>
      </c>
      <c r="K165" s="1154">
        <f t="shared" si="83"/>
        <v>0</v>
      </c>
      <c r="L165" s="1154">
        <f t="shared" si="83"/>
        <v>0</v>
      </c>
      <c r="M165" s="1154">
        <f t="shared" si="83"/>
        <v>0</v>
      </c>
      <c r="N165" s="1154">
        <f t="shared" si="83"/>
        <v>0</v>
      </c>
      <c r="O165" s="1154">
        <f t="shared" si="78"/>
        <v>0</v>
      </c>
    </row>
    <row r="166" spans="1:15" ht="12.75" hidden="1" customHeight="1" x14ac:dyDescent="0.25">
      <c r="A166" s="1156" t="s">
        <v>221</v>
      </c>
      <c r="B166" s="1156"/>
      <c r="C166" s="1154">
        <f>IF(C136=0,0,$G$122)</f>
        <v>0</v>
      </c>
      <c r="D166" s="1154">
        <f t="shared" ref="D166:N166" si="84">IF(D136=0,0,$G$122)</f>
        <v>0</v>
      </c>
      <c r="E166" s="1154">
        <f t="shared" si="84"/>
        <v>0</v>
      </c>
      <c r="F166" s="1154">
        <f t="shared" si="84"/>
        <v>0</v>
      </c>
      <c r="G166" s="1154">
        <f t="shared" si="84"/>
        <v>0</v>
      </c>
      <c r="H166" s="1154">
        <f t="shared" si="84"/>
        <v>0</v>
      </c>
      <c r="I166" s="1154">
        <f t="shared" si="84"/>
        <v>0</v>
      </c>
      <c r="J166" s="1154">
        <f t="shared" si="84"/>
        <v>0</v>
      </c>
      <c r="K166" s="1154">
        <f t="shared" si="84"/>
        <v>0</v>
      </c>
      <c r="L166" s="1154">
        <f t="shared" si="84"/>
        <v>0</v>
      </c>
      <c r="M166" s="1154">
        <f t="shared" si="84"/>
        <v>0</v>
      </c>
      <c r="N166" s="1154">
        <f t="shared" si="84"/>
        <v>0</v>
      </c>
      <c r="O166" s="1154">
        <f t="shared" si="78"/>
        <v>0</v>
      </c>
    </row>
    <row r="167" spans="1:15" ht="13" x14ac:dyDescent="0.3">
      <c r="A167" s="1892" t="s">
        <v>379</v>
      </c>
      <c r="B167" s="1892"/>
      <c r="C167" s="1086">
        <f>SUM(C168:C172)</f>
        <v>0</v>
      </c>
      <c r="D167" s="1086">
        <f t="shared" ref="D167:N167" si="85">SUM(D168:D172)</f>
        <v>0</v>
      </c>
      <c r="E167" s="1086">
        <f t="shared" si="85"/>
        <v>0</v>
      </c>
      <c r="F167" s="1086">
        <f t="shared" si="85"/>
        <v>0</v>
      </c>
      <c r="G167" s="1086">
        <f t="shared" si="85"/>
        <v>0</v>
      </c>
      <c r="H167" s="1086">
        <f t="shared" si="85"/>
        <v>0</v>
      </c>
      <c r="I167" s="1086">
        <f t="shared" si="85"/>
        <v>0</v>
      </c>
      <c r="J167" s="1086">
        <f t="shared" si="85"/>
        <v>0</v>
      </c>
      <c r="K167" s="1086">
        <f t="shared" si="85"/>
        <v>0</v>
      </c>
      <c r="L167" s="1086">
        <f t="shared" si="85"/>
        <v>0</v>
      </c>
      <c r="M167" s="1086">
        <f t="shared" si="85"/>
        <v>0</v>
      </c>
      <c r="N167" s="1086">
        <f t="shared" si="85"/>
        <v>0</v>
      </c>
      <c r="O167" s="1086">
        <f t="shared" si="78"/>
        <v>0</v>
      </c>
    </row>
    <row r="168" spans="1:15" ht="12.75" hidden="1" customHeight="1" x14ac:dyDescent="0.25">
      <c r="A168" s="1157" t="s">
        <v>208</v>
      </c>
      <c r="B168" s="1158"/>
      <c r="C168" s="1159">
        <f>IF(C162=0,0,$C$123)</f>
        <v>0</v>
      </c>
      <c r="D168" s="1154">
        <f t="shared" ref="D168:N168" si="86">IF(D162=0,0,$C$123)</f>
        <v>0</v>
      </c>
      <c r="E168" s="1154">
        <f t="shared" si="86"/>
        <v>0</v>
      </c>
      <c r="F168" s="1154">
        <f t="shared" si="86"/>
        <v>0</v>
      </c>
      <c r="G168" s="1154">
        <f t="shared" si="86"/>
        <v>0</v>
      </c>
      <c r="H168" s="1154">
        <f t="shared" si="86"/>
        <v>0</v>
      </c>
      <c r="I168" s="1154">
        <f t="shared" si="86"/>
        <v>0</v>
      </c>
      <c r="J168" s="1154">
        <f t="shared" si="86"/>
        <v>0</v>
      </c>
      <c r="K168" s="1154">
        <f t="shared" si="86"/>
        <v>0</v>
      </c>
      <c r="L168" s="1154">
        <f t="shared" si="86"/>
        <v>0</v>
      </c>
      <c r="M168" s="1154">
        <f t="shared" si="86"/>
        <v>0</v>
      </c>
      <c r="N168" s="1160">
        <f t="shared" si="86"/>
        <v>0</v>
      </c>
      <c r="O168" s="1161">
        <f t="shared" si="78"/>
        <v>0</v>
      </c>
    </row>
    <row r="169" spans="1:15" ht="12.75" hidden="1" customHeight="1" x14ac:dyDescent="0.25">
      <c r="A169" s="1157" t="s">
        <v>209</v>
      </c>
      <c r="B169" s="1158"/>
      <c r="C169" s="1159">
        <f>IF(C163=0,0,$D$123)</f>
        <v>0</v>
      </c>
      <c r="D169" s="1154">
        <f t="shared" ref="D169:N169" si="87">IF(D163=0,0,$D$123)</f>
        <v>0</v>
      </c>
      <c r="E169" s="1154">
        <f t="shared" si="87"/>
        <v>0</v>
      </c>
      <c r="F169" s="1154">
        <f t="shared" si="87"/>
        <v>0</v>
      </c>
      <c r="G169" s="1154">
        <f t="shared" si="87"/>
        <v>0</v>
      </c>
      <c r="H169" s="1154">
        <f t="shared" si="87"/>
        <v>0</v>
      </c>
      <c r="I169" s="1154">
        <f t="shared" si="87"/>
        <v>0</v>
      </c>
      <c r="J169" s="1154">
        <f t="shared" si="87"/>
        <v>0</v>
      </c>
      <c r="K169" s="1154">
        <f t="shared" si="87"/>
        <v>0</v>
      </c>
      <c r="L169" s="1154">
        <f t="shared" si="87"/>
        <v>0</v>
      </c>
      <c r="M169" s="1154">
        <f t="shared" si="87"/>
        <v>0</v>
      </c>
      <c r="N169" s="1160">
        <f t="shared" si="87"/>
        <v>0</v>
      </c>
      <c r="O169" s="1161">
        <f t="shared" si="78"/>
        <v>0</v>
      </c>
    </row>
    <row r="170" spans="1:15" ht="12.75" hidden="1" customHeight="1" x14ac:dyDescent="0.25">
      <c r="A170" s="1157" t="s">
        <v>219</v>
      </c>
      <c r="B170" s="1158"/>
      <c r="C170" s="1159">
        <f>IF(C164=0,0,$E$123)</f>
        <v>0</v>
      </c>
      <c r="D170" s="1154">
        <f t="shared" ref="D170:N170" si="88">IF(D164=0,0,$E$123)</f>
        <v>0</v>
      </c>
      <c r="E170" s="1154">
        <f t="shared" si="88"/>
        <v>0</v>
      </c>
      <c r="F170" s="1154">
        <f t="shared" si="88"/>
        <v>0</v>
      </c>
      <c r="G170" s="1154">
        <f t="shared" si="88"/>
        <v>0</v>
      </c>
      <c r="H170" s="1154">
        <f t="shared" si="88"/>
        <v>0</v>
      </c>
      <c r="I170" s="1154">
        <f t="shared" si="88"/>
        <v>0</v>
      </c>
      <c r="J170" s="1154">
        <f t="shared" si="88"/>
        <v>0</v>
      </c>
      <c r="K170" s="1154">
        <f t="shared" si="88"/>
        <v>0</v>
      </c>
      <c r="L170" s="1154">
        <f t="shared" si="88"/>
        <v>0</v>
      </c>
      <c r="M170" s="1154">
        <f t="shared" si="88"/>
        <v>0</v>
      </c>
      <c r="N170" s="1160">
        <f t="shared" si="88"/>
        <v>0</v>
      </c>
      <c r="O170" s="1161">
        <f t="shared" si="78"/>
        <v>0</v>
      </c>
    </row>
    <row r="171" spans="1:15" ht="12.75" hidden="1" customHeight="1" x14ac:dyDescent="0.25">
      <c r="A171" s="1157" t="s">
        <v>220</v>
      </c>
      <c r="B171" s="1158"/>
      <c r="C171" s="1159">
        <f>IF(C165=0,0,$F$123)</f>
        <v>0</v>
      </c>
      <c r="D171" s="1154">
        <f t="shared" ref="D171:N171" si="89">IF(D165=0,0,$F$123)</f>
        <v>0</v>
      </c>
      <c r="E171" s="1154">
        <f t="shared" si="89"/>
        <v>0</v>
      </c>
      <c r="F171" s="1154">
        <f t="shared" si="89"/>
        <v>0</v>
      </c>
      <c r="G171" s="1154">
        <f t="shared" si="89"/>
        <v>0</v>
      </c>
      <c r="H171" s="1154">
        <f t="shared" si="89"/>
        <v>0</v>
      </c>
      <c r="I171" s="1154">
        <f t="shared" si="89"/>
        <v>0</v>
      </c>
      <c r="J171" s="1154">
        <f t="shared" si="89"/>
        <v>0</v>
      </c>
      <c r="K171" s="1154">
        <f t="shared" si="89"/>
        <v>0</v>
      </c>
      <c r="L171" s="1154">
        <f t="shared" si="89"/>
        <v>0</v>
      </c>
      <c r="M171" s="1154">
        <f t="shared" si="89"/>
        <v>0</v>
      </c>
      <c r="N171" s="1160">
        <f t="shared" si="89"/>
        <v>0</v>
      </c>
      <c r="O171" s="1161">
        <f t="shared" si="78"/>
        <v>0</v>
      </c>
    </row>
    <row r="172" spans="1:15" ht="12.75" hidden="1" customHeight="1" x14ac:dyDescent="0.25">
      <c r="A172" s="1157" t="s">
        <v>221</v>
      </c>
      <c r="B172" s="1158"/>
      <c r="C172" s="1159">
        <f>IF(C166=0,0,$G$123)</f>
        <v>0</v>
      </c>
      <c r="D172" s="1154">
        <f t="shared" ref="D172:N172" si="90">IF(D166=0,0,$G$123)</f>
        <v>0</v>
      </c>
      <c r="E172" s="1154">
        <f t="shared" si="90"/>
        <v>0</v>
      </c>
      <c r="F172" s="1154">
        <f t="shared" si="90"/>
        <v>0</v>
      </c>
      <c r="G172" s="1154">
        <f t="shared" si="90"/>
        <v>0</v>
      </c>
      <c r="H172" s="1154">
        <f t="shared" si="90"/>
        <v>0</v>
      </c>
      <c r="I172" s="1154">
        <f t="shared" si="90"/>
        <v>0</v>
      </c>
      <c r="J172" s="1154">
        <f t="shared" si="90"/>
        <v>0</v>
      </c>
      <c r="K172" s="1154">
        <f t="shared" si="90"/>
        <v>0</v>
      </c>
      <c r="L172" s="1154">
        <f t="shared" si="90"/>
        <v>0</v>
      </c>
      <c r="M172" s="1154">
        <f t="shared" si="90"/>
        <v>0</v>
      </c>
      <c r="N172" s="1160">
        <f t="shared" si="90"/>
        <v>0</v>
      </c>
      <c r="O172" s="1161">
        <f t="shared" si="78"/>
        <v>0</v>
      </c>
    </row>
    <row r="173" spans="1:15" ht="13" x14ac:dyDescent="0.3">
      <c r="A173" s="1781" t="s">
        <v>365</v>
      </c>
      <c r="B173" s="1781"/>
      <c r="C173" s="1096">
        <f>C161+C130</f>
        <v>0</v>
      </c>
      <c r="D173" s="1096">
        <f t="shared" ref="D173:N173" si="91">D161+D130</f>
        <v>0</v>
      </c>
      <c r="E173" s="1096">
        <f t="shared" si="91"/>
        <v>0</v>
      </c>
      <c r="F173" s="1096">
        <f t="shared" si="91"/>
        <v>0</v>
      </c>
      <c r="G173" s="1096">
        <f t="shared" si="91"/>
        <v>0</v>
      </c>
      <c r="H173" s="1096">
        <f t="shared" si="91"/>
        <v>0</v>
      </c>
      <c r="I173" s="1096">
        <f t="shared" si="91"/>
        <v>0</v>
      </c>
      <c r="J173" s="1096">
        <f t="shared" si="91"/>
        <v>0</v>
      </c>
      <c r="K173" s="1096">
        <f t="shared" si="91"/>
        <v>0</v>
      </c>
      <c r="L173" s="1096">
        <f t="shared" si="91"/>
        <v>0</v>
      </c>
      <c r="M173" s="1096">
        <f t="shared" si="91"/>
        <v>0</v>
      </c>
      <c r="N173" s="1096">
        <f t="shared" si="91"/>
        <v>0</v>
      </c>
      <c r="O173" s="1096">
        <f>O161+O130</f>
        <v>0</v>
      </c>
    </row>
    <row r="174" spans="1:15" ht="13" x14ac:dyDescent="0.3">
      <c r="A174" s="1883" t="s">
        <v>163</v>
      </c>
      <c r="B174" s="1883"/>
      <c r="C174" s="1072">
        <f>SUM(C175:C179)</f>
        <v>0</v>
      </c>
      <c r="D174" s="1072">
        <f t="shared" ref="D174:N174" si="92">SUM(D175:D179)</f>
        <v>0</v>
      </c>
      <c r="E174" s="1072">
        <f t="shared" si="92"/>
        <v>0</v>
      </c>
      <c r="F174" s="1072">
        <f t="shared" si="92"/>
        <v>0</v>
      </c>
      <c r="G174" s="1072">
        <f t="shared" si="92"/>
        <v>0</v>
      </c>
      <c r="H174" s="1072">
        <f t="shared" si="92"/>
        <v>0</v>
      </c>
      <c r="I174" s="1072">
        <f t="shared" si="92"/>
        <v>0</v>
      </c>
      <c r="J174" s="1072">
        <f t="shared" si="92"/>
        <v>0</v>
      </c>
      <c r="K174" s="1072">
        <f t="shared" si="92"/>
        <v>0</v>
      </c>
      <c r="L174" s="1072">
        <f t="shared" si="92"/>
        <v>0</v>
      </c>
      <c r="M174" s="1072">
        <f t="shared" si="92"/>
        <v>0</v>
      </c>
      <c r="N174" s="1072">
        <f t="shared" si="92"/>
        <v>0</v>
      </c>
      <c r="O174" s="1072">
        <f>SUM(O175:O179)</f>
        <v>0</v>
      </c>
    </row>
    <row r="175" spans="1:15" ht="12.75" hidden="1" customHeight="1" x14ac:dyDescent="0.25">
      <c r="A175" s="1157" t="s">
        <v>208</v>
      </c>
      <c r="B175" s="1158"/>
      <c r="C175" s="1159">
        <f>(C132+C150)*$C124</f>
        <v>0</v>
      </c>
      <c r="D175" s="1154">
        <f t="shared" ref="D175:I175" si="93">(D132+D150)*$C124</f>
        <v>0</v>
      </c>
      <c r="E175" s="1154">
        <f t="shared" si="93"/>
        <v>0</v>
      </c>
      <c r="F175" s="1154">
        <f t="shared" si="93"/>
        <v>0</v>
      </c>
      <c r="G175" s="1154">
        <f t="shared" si="93"/>
        <v>0</v>
      </c>
      <c r="H175" s="1154">
        <f t="shared" si="93"/>
        <v>0</v>
      </c>
      <c r="I175" s="1154">
        <f t="shared" si="93"/>
        <v>0</v>
      </c>
      <c r="J175" s="1154">
        <f>(J132+J150)*$C124</f>
        <v>0</v>
      </c>
      <c r="K175" s="1154">
        <f>(K132+K150)*$C124</f>
        <v>0</v>
      </c>
      <c r="L175" s="1154">
        <f>(L132+L150)*$C124</f>
        <v>0</v>
      </c>
      <c r="M175" s="1154">
        <f>(M132+M150)*$C124</f>
        <v>0</v>
      </c>
      <c r="N175" s="1160">
        <f>(N132+N150)*$C124</f>
        <v>0</v>
      </c>
      <c r="O175" s="1161">
        <f t="shared" ref="O175:O185" si="94">SUM(C175:N175)</f>
        <v>0</v>
      </c>
    </row>
    <row r="176" spans="1:15" ht="12.75" hidden="1" customHeight="1" x14ac:dyDescent="0.25">
      <c r="A176" s="1157" t="s">
        <v>209</v>
      </c>
      <c r="B176" s="1158"/>
      <c r="C176" s="1159">
        <f>(C133+C151)*$D124</f>
        <v>0</v>
      </c>
      <c r="D176" s="1154">
        <f t="shared" ref="D176:I176" si="95">(D133+D151)*$D124</f>
        <v>0</v>
      </c>
      <c r="E176" s="1154">
        <f t="shared" si="95"/>
        <v>0</v>
      </c>
      <c r="F176" s="1154">
        <f t="shared" si="95"/>
        <v>0</v>
      </c>
      <c r="G176" s="1154">
        <f t="shared" si="95"/>
        <v>0</v>
      </c>
      <c r="H176" s="1154">
        <f t="shared" si="95"/>
        <v>0</v>
      </c>
      <c r="I176" s="1154">
        <f t="shared" si="95"/>
        <v>0</v>
      </c>
      <c r="J176" s="1154">
        <f>(J133+J151)*$D124</f>
        <v>0</v>
      </c>
      <c r="K176" s="1154">
        <f>(K133+K151)*$D124</f>
        <v>0</v>
      </c>
      <c r="L176" s="1154">
        <f>(L133+L151)*$D124</f>
        <v>0</v>
      </c>
      <c r="M176" s="1154">
        <f>(M133+M151)*$D124</f>
        <v>0</v>
      </c>
      <c r="N176" s="1160">
        <f>(N133+N151)*$D124</f>
        <v>0</v>
      </c>
      <c r="O176" s="1161">
        <f t="shared" si="94"/>
        <v>0</v>
      </c>
    </row>
    <row r="177" spans="1:15" ht="12.75" hidden="1" customHeight="1" x14ac:dyDescent="0.25">
      <c r="A177" s="1157" t="s">
        <v>219</v>
      </c>
      <c r="B177" s="1158"/>
      <c r="C177" s="1159">
        <f>(C134+C152)*$E124</f>
        <v>0</v>
      </c>
      <c r="D177" s="1154">
        <f t="shared" ref="D177:I177" si="96">(D134+D152)*$E124</f>
        <v>0</v>
      </c>
      <c r="E177" s="1154">
        <f t="shared" si="96"/>
        <v>0</v>
      </c>
      <c r="F177" s="1154">
        <f t="shared" si="96"/>
        <v>0</v>
      </c>
      <c r="G177" s="1154">
        <f t="shared" si="96"/>
        <v>0</v>
      </c>
      <c r="H177" s="1154">
        <f t="shared" si="96"/>
        <v>0</v>
      </c>
      <c r="I177" s="1154">
        <f t="shared" si="96"/>
        <v>0</v>
      </c>
      <c r="J177" s="1154">
        <f>(J134+J152)*$E124</f>
        <v>0</v>
      </c>
      <c r="K177" s="1154">
        <f>(K134+K152)*$E124</f>
        <v>0</v>
      </c>
      <c r="L177" s="1154">
        <f>(L134+L152)*$E124</f>
        <v>0</v>
      </c>
      <c r="M177" s="1154">
        <f>(M134+M152)*$E124</f>
        <v>0</v>
      </c>
      <c r="N177" s="1160">
        <f>(N134+N152)*$E124</f>
        <v>0</v>
      </c>
      <c r="O177" s="1161">
        <f t="shared" si="94"/>
        <v>0</v>
      </c>
    </row>
    <row r="178" spans="1:15" ht="12.75" hidden="1" customHeight="1" x14ac:dyDescent="0.25">
      <c r="A178" s="1157" t="s">
        <v>220</v>
      </c>
      <c r="B178" s="1158"/>
      <c r="C178" s="1159">
        <f>(C135+C153)*$F124</f>
        <v>0</v>
      </c>
      <c r="D178" s="1154">
        <f t="shared" ref="D178:I178" si="97">(D135+D153)*$F124</f>
        <v>0</v>
      </c>
      <c r="E178" s="1154">
        <f t="shared" si="97"/>
        <v>0</v>
      </c>
      <c r="F178" s="1154">
        <f t="shared" si="97"/>
        <v>0</v>
      </c>
      <c r="G178" s="1154">
        <f t="shared" si="97"/>
        <v>0</v>
      </c>
      <c r="H178" s="1154">
        <f t="shared" si="97"/>
        <v>0</v>
      </c>
      <c r="I178" s="1154">
        <f t="shared" si="97"/>
        <v>0</v>
      </c>
      <c r="J178" s="1154">
        <f>(J135+J153)*$F124</f>
        <v>0</v>
      </c>
      <c r="K178" s="1154">
        <f>(K135+K153)*$F124</f>
        <v>0</v>
      </c>
      <c r="L178" s="1154">
        <f>(L135+L153)*$F124</f>
        <v>0</v>
      </c>
      <c r="M178" s="1154">
        <f>(M135+M153)*$F124</f>
        <v>0</v>
      </c>
      <c r="N178" s="1160">
        <f>(N135+N153)*$F124</f>
        <v>0</v>
      </c>
      <c r="O178" s="1161">
        <f t="shared" si="94"/>
        <v>0</v>
      </c>
    </row>
    <row r="179" spans="1:15" ht="12.75" hidden="1" customHeight="1" x14ac:dyDescent="0.25">
      <c r="A179" s="1157" t="s">
        <v>221</v>
      </c>
      <c r="B179" s="1158"/>
      <c r="C179" s="1159">
        <f>(C136+C154)*$G124</f>
        <v>0</v>
      </c>
      <c r="D179" s="1154">
        <f t="shared" ref="D179:I179" si="98">(D136+D154)*$G124</f>
        <v>0</v>
      </c>
      <c r="E179" s="1154">
        <f t="shared" si="98"/>
        <v>0</v>
      </c>
      <c r="F179" s="1154">
        <f t="shared" si="98"/>
        <v>0</v>
      </c>
      <c r="G179" s="1154">
        <f t="shared" si="98"/>
        <v>0</v>
      </c>
      <c r="H179" s="1154">
        <f t="shared" si="98"/>
        <v>0</v>
      </c>
      <c r="I179" s="1154">
        <f t="shared" si="98"/>
        <v>0</v>
      </c>
      <c r="J179" s="1154">
        <f>(J136+J154)*$G124</f>
        <v>0</v>
      </c>
      <c r="K179" s="1154">
        <f>(K136+K154)*$G124</f>
        <v>0</v>
      </c>
      <c r="L179" s="1154">
        <f>(L136+L154)*$G124</f>
        <v>0</v>
      </c>
      <c r="M179" s="1154">
        <f>(M136+M154)*$G124</f>
        <v>0</v>
      </c>
      <c r="N179" s="1160">
        <f>(N136+N154)*$G124</f>
        <v>0</v>
      </c>
      <c r="O179" s="1161">
        <f t="shared" si="94"/>
        <v>0</v>
      </c>
    </row>
    <row r="180" spans="1:15" ht="13" x14ac:dyDescent="0.3">
      <c r="A180" s="1884" t="s">
        <v>366</v>
      </c>
      <c r="B180" s="1884"/>
      <c r="C180" s="1097">
        <f>SUM(C181:C185)</f>
        <v>0</v>
      </c>
      <c r="D180" s="1097">
        <f t="shared" ref="D180:N180" si="99">SUM(D181:D185)</f>
        <v>0</v>
      </c>
      <c r="E180" s="1097">
        <f t="shared" si="99"/>
        <v>0</v>
      </c>
      <c r="F180" s="1097">
        <f t="shared" si="99"/>
        <v>0</v>
      </c>
      <c r="G180" s="1097">
        <f t="shared" si="99"/>
        <v>0</v>
      </c>
      <c r="H180" s="1097">
        <f t="shared" si="99"/>
        <v>0</v>
      </c>
      <c r="I180" s="1097">
        <f t="shared" si="99"/>
        <v>0</v>
      </c>
      <c r="J180" s="1097">
        <f t="shared" si="99"/>
        <v>0</v>
      </c>
      <c r="K180" s="1097">
        <f t="shared" si="99"/>
        <v>0</v>
      </c>
      <c r="L180" s="1097">
        <f t="shared" si="99"/>
        <v>0</v>
      </c>
      <c r="M180" s="1097">
        <f t="shared" si="99"/>
        <v>0</v>
      </c>
      <c r="N180" s="1097">
        <f t="shared" si="99"/>
        <v>0</v>
      </c>
      <c r="O180" s="1097">
        <f t="shared" si="94"/>
        <v>0</v>
      </c>
    </row>
    <row r="181" spans="1:15" ht="12.75" hidden="1" customHeight="1" x14ac:dyDescent="0.25">
      <c r="A181" s="1162" t="s">
        <v>208</v>
      </c>
      <c r="B181" s="1163"/>
      <c r="C181" s="1159">
        <f>C132+C150+C156-C168-C175</f>
        <v>0</v>
      </c>
      <c r="D181" s="1154">
        <f t="shared" ref="D181:N185" si="100">D132+D150+D156-D168-D175</f>
        <v>0</v>
      </c>
      <c r="E181" s="1154">
        <f t="shared" si="100"/>
        <v>0</v>
      </c>
      <c r="F181" s="1154">
        <f t="shared" si="100"/>
        <v>0</v>
      </c>
      <c r="G181" s="1154">
        <f t="shared" si="100"/>
        <v>0</v>
      </c>
      <c r="H181" s="1154">
        <f t="shared" si="100"/>
        <v>0</v>
      </c>
      <c r="I181" s="1154">
        <f t="shared" si="100"/>
        <v>0</v>
      </c>
      <c r="J181" s="1154">
        <f t="shared" si="100"/>
        <v>0</v>
      </c>
      <c r="K181" s="1154">
        <f t="shared" si="100"/>
        <v>0</v>
      </c>
      <c r="L181" s="1154">
        <f t="shared" si="100"/>
        <v>0</v>
      </c>
      <c r="M181" s="1154">
        <f t="shared" si="100"/>
        <v>0</v>
      </c>
      <c r="N181" s="1160">
        <f t="shared" si="100"/>
        <v>0</v>
      </c>
      <c r="O181" s="1161">
        <f t="shared" si="94"/>
        <v>0</v>
      </c>
    </row>
    <row r="182" spans="1:15" ht="12.75" hidden="1" customHeight="1" x14ac:dyDescent="0.25">
      <c r="A182" s="1162" t="s">
        <v>209</v>
      </c>
      <c r="B182" s="1163"/>
      <c r="C182" s="1159">
        <f>C133+C151+C157-C169-C176</f>
        <v>0</v>
      </c>
      <c r="D182" s="1154">
        <f t="shared" si="100"/>
        <v>0</v>
      </c>
      <c r="E182" s="1154">
        <f t="shared" si="100"/>
        <v>0</v>
      </c>
      <c r="F182" s="1154">
        <f t="shared" si="100"/>
        <v>0</v>
      </c>
      <c r="G182" s="1154">
        <f t="shared" si="100"/>
        <v>0</v>
      </c>
      <c r="H182" s="1154">
        <f t="shared" si="100"/>
        <v>0</v>
      </c>
      <c r="I182" s="1154">
        <f t="shared" si="100"/>
        <v>0</v>
      </c>
      <c r="J182" s="1154">
        <f t="shared" si="100"/>
        <v>0</v>
      </c>
      <c r="K182" s="1154">
        <f t="shared" si="100"/>
        <v>0</v>
      </c>
      <c r="L182" s="1154">
        <f t="shared" si="100"/>
        <v>0</v>
      </c>
      <c r="M182" s="1154">
        <f t="shared" si="100"/>
        <v>0</v>
      </c>
      <c r="N182" s="1160">
        <f t="shared" si="100"/>
        <v>0</v>
      </c>
      <c r="O182" s="1161">
        <f t="shared" si="94"/>
        <v>0</v>
      </c>
    </row>
    <row r="183" spans="1:15" ht="12.75" hidden="1" customHeight="1" x14ac:dyDescent="0.25">
      <c r="A183" s="1162" t="s">
        <v>219</v>
      </c>
      <c r="B183" s="1163"/>
      <c r="C183" s="1159">
        <f>C134+C152+C158-C170-C177</f>
        <v>0</v>
      </c>
      <c r="D183" s="1154">
        <f t="shared" si="100"/>
        <v>0</v>
      </c>
      <c r="E183" s="1154">
        <f t="shared" si="100"/>
        <v>0</v>
      </c>
      <c r="F183" s="1154">
        <f t="shared" si="100"/>
        <v>0</v>
      </c>
      <c r="G183" s="1154">
        <f t="shared" si="100"/>
        <v>0</v>
      </c>
      <c r="H183" s="1154">
        <f t="shared" si="100"/>
        <v>0</v>
      </c>
      <c r="I183" s="1154">
        <f t="shared" si="100"/>
        <v>0</v>
      </c>
      <c r="J183" s="1154">
        <f t="shared" si="100"/>
        <v>0</v>
      </c>
      <c r="K183" s="1154">
        <f t="shared" si="100"/>
        <v>0</v>
      </c>
      <c r="L183" s="1154">
        <f t="shared" si="100"/>
        <v>0</v>
      </c>
      <c r="M183" s="1154">
        <f t="shared" si="100"/>
        <v>0</v>
      </c>
      <c r="N183" s="1160">
        <f t="shared" si="100"/>
        <v>0</v>
      </c>
      <c r="O183" s="1161">
        <f t="shared" si="94"/>
        <v>0</v>
      </c>
    </row>
    <row r="184" spans="1:15" ht="12.75" hidden="1" customHeight="1" x14ac:dyDescent="0.25">
      <c r="A184" s="1162" t="s">
        <v>220</v>
      </c>
      <c r="B184" s="1163"/>
      <c r="C184" s="1159">
        <f>C135+C153+C159-C171-C178</f>
        <v>0</v>
      </c>
      <c r="D184" s="1154">
        <f t="shared" si="100"/>
        <v>0</v>
      </c>
      <c r="E184" s="1154">
        <f t="shared" si="100"/>
        <v>0</v>
      </c>
      <c r="F184" s="1154">
        <f t="shared" si="100"/>
        <v>0</v>
      </c>
      <c r="G184" s="1154">
        <f t="shared" si="100"/>
        <v>0</v>
      </c>
      <c r="H184" s="1154">
        <f t="shared" si="100"/>
        <v>0</v>
      </c>
      <c r="I184" s="1154">
        <f t="shared" si="100"/>
        <v>0</v>
      </c>
      <c r="J184" s="1154">
        <f t="shared" si="100"/>
        <v>0</v>
      </c>
      <c r="K184" s="1154">
        <f t="shared" si="100"/>
        <v>0</v>
      </c>
      <c r="L184" s="1154">
        <f t="shared" si="100"/>
        <v>0</v>
      </c>
      <c r="M184" s="1154">
        <f t="shared" si="100"/>
        <v>0</v>
      </c>
      <c r="N184" s="1160">
        <f t="shared" si="100"/>
        <v>0</v>
      </c>
      <c r="O184" s="1161">
        <f t="shared" si="94"/>
        <v>0</v>
      </c>
    </row>
    <row r="185" spans="1:15" ht="12.75" hidden="1" customHeight="1" x14ac:dyDescent="0.25">
      <c r="A185" s="1162" t="s">
        <v>221</v>
      </c>
      <c r="B185" s="1163"/>
      <c r="C185" s="1159">
        <f>C136+C154+C160-C172-C179</f>
        <v>0</v>
      </c>
      <c r="D185" s="1154">
        <f t="shared" si="100"/>
        <v>0</v>
      </c>
      <c r="E185" s="1154">
        <f t="shared" si="100"/>
        <v>0</v>
      </c>
      <c r="F185" s="1154">
        <f t="shared" si="100"/>
        <v>0</v>
      </c>
      <c r="G185" s="1154">
        <f t="shared" si="100"/>
        <v>0</v>
      </c>
      <c r="H185" s="1154">
        <f t="shared" si="100"/>
        <v>0</v>
      </c>
      <c r="I185" s="1154">
        <f t="shared" si="100"/>
        <v>0</v>
      </c>
      <c r="J185" s="1154">
        <f t="shared" si="100"/>
        <v>0</v>
      </c>
      <c r="K185" s="1154">
        <f t="shared" si="100"/>
        <v>0</v>
      </c>
      <c r="L185" s="1154">
        <f t="shared" si="100"/>
        <v>0</v>
      </c>
      <c r="M185" s="1154">
        <f t="shared" si="100"/>
        <v>0</v>
      </c>
      <c r="N185" s="1160">
        <f t="shared" si="100"/>
        <v>0</v>
      </c>
      <c r="O185" s="1161">
        <f t="shared" si="94"/>
        <v>0</v>
      </c>
    </row>
    <row r="186" spans="1:15" ht="13" x14ac:dyDescent="0.3">
      <c r="A186" s="1883" t="s">
        <v>367</v>
      </c>
      <c r="B186" s="1883"/>
      <c r="C186" s="15">
        <f>SUM(C187:C191)+O95</f>
        <v>0</v>
      </c>
      <c r="D186" s="15">
        <f t="shared" ref="D186:N186" si="101">SUM(D187:D191)</f>
        <v>0</v>
      </c>
      <c r="E186" s="15">
        <f t="shared" si="101"/>
        <v>0</v>
      </c>
      <c r="F186" s="15">
        <f t="shared" si="101"/>
        <v>0</v>
      </c>
      <c r="G186" s="15">
        <f t="shared" si="101"/>
        <v>0</v>
      </c>
      <c r="H186" s="15">
        <f t="shared" si="101"/>
        <v>0</v>
      </c>
      <c r="I186" s="15">
        <f t="shared" si="101"/>
        <v>0</v>
      </c>
      <c r="J186" s="15">
        <f t="shared" si="101"/>
        <v>0</v>
      </c>
      <c r="K186" s="15">
        <f t="shared" si="101"/>
        <v>0</v>
      </c>
      <c r="L186" s="15">
        <f t="shared" si="101"/>
        <v>0</v>
      </c>
      <c r="M186" s="15">
        <f t="shared" si="101"/>
        <v>0</v>
      </c>
      <c r="N186" s="15">
        <f t="shared" si="101"/>
        <v>0</v>
      </c>
      <c r="O186" s="15">
        <f t="shared" ref="O186:O191" si="102">SUM(C186:N186)</f>
        <v>0</v>
      </c>
    </row>
    <row r="187" spans="1:15" ht="12.75" hidden="1" customHeight="1" x14ac:dyDescent="0.25">
      <c r="A187" s="1162" t="s">
        <v>208</v>
      </c>
      <c r="B187" s="1163"/>
      <c r="C187" s="1159">
        <f>IF(C$129=$C$103,C181,0)</f>
        <v>0</v>
      </c>
      <c r="D187" s="1154">
        <f>IF(D$129=$C$103,D181,0)+IF(C187=0,0,D181)</f>
        <v>0</v>
      </c>
      <c r="E187" s="1154">
        <f t="shared" ref="E187:N187" si="103">IF(E$129=$C$103,E181,0)+IF(D187=0,0,E181)</f>
        <v>0</v>
      </c>
      <c r="F187" s="1154">
        <f t="shared" si="103"/>
        <v>0</v>
      </c>
      <c r="G187" s="1154">
        <f t="shared" si="103"/>
        <v>0</v>
      </c>
      <c r="H187" s="1154">
        <f t="shared" si="103"/>
        <v>0</v>
      </c>
      <c r="I187" s="1154">
        <f t="shared" si="103"/>
        <v>0</v>
      </c>
      <c r="J187" s="1154">
        <f t="shared" si="103"/>
        <v>0</v>
      </c>
      <c r="K187" s="1154">
        <f t="shared" si="103"/>
        <v>0</v>
      </c>
      <c r="L187" s="1154">
        <f t="shared" si="103"/>
        <v>0</v>
      </c>
      <c r="M187" s="1154">
        <f t="shared" si="103"/>
        <v>0</v>
      </c>
      <c r="N187" s="1160">
        <f t="shared" si="103"/>
        <v>0</v>
      </c>
      <c r="O187" s="1161">
        <f t="shared" si="102"/>
        <v>0</v>
      </c>
    </row>
    <row r="188" spans="1:15" ht="12.75" hidden="1" customHeight="1" x14ac:dyDescent="0.25">
      <c r="A188" s="1162" t="s">
        <v>209</v>
      </c>
      <c r="B188" s="1163"/>
      <c r="C188" s="1159">
        <f>IF(C$129=$D$103,C182,0)</f>
        <v>0</v>
      </c>
      <c r="D188" s="1154">
        <f>IF(D$129=$D$103,D182,0)+IF(C188=0,0,D182)</f>
        <v>0</v>
      </c>
      <c r="E188" s="1154">
        <f t="shared" ref="E188:N188" si="104">IF(E$129=$D$103,E182,0)+IF(D188=0,0,E182)</f>
        <v>0</v>
      </c>
      <c r="F188" s="1154">
        <f t="shared" si="104"/>
        <v>0</v>
      </c>
      <c r="G188" s="1154">
        <f t="shared" si="104"/>
        <v>0</v>
      </c>
      <c r="H188" s="1154">
        <f t="shared" si="104"/>
        <v>0</v>
      </c>
      <c r="I188" s="1154">
        <f t="shared" si="104"/>
        <v>0</v>
      </c>
      <c r="J188" s="1154">
        <f t="shared" si="104"/>
        <v>0</v>
      </c>
      <c r="K188" s="1154">
        <f t="shared" si="104"/>
        <v>0</v>
      </c>
      <c r="L188" s="1154">
        <f t="shared" si="104"/>
        <v>0</v>
      </c>
      <c r="M188" s="1154">
        <f t="shared" si="104"/>
        <v>0</v>
      </c>
      <c r="N188" s="1160">
        <f t="shared" si="104"/>
        <v>0</v>
      </c>
      <c r="O188" s="1161">
        <f t="shared" si="102"/>
        <v>0</v>
      </c>
    </row>
    <row r="189" spans="1:15" ht="12.75" hidden="1" customHeight="1" x14ac:dyDescent="0.25">
      <c r="A189" s="1162" t="s">
        <v>219</v>
      </c>
      <c r="B189" s="1163"/>
      <c r="C189" s="1159">
        <f>IF(C$129=$E$103,C183,0)</f>
        <v>0</v>
      </c>
      <c r="D189" s="1154">
        <f>IF(D$129=$E$103,D183,0)+IF(C189=0,0,D183)</f>
        <v>0</v>
      </c>
      <c r="E189" s="1154">
        <f t="shared" ref="E189:N189" si="105">IF(E$129=$E$103,E183,0)+IF(D189=0,0,E183)</f>
        <v>0</v>
      </c>
      <c r="F189" s="1154">
        <f t="shared" si="105"/>
        <v>0</v>
      </c>
      <c r="G189" s="1154">
        <f t="shared" si="105"/>
        <v>0</v>
      </c>
      <c r="H189" s="1154">
        <f t="shared" si="105"/>
        <v>0</v>
      </c>
      <c r="I189" s="1154">
        <f t="shared" si="105"/>
        <v>0</v>
      </c>
      <c r="J189" s="1154">
        <f t="shared" si="105"/>
        <v>0</v>
      </c>
      <c r="K189" s="1154">
        <f t="shared" si="105"/>
        <v>0</v>
      </c>
      <c r="L189" s="1154">
        <f t="shared" si="105"/>
        <v>0</v>
      </c>
      <c r="M189" s="1154">
        <f t="shared" si="105"/>
        <v>0</v>
      </c>
      <c r="N189" s="1160">
        <f t="shared" si="105"/>
        <v>0</v>
      </c>
      <c r="O189" s="1161">
        <f t="shared" si="102"/>
        <v>0</v>
      </c>
    </row>
    <row r="190" spans="1:15" ht="12.75" hidden="1" customHeight="1" x14ac:dyDescent="0.25">
      <c r="A190" s="1162" t="s">
        <v>220</v>
      </c>
      <c r="B190" s="1163"/>
      <c r="C190" s="1159">
        <f>IF(C$129=$F$103,C184,0)</f>
        <v>0</v>
      </c>
      <c r="D190" s="1154">
        <f>IF(D$129=$F$103,D184,0)+IF(C190=0,0,D184)</f>
        <v>0</v>
      </c>
      <c r="E190" s="1154">
        <f t="shared" ref="E190:N190" si="106">IF(E$129=$F$103,E184,0)+IF(D190=0,0,E184)</f>
        <v>0</v>
      </c>
      <c r="F190" s="1154">
        <f t="shared" si="106"/>
        <v>0</v>
      </c>
      <c r="G190" s="1154">
        <f t="shared" si="106"/>
        <v>0</v>
      </c>
      <c r="H190" s="1154">
        <f t="shared" si="106"/>
        <v>0</v>
      </c>
      <c r="I190" s="1154">
        <f t="shared" si="106"/>
        <v>0</v>
      </c>
      <c r="J190" s="1154">
        <f t="shared" si="106"/>
        <v>0</v>
      </c>
      <c r="K190" s="1154">
        <f t="shared" si="106"/>
        <v>0</v>
      </c>
      <c r="L190" s="1154">
        <f t="shared" si="106"/>
        <v>0</v>
      </c>
      <c r="M190" s="1154">
        <f t="shared" si="106"/>
        <v>0</v>
      </c>
      <c r="N190" s="1160">
        <f t="shared" si="106"/>
        <v>0</v>
      </c>
      <c r="O190" s="1161">
        <f t="shared" si="102"/>
        <v>0</v>
      </c>
    </row>
    <row r="191" spans="1:15" ht="12.75" hidden="1" customHeight="1" x14ac:dyDescent="0.25">
      <c r="A191" s="1162" t="s">
        <v>221</v>
      </c>
      <c r="B191" s="1163"/>
      <c r="C191" s="1159">
        <f>IF(C$129=$G$103,C185,0)</f>
        <v>0</v>
      </c>
      <c r="D191" s="1154">
        <f>IF(D$129=$G$103,D185,0)+IF(C191=0,0,D185)</f>
        <v>0</v>
      </c>
      <c r="E191" s="1154">
        <f t="shared" ref="E191:N191" si="107">IF(E$129=$G$103,E185,0)+IF(D191=0,0,E185)</f>
        <v>0</v>
      </c>
      <c r="F191" s="1154">
        <f t="shared" si="107"/>
        <v>0</v>
      </c>
      <c r="G191" s="1154">
        <f t="shared" si="107"/>
        <v>0</v>
      </c>
      <c r="H191" s="1154">
        <f t="shared" si="107"/>
        <v>0</v>
      </c>
      <c r="I191" s="1154">
        <f t="shared" si="107"/>
        <v>0</v>
      </c>
      <c r="J191" s="1154">
        <f t="shared" si="107"/>
        <v>0</v>
      </c>
      <c r="K191" s="1154">
        <f t="shared" si="107"/>
        <v>0</v>
      </c>
      <c r="L191" s="1154">
        <f t="shared" si="107"/>
        <v>0</v>
      </c>
      <c r="M191" s="1154">
        <f t="shared" si="107"/>
        <v>0</v>
      </c>
      <c r="N191" s="1160">
        <f t="shared" si="107"/>
        <v>0</v>
      </c>
      <c r="O191" s="1161">
        <f t="shared" si="102"/>
        <v>0</v>
      </c>
    </row>
    <row r="192" spans="1:15" ht="13" x14ac:dyDescent="0.3">
      <c r="A192" s="1886" t="s">
        <v>368</v>
      </c>
      <c r="B192" s="1886"/>
      <c r="C192" s="1026">
        <f>O95+C180-C186</f>
        <v>0</v>
      </c>
      <c r="D192" s="1026">
        <f>C192+D180-D186</f>
        <v>0</v>
      </c>
      <c r="E192" s="1026">
        <f t="shared" ref="E192:M192" si="108">D192+E180-E186</f>
        <v>0</v>
      </c>
      <c r="F192" s="1026">
        <f t="shared" si="108"/>
        <v>0</v>
      </c>
      <c r="G192" s="1026">
        <f t="shared" si="108"/>
        <v>0</v>
      </c>
      <c r="H192" s="1026">
        <f t="shared" si="108"/>
        <v>0</v>
      </c>
      <c r="I192" s="1026">
        <f t="shared" si="108"/>
        <v>0</v>
      </c>
      <c r="J192" s="1026">
        <f t="shared" si="108"/>
        <v>0</v>
      </c>
      <c r="K192" s="1026">
        <f t="shared" si="108"/>
        <v>0</v>
      </c>
      <c r="L192" s="1026">
        <f t="shared" si="108"/>
        <v>0</v>
      </c>
      <c r="M192" s="1026">
        <f t="shared" si="108"/>
        <v>0</v>
      </c>
      <c r="N192" s="1026">
        <f>M192+N180-N186+N143-N149</f>
        <v>0</v>
      </c>
      <c r="O192" s="1026">
        <f>N192</f>
        <v>0</v>
      </c>
    </row>
    <row r="195" spans="1:15" ht="13" x14ac:dyDescent="0.3">
      <c r="A195" s="1834" t="s">
        <v>57</v>
      </c>
      <c r="B195" s="1834"/>
    </row>
    <row r="197" spans="1:15" ht="13" x14ac:dyDescent="0.3">
      <c r="A197" s="1887"/>
      <c r="B197" s="1887"/>
      <c r="C197" s="1164" t="str">
        <f>C100</f>
        <v>Categoria A</v>
      </c>
      <c r="D197" s="1164" t="str">
        <f>D100</f>
        <v>Categoria B</v>
      </c>
      <c r="E197" s="1164" t="str">
        <f>E100</f>
        <v>Categoria C</v>
      </c>
      <c r="F197" s="1164" t="str">
        <f>F100</f>
        <v>Categoria D</v>
      </c>
      <c r="G197" s="1164" t="str">
        <f>G100</f>
        <v>Categoria E</v>
      </c>
      <c r="H197" s="1127" t="s">
        <v>77</v>
      </c>
    </row>
    <row r="198" spans="1:15" ht="13" x14ac:dyDescent="0.3">
      <c r="A198" s="1883" t="s">
        <v>210</v>
      </c>
      <c r="B198" s="1883"/>
      <c r="C198" s="229">
        <f>'Introducció dades'!C370</f>
        <v>0</v>
      </c>
      <c r="D198" s="229">
        <f>'Introducció dades'!D370</f>
        <v>0</v>
      </c>
      <c r="E198" s="229">
        <f>'Introducció dades'!E370</f>
        <v>0</v>
      </c>
      <c r="F198" s="229">
        <f>'Introducció dades'!F370</f>
        <v>0</v>
      </c>
      <c r="G198" s="229">
        <f>'Introducció dades'!G370</f>
        <v>0</v>
      </c>
      <c r="H198" s="1014">
        <f>SUM(C198:G198)</f>
        <v>0</v>
      </c>
    </row>
    <row r="199" spans="1:15" ht="13" x14ac:dyDescent="0.3">
      <c r="A199" s="1883" t="s">
        <v>194</v>
      </c>
      <c r="B199" s="1883"/>
      <c r="C199" s="229" t="str">
        <f>'Introducció dades'!C371</f>
        <v>GENER</v>
      </c>
      <c r="D199" s="229" t="str">
        <f>'Introducció dades'!D371</f>
        <v>GENER</v>
      </c>
      <c r="E199" s="229" t="str">
        <f>'Introducció dades'!E371</f>
        <v>GENER</v>
      </c>
      <c r="F199" s="229" t="str">
        <f>'Introducció dades'!F371</f>
        <v>GENER</v>
      </c>
      <c r="G199" s="229" t="str">
        <f>'Introducció dades'!G371</f>
        <v>GENER</v>
      </c>
      <c r="H199" s="920"/>
    </row>
    <row r="200" spans="1:15" ht="13" x14ac:dyDescent="0.3">
      <c r="A200" s="1883" t="s">
        <v>195</v>
      </c>
      <c r="B200" s="1883"/>
      <c r="C200" s="229" t="str">
        <f>'Introducció dades'!C372</f>
        <v>GENER</v>
      </c>
      <c r="D200" s="229" t="str">
        <f>'Introducció dades'!D372</f>
        <v>GENER</v>
      </c>
      <c r="E200" s="229" t="str">
        <f>'Introducció dades'!E372</f>
        <v>GENER</v>
      </c>
      <c r="F200" s="229" t="str">
        <f>'Introducció dades'!F372</f>
        <v>GENER</v>
      </c>
      <c r="G200" s="229" t="str">
        <f>'Introducció dades'!G372</f>
        <v>GENER</v>
      </c>
      <c r="H200" s="920"/>
    </row>
    <row r="201" spans="1:15" ht="12.75" hidden="1" customHeight="1" x14ac:dyDescent="0.3">
      <c r="A201" s="1883" t="s">
        <v>369</v>
      </c>
      <c r="B201" s="1883"/>
      <c r="C201" s="1128">
        <f>IF(C199=$C226,12)+IF(C199=$D226,11)+IF(C199=$E226,10)+IF(C199=$F226,9)+IF(C199=$G226,8)+IF(C199=$H226,7)+IF(C199=$I226,6)+IF(C199=$J226,5)+IF(C199=$K226,4)+IF(C199=$L226,3)+IF(C199=$M226,2)+IF(C199=$M226,1)</f>
        <v>12</v>
      </c>
      <c r="D201" s="1128">
        <f>IF(D199=$C226,12)+IF(D199=$D226,11)+IF(D199=$E226,10)+IF(D199=$F226,9)+IF(D199=$G226,8)+IF(D199=$H226,7)+IF(D199=$I226,6)+IF(D199=$J226,5)+IF(D199=$K226,4)+IF(D199=$L226,3)+IF(D199=$M226,2)+IF(D199=$M226,1)</f>
        <v>12</v>
      </c>
      <c r="E201" s="1128">
        <f>IF(E199=$C226,12)+IF(E199=$D226,11)+IF(E199=$E226,10)+IF(E199=$F226,9)+IF(E199=$G226,8)+IF(E199=$H226,7)+IF(E199=$I226,6)+IF(E199=$J226,5)+IF(E199=$K226,4)+IF(E199=$L226,3)+IF(E199=$M226,2)+IF(E199=$M226,1)</f>
        <v>12</v>
      </c>
      <c r="F201" s="1128">
        <f>IF(F199=$C226,12)+IF(F199=$D226,11)+IF(F199=$E226,10)+IF(F199=$F226,9)+IF(F199=$G226,8)+IF(F199=$H226,7)+IF(F199=$I226,6)+IF(F199=$J226,5)+IF(F199=$K226,4)+IF(F199=$L226,3)+IF(F199=$M226,2)+IF(F199=$M226,1)</f>
        <v>12</v>
      </c>
      <c r="G201" s="1128">
        <f>IF(G199=$C226,12)+IF(G199=$D226,11)+IF(G199=$E226,10)+IF(G199=$F226,9)+IF(G199=$G226,8)+IF(G199=$H226,7)+IF(G199=$I226,6)+IF(G199=$J226,5)+IF(G199=$K226,4)+IF(G199=$L226,3)+IF(G199=$M226,2)+IF(G199=$M226,1)</f>
        <v>12</v>
      </c>
      <c r="H201" s="920"/>
    </row>
    <row r="202" spans="1:15" ht="12.75" hidden="1" customHeight="1" x14ac:dyDescent="0.3">
      <c r="A202" s="1880" t="s">
        <v>370</v>
      </c>
      <c r="B202" s="1880"/>
      <c r="C202" s="1129">
        <f>IF(C200=$C226,12)+IF(C200=$D226,11)+IF(C200=$E226,10)+IF(C200=$F226,9)+IF(C200=$G226,8)+IF(C200=$H226,7)+IF(C200=$I226,6)+IF(C200=$J226,5)+IF(C200=$K226,4)+IF(C200=$L226,3)+IF(C200=$M226,2)+IF(C200=$M226,1)</f>
        <v>12</v>
      </c>
      <c r="D202" s="1129">
        <f>IF(D200=$C226,12)+IF(D200=$D226,11)+IF(D200=$E226,10)+IF(D200=$F226,9)+IF(D200=$G226,8)+IF(D200=$H226,7)+IF(D200=$I226,6)+IF(D200=$J226,5)+IF(D200=$K226,4)+IF(D200=$L226,3)+IF(D200=$M226,2)+IF(D200=$M226,1)</f>
        <v>12</v>
      </c>
      <c r="E202" s="1129">
        <f>IF(E200=$C226,12)+IF(E200=$D226,11)+IF(E200=$E226,10)+IF(E200=$F226,9)+IF(E200=$G226,8)+IF(E200=$H226,7)+IF(E200=$I226,6)+IF(E200=$J226,5)+IF(E200=$K226,4)+IF(E200=$L226,3)+IF(E200=$M226,2)+IF(E200=$M226,1)</f>
        <v>12</v>
      </c>
      <c r="F202" s="1129">
        <f>IF(F200=$C226,12)+IF(F200=$D226,11)+IF(F200=$E226,10)+IF(F200=$F226,9)+IF(F200=$G226,8)+IF(F200=$H226,7)+IF(F200=$I226,6)+IF(F200=$J226,5)+IF(F200=$K226,4)+IF(F200=$L226,3)+IF(F200=$M226,2)+IF(F200=$M226,1)</f>
        <v>12</v>
      </c>
      <c r="G202" s="1129">
        <f>IF(G200=$C226,12)+IF(G200=$D226,11)+IF(G200=$E226,10)+IF(G200=$F226,9)+IF(G200=$G226,8)+IF(G200=$H226,7)+IF(G200=$I226,6)+IF(G200=$J226,5)+IF(G200=$K226,4)+IF(G200=$L226,3)+IF(G200=$M226,2)+IF(G200=$M226,1)</f>
        <v>12</v>
      </c>
      <c r="H202" s="1130"/>
    </row>
    <row r="203" spans="1:15" ht="13" x14ac:dyDescent="0.3">
      <c r="A203" s="1880" t="s">
        <v>211</v>
      </c>
      <c r="B203" s="1880"/>
      <c r="C203" s="1131"/>
      <c r="D203" s="1131"/>
      <c r="E203" s="1131"/>
      <c r="F203" s="1131"/>
      <c r="G203" s="1131"/>
      <c r="H203" s="1129"/>
    </row>
    <row r="204" spans="1:15" ht="13" x14ac:dyDescent="0.3">
      <c r="A204" s="1888" t="s">
        <v>212</v>
      </c>
      <c r="B204" s="1888"/>
      <c r="C204" s="1165">
        <f>'Introducció dades'!C374</f>
        <v>0</v>
      </c>
      <c r="D204" s="1165">
        <f>'Introducció dades'!D374</f>
        <v>0</v>
      </c>
      <c r="E204" s="1165">
        <f>'Introducció dades'!E374</f>
        <v>0</v>
      </c>
      <c r="F204" s="1165">
        <f>'Introducció dades'!F374</f>
        <v>0</v>
      </c>
      <c r="G204" s="1165">
        <f>'Introducció dades'!G374</f>
        <v>0</v>
      </c>
      <c r="H204" s="1133"/>
    </row>
    <row r="205" spans="1:15" x14ac:dyDescent="0.25">
      <c r="A205" s="1881" t="s">
        <v>371</v>
      </c>
      <c r="B205" s="1881"/>
      <c r="C205" s="1134">
        <f>C204*C201</f>
        <v>0</v>
      </c>
      <c r="D205" s="1134">
        <f>D204*D201</f>
        <v>0</v>
      </c>
      <c r="E205" s="1134">
        <f>E204*E201</f>
        <v>0</v>
      </c>
      <c r="F205" s="1134">
        <f>F204*F201</f>
        <v>0</v>
      </c>
      <c r="G205" s="1134">
        <f>G204*G201</f>
        <v>0</v>
      </c>
      <c r="H205" s="1134"/>
    </row>
    <row r="206" spans="1:15" x14ac:dyDescent="0.25">
      <c r="A206" s="1882" t="s">
        <v>372</v>
      </c>
      <c r="B206" s="1882"/>
      <c r="C206" s="1135">
        <f>C198*C205</f>
        <v>0</v>
      </c>
      <c r="D206" s="1135">
        <f>D198*D205</f>
        <v>0</v>
      </c>
      <c r="E206" s="1135">
        <f>E198*E205</f>
        <v>0</v>
      </c>
      <c r="F206" s="1135">
        <f>F198*F205</f>
        <v>0</v>
      </c>
      <c r="G206" s="1135">
        <f>G198*G205</f>
        <v>0</v>
      </c>
      <c r="H206" s="1135">
        <f>SUM(C206:G206)</f>
        <v>0</v>
      </c>
    </row>
    <row r="207" spans="1:15" x14ac:dyDescent="0.25">
      <c r="A207" s="1889" t="s">
        <v>198</v>
      </c>
      <c r="B207" s="1889"/>
      <c r="C207" s="1116"/>
      <c r="D207" s="1116"/>
      <c r="E207" s="1116"/>
      <c r="F207" s="1116"/>
      <c r="G207" s="1116"/>
      <c r="H207" s="1116"/>
    </row>
    <row r="208" spans="1:15" ht="13" x14ac:dyDescent="0.3">
      <c r="A208" s="1890" t="s">
        <v>199</v>
      </c>
      <c r="B208" s="1890"/>
      <c r="C208" s="1117">
        <f>'Introducció dades'!C376</f>
        <v>0</v>
      </c>
      <c r="D208" s="1117">
        <f>'Introducció dades'!D376</f>
        <v>0</v>
      </c>
      <c r="E208" s="1117">
        <f>'Introducció dades'!E376</f>
        <v>0</v>
      </c>
      <c r="F208" s="1117">
        <f>'Introducció dades'!F376</f>
        <v>0</v>
      </c>
      <c r="G208" s="1117">
        <f>'Introducció dades'!G376</f>
        <v>0</v>
      </c>
      <c r="H208" s="1075">
        <f>SUM(C208:G208)</f>
        <v>0</v>
      </c>
      <c r="J208" s="7"/>
      <c r="K208" s="7"/>
      <c r="L208" s="7"/>
      <c r="M208" s="7"/>
      <c r="N208" s="7"/>
      <c r="O208" s="7"/>
    </row>
    <row r="209" spans="1:15" ht="13" x14ac:dyDescent="0.3">
      <c r="A209" s="1890" t="s">
        <v>200</v>
      </c>
      <c r="B209" s="1890"/>
      <c r="C209" s="1117">
        <f>'Introducció dades'!C377</f>
        <v>0</v>
      </c>
      <c r="D209" s="1117">
        <f>'Introducció dades'!D377</f>
        <v>0</v>
      </c>
      <c r="E209" s="1117">
        <f>'Introducció dades'!E377</f>
        <v>0</v>
      </c>
      <c r="F209" s="1117">
        <f>'Introducció dades'!F377</f>
        <v>0</v>
      </c>
      <c r="G209" s="1117">
        <f>'Introducció dades'!G377</f>
        <v>0</v>
      </c>
      <c r="H209" s="1075">
        <f>H210</f>
        <v>0</v>
      </c>
      <c r="J209" s="7"/>
      <c r="K209" s="7"/>
      <c r="L209" s="7"/>
      <c r="M209" s="7"/>
      <c r="N209" s="7"/>
      <c r="O209" s="7"/>
    </row>
    <row r="210" spans="1:15" ht="12.75" hidden="1" customHeight="1" x14ac:dyDescent="0.3">
      <c r="A210" s="1896"/>
      <c r="B210" s="1896"/>
      <c r="C210" s="1118">
        <f>C208*C209</f>
        <v>0</v>
      </c>
      <c r="D210" s="1118">
        <f>D208*D209</f>
        <v>0</v>
      </c>
      <c r="E210" s="1118">
        <f>E208*E209</f>
        <v>0</v>
      </c>
      <c r="F210" s="1118">
        <f>F208*F209</f>
        <v>0</v>
      </c>
      <c r="G210" s="1118">
        <f>G208*G209</f>
        <v>0</v>
      </c>
      <c r="H210" s="1076">
        <f>SUM(C210:G210)</f>
        <v>0</v>
      </c>
      <c r="J210" s="7"/>
      <c r="K210" s="7"/>
      <c r="L210" s="7"/>
      <c r="M210" s="7"/>
      <c r="N210" s="7"/>
      <c r="O210" s="7"/>
    </row>
    <row r="211" spans="1:15" ht="13" x14ac:dyDescent="0.3">
      <c r="A211" s="1880" t="s">
        <v>215</v>
      </c>
      <c r="B211" s="1880"/>
      <c r="C211" s="1166">
        <f>'Introducció dades'!C378</f>
        <v>12</v>
      </c>
      <c r="D211" s="1166">
        <f>'Introducció dades'!D378</f>
        <v>12</v>
      </c>
      <c r="E211" s="1166">
        <f>'Introducció dades'!E378</f>
        <v>12</v>
      </c>
      <c r="F211" s="1166">
        <f>'Introducció dades'!F378</f>
        <v>12</v>
      </c>
      <c r="G211" s="1166">
        <f>'Introducció dades'!G378</f>
        <v>12</v>
      </c>
      <c r="H211" s="1137"/>
      <c r="J211" s="7"/>
      <c r="K211" s="7"/>
      <c r="L211" s="7"/>
      <c r="M211" s="7"/>
      <c r="N211" s="7"/>
      <c r="O211" s="7"/>
    </row>
    <row r="212" spans="1:15" ht="13" x14ac:dyDescent="0.3">
      <c r="A212" s="1880" t="s">
        <v>373</v>
      </c>
      <c r="B212" s="1880"/>
      <c r="C212" s="1138">
        <f>C204*C198*12/C211</f>
        <v>0</v>
      </c>
      <c r="D212" s="1138">
        <f>D204*D198*12/D211</f>
        <v>0</v>
      </c>
      <c r="E212" s="1138">
        <f>E204*E198*12/E211</f>
        <v>0</v>
      </c>
      <c r="F212" s="1138">
        <f>F204*F198*12/F211</f>
        <v>0</v>
      </c>
      <c r="G212" s="1138">
        <f>G204*G198*12/G211</f>
        <v>0</v>
      </c>
      <c r="H212" s="1138">
        <f>SUM(C212:G212)</f>
        <v>0</v>
      </c>
      <c r="J212" s="7"/>
      <c r="K212" s="7"/>
      <c r="L212" s="7"/>
      <c r="M212" s="7"/>
      <c r="N212" s="7"/>
      <c r="O212" s="7"/>
    </row>
    <row r="213" spans="1:15" ht="13" x14ac:dyDescent="0.3">
      <c r="A213" s="1892" t="s">
        <v>374</v>
      </c>
      <c r="B213" s="1892"/>
      <c r="C213" s="1139">
        <f>IF(C211=12,0)+IF(C211=14,C212/6,0)+IF(C211=15,C212/4,0)</f>
        <v>0</v>
      </c>
      <c r="D213" s="1139">
        <f>IF(D211=12,0)+IF(D211=14,D212/6,0)+IF(D211=15,D212/4,0)</f>
        <v>0</v>
      </c>
      <c r="E213" s="1139">
        <f>IF(E211=12,0)+IF(E211=14,E212/6,0)+IF(E211=15,E212/4,0)</f>
        <v>0</v>
      </c>
      <c r="F213" s="1139">
        <f>IF(F211=12,0)+IF(F211=14,F212/6,0)+IF(F211=15,F212/4,0)</f>
        <v>0</v>
      </c>
      <c r="G213" s="1139">
        <f>IF(G211=12,0)+IF(G211=14,G212/6,0)+IF(G211=15,G212/4,0)</f>
        <v>0</v>
      </c>
      <c r="H213" s="1139">
        <f>SUM(C213:G213)</f>
        <v>0</v>
      </c>
      <c r="J213" s="7"/>
      <c r="K213" s="7"/>
      <c r="L213" s="7"/>
      <c r="M213" s="7"/>
      <c r="N213" s="7"/>
      <c r="O213" s="7"/>
    </row>
    <row r="214" spans="1:15" ht="13" x14ac:dyDescent="0.3">
      <c r="A214" s="1889" t="s">
        <v>201</v>
      </c>
      <c r="B214" s="1889"/>
      <c r="C214" s="1140">
        <f>+C204*C198</f>
        <v>0</v>
      </c>
      <c r="D214" s="1140">
        <f>+D204*D198</f>
        <v>0</v>
      </c>
      <c r="E214" s="1140">
        <f>+E204*E198</f>
        <v>0</v>
      </c>
      <c r="F214" s="1140">
        <f>+F204*F198</f>
        <v>0</v>
      </c>
      <c r="G214" s="1140">
        <f>+G204*G198</f>
        <v>0</v>
      </c>
      <c r="H214" s="12"/>
      <c r="I214" s="7"/>
      <c r="J214" s="7"/>
      <c r="K214" s="7"/>
      <c r="L214" s="7"/>
      <c r="M214" s="7"/>
      <c r="N214" s="7"/>
      <c r="O214" s="7"/>
    </row>
    <row r="215" spans="1:15" ht="13" x14ac:dyDescent="0.3">
      <c r="A215" s="1889" t="s">
        <v>202</v>
      </c>
      <c r="B215" s="1889"/>
      <c r="C215" s="1141"/>
      <c r="D215" s="1141"/>
      <c r="E215" s="1141"/>
      <c r="F215" s="1141"/>
      <c r="G215" s="1141"/>
      <c r="I215" s="7"/>
    </row>
    <row r="216" spans="1:15" ht="13" x14ac:dyDescent="0.3">
      <c r="A216" s="1881" t="s">
        <v>216</v>
      </c>
      <c r="B216" s="1881"/>
      <c r="C216" s="1142">
        <f>'Introducció dades'!C380</f>
        <v>0.33</v>
      </c>
      <c r="D216" s="1142">
        <f>'Introducció dades'!D380</f>
        <v>0.33</v>
      </c>
      <c r="E216" s="1142">
        <f>'Introducció dades'!E380</f>
        <v>0.33</v>
      </c>
      <c r="F216" s="1142">
        <f>'Introducció dades'!F380</f>
        <v>0.33</v>
      </c>
      <c r="G216" s="1142">
        <f>'Introducció dades'!G380</f>
        <v>0.33</v>
      </c>
      <c r="I216" s="7"/>
    </row>
    <row r="217" spans="1:15" ht="13" x14ac:dyDescent="0.3">
      <c r="A217" s="1881" t="s">
        <v>217</v>
      </c>
      <c r="B217" s="1881"/>
      <c r="C217" s="1142">
        <f>'Introducció dades'!C381</f>
        <v>6.3500000000000001E-2</v>
      </c>
      <c r="D217" s="1142">
        <f>'Introducció dades'!D381</f>
        <v>6.3500000000000001E-2</v>
      </c>
      <c r="E217" s="1142">
        <f>'Introducció dades'!E381</f>
        <v>6.3500000000000001E-2</v>
      </c>
      <c r="F217" s="1142">
        <f>'Introducció dades'!F381</f>
        <v>6.3500000000000001E-2</v>
      </c>
      <c r="G217" s="1142">
        <f>'Introducció dades'!G381</f>
        <v>6.3500000000000001E-2</v>
      </c>
      <c r="H217" s="1127" t="s">
        <v>77</v>
      </c>
      <c r="I217" s="1143"/>
    </row>
    <row r="218" spans="1:15" ht="13" x14ac:dyDescent="0.3">
      <c r="A218" s="1889" t="s">
        <v>360</v>
      </c>
      <c r="B218" s="1889"/>
      <c r="C218" s="1144"/>
      <c r="D218" s="1144"/>
      <c r="E218" s="1144"/>
      <c r="F218" s="1144"/>
      <c r="G218" s="1144"/>
      <c r="H218" s="1145"/>
      <c r="I218" s="7"/>
    </row>
    <row r="219" spans="1:15" ht="13" x14ac:dyDescent="0.3">
      <c r="A219" s="1881" t="s">
        <v>216</v>
      </c>
      <c r="B219" s="1881"/>
      <c r="C219" s="154">
        <f>C214*C216</f>
        <v>0</v>
      </c>
      <c r="D219" s="154">
        <f>D214*D216</f>
        <v>0</v>
      </c>
      <c r="E219" s="154">
        <f>E214*E216</f>
        <v>0</v>
      </c>
      <c r="F219" s="154">
        <f>F214*F216</f>
        <v>0</v>
      </c>
      <c r="G219" s="154">
        <f>G214*G216</f>
        <v>0</v>
      </c>
      <c r="H219" s="1082">
        <f>SUM(C219:G219)</f>
        <v>0</v>
      </c>
      <c r="I219" s="7"/>
    </row>
    <row r="220" spans="1:15" ht="13" x14ac:dyDescent="0.3">
      <c r="A220" s="1882" t="s">
        <v>375</v>
      </c>
      <c r="B220" s="1882"/>
      <c r="C220" s="1146">
        <f>C214*C217</f>
        <v>0</v>
      </c>
      <c r="D220" s="1146">
        <f>D214*D217</f>
        <v>0</v>
      </c>
      <c r="E220" s="1146">
        <f>E214*E217</f>
        <v>0</v>
      </c>
      <c r="F220" s="1146">
        <f>F214*F217</f>
        <v>0</v>
      </c>
      <c r="G220" s="1146">
        <f>G214*G217</f>
        <v>0</v>
      </c>
      <c r="H220" s="1086">
        <f>SUM(C220:G220)</f>
        <v>0</v>
      </c>
      <c r="I220" s="7"/>
    </row>
    <row r="221" spans="1:15" ht="13" x14ac:dyDescent="0.3">
      <c r="A221" s="1893" t="s">
        <v>203</v>
      </c>
      <c r="B221" s="1893"/>
      <c r="C221" s="527">
        <f>'Introducció dades'!C382</f>
        <v>0</v>
      </c>
      <c r="D221" s="527">
        <f>'Introducció dades'!D382</f>
        <v>0</v>
      </c>
      <c r="E221" s="527">
        <f>'Introducció dades'!E382</f>
        <v>0</v>
      </c>
      <c r="F221" s="527">
        <f>'Introducció dades'!F382</f>
        <v>0</v>
      </c>
      <c r="G221" s="527">
        <f>'Introducció dades'!G382</f>
        <v>0</v>
      </c>
      <c r="H221" s="1079">
        <f>IF(H206&gt;0,(C206*C221+D206*D221+E206*E221+F206*F221+G206*G221)/H206,0)</f>
        <v>0</v>
      </c>
      <c r="I221" s="7"/>
      <c r="J221" s="7"/>
      <c r="K221" s="7"/>
      <c r="L221" s="7"/>
      <c r="M221" s="7"/>
      <c r="N221" s="7"/>
      <c r="O221" s="7"/>
    </row>
    <row r="222" spans="1:15" ht="13" x14ac:dyDescent="0.3">
      <c r="A222" s="1148"/>
      <c r="B222" s="1148"/>
      <c r="C222" s="1149"/>
      <c r="D222" s="1149"/>
      <c r="E222" s="1149"/>
      <c r="F222" s="1149"/>
      <c r="G222" s="1149"/>
      <c r="H222" s="1150"/>
      <c r="I222" s="7"/>
      <c r="J222" s="7"/>
      <c r="K222" s="7"/>
      <c r="L222" s="7"/>
      <c r="M222" s="7"/>
      <c r="N222" s="7"/>
      <c r="O222" s="7"/>
    </row>
    <row r="223" spans="1:15" ht="13" x14ac:dyDescent="0.3">
      <c r="A223" s="1894" t="s">
        <v>218</v>
      </c>
      <c r="B223" s="1894"/>
      <c r="C223" s="1894"/>
      <c r="D223" s="1149"/>
      <c r="E223" s="1149"/>
      <c r="F223" s="1149"/>
      <c r="G223" s="1149"/>
      <c r="H223" s="1150"/>
      <c r="I223" s="7"/>
      <c r="J223" s="7"/>
      <c r="K223" s="7"/>
      <c r="L223" s="7"/>
      <c r="M223" s="7"/>
      <c r="N223" s="7"/>
      <c r="O223" s="7"/>
    </row>
    <row r="224" spans="1:15" ht="13" x14ac:dyDescent="0.3">
      <c r="A224" s="1014" t="str">
        <f>+'Introducció dades'!C385</f>
        <v>JUNY</v>
      </c>
      <c r="B224" s="1014" t="str">
        <f>+'Introducció dades'!D385</f>
        <v>DESEMBRE</v>
      </c>
      <c r="C224" s="531">
        <f>+'Introducció dades'!E385</f>
        <v>0</v>
      </c>
      <c r="D224" s="1149"/>
      <c r="E224" s="1149"/>
      <c r="F224" s="1149"/>
      <c r="G224" s="1149"/>
      <c r="H224" s="1150"/>
      <c r="I224" s="7"/>
      <c r="J224" s="7"/>
      <c r="K224" s="7"/>
      <c r="L224" s="7"/>
      <c r="M224" s="7"/>
      <c r="N224" s="7"/>
      <c r="O224" s="7"/>
    </row>
    <row r="226" spans="1:15" ht="13" x14ac:dyDescent="0.3">
      <c r="C226" s="1080" t="str">
        <f>C129</f>
        <v>GENER</v>
      </c>
      <c r="D226" s="1080" t="str">
        <f t="shared" ref="D226:O226" si="109">D129</f>
        <v>FEBRER</v>
      </c>
      <c r="E226" s="1080" t="str">
        <f t="shared" si="109"/>
        <v>MARÇ</v>
      </c>
      <c r="F226" s="1080" t="str">
        <f t="shared" si="109"/>
        <v>ABRIL</v>
      </c>
      <c r="G226" s="1080" t="str">
        <f t="shared" si="109"/>
        <v>MAIG</v>
      </c>
      <c r="H226" s="1080" t="str">
        <f t="shared" si="109"/>
        <v>JUNY</v>
      </c>
      <c r="I226" s="1080" t="str">
        <f t="shared" si="109"/>
        <v>JULIOL</v>
      </c>
      <c r="J226" s="1080" t="str">
        <f t="shared" si="109"/>
        <v>AGOST</v>
      </c>
      <c r="K226" s="1080" t="str">
        <f t="shared" si="109"/>
        <v>SETEMBRE</v>
      </c>
      <c r="L226" s="1080" t="str">
        <f t="shared" si="109"/>
        <v>OCTUBRE</v>
      </c>
      <c r="M226" s="1080" t="str">
        <f t="shared" si="109"/>
        <v>NOVEMBRE</v>
      </c>
      <c r="N226" s="1080" t="str">
        <f t="shared" si="109"/>
        <v>DESEMBRE</v>
      </c>
      <c r="O226" s="1080" t="str">
        <f t="shared" si="109"/>
        <v>TOTAL</v>
      </c>
    </row>
    <row r="227" spans="1:15" ht="13" x14ac:dyDescent="0.3">
      <c r="A227" s="1880" t="s">
        <v>361</v>
      </c>
      <c r="B227" s="1880"/>
      <c r="C227" s="1081">
        <f>C228+C234+C252</f>
        <v>0</v>
      </c>
      <c r="D227" s="1081">
        <f t="shared" ref="D227:O227" si="110">D228+D234+D252</f>
        <v>0</v>
      </c>
      <c r="E227" s="1081">
        <f t="shared" si="110"/>
        <v>0</v>
      </c>
      <c r="F227" s="1081">
        <f t="shared" si="110"/>
        <v>0</v>
      </c>
      <c r="G227" s="1081">
        <f t="shared" si="110"/>
        <v>0</v>
      </c>
      <c r="H227" s="1081">
        <f t="shared" si="110"/>
        <v>0</v>
      </c>
      <c r="I227" s="1081">
        <f t="shared" si="110"/>
        <v>0</v>
      </c>
      <c r="J227" s="1081">
        <f t="shared" si="110"/>
        <v>0</v>
      </c>
      <c r="K227" s="1081">
        <f t="shared" si="110"/>
        <v>0</v>
      </c>
      <c r="L227" s="1081">
        <f t="shared" si="110"/>
        <v>0</v>
      </c>
      <c r="M227" s="1081">
        <f t="shared" si="110"/>
        <v>0</v>
      </c>
      <c r="N227" s="1081">
        <f t="shared" si="110"/>
        <v>0</v>
      </c>
      <c r="O227" s="1081">
        <f t="shared" si="110"/>
        <v>0</v>
      </c>
    </row>
    <row r="228" spans="1:15" ht="13" x14ac:dyDescent="0.3">
      <c r="A228" s="1881" t="s">
        <v>362</v>
      </c>
      <c r="B228" s="1881"/>
      <c r="C228" s="1082">
        <f>SUM(C229:C233)</f>
        <v>0</v>
      </c>
      <c r="D228" s="1082">
        <f t="shared" ref="D228:N228" si="111">SUM(D229:D233)</f>
        <v>0</v>
      </c>
      <c r="E228" s="1082">
        <f t="shared" si="111"/>
        <v>0</v>
      </c>
      <c r="F228" s="1082">
        <f t="shared" si="111"/>
        <v>0</v>
      </c>
      <c r="G228" s="1082">
        <f t="shared" si="111"/>
        <v>0</v>
      </c>
      <c r="H228" s="1082">
        <f t="shared" si="111"/>
        <v>0</v>
      </c>
      <c r="I228" s="1082">
        <f t="shared" si="111"/>
        <v>0</v>
      </c>
      <c r="J228" s="1082">
        <f t="shared" si="111"/>
        <v>0</v>
      </c>
      <c r="K228" s="1082">
        <f t="shared" si="111"/>
        <v>0</v>
      </c>
      <c r="L228" s="1082">
        <f t="shared" si="111"/>
        <v>0</v>
      </c>
      <c r="M228" s="1082">
        <f t="shared" si="111"/>
        <v>0</v>
      </c>
      <c r="N228" s="1082">
        <f t="shared" si="111"/>
        <v>0</v>
      </c>
      <c r="O228" s="1082">
        <f>SUM(C228:N228)</f>
        <v>0</v>
      </c>
    </row>
    <row r="229" spans="1:15" ht="12.75" hidden="1" customHeight="1" x14ac:dyDescent="0.25">
      <c r="A229" s="1152" t="str">
        <f>C197</f>
        <v>Categoria A</v>
      </c>
      <c r="B229" s="1153"/>
      <c r="C229" s="1154">
        <f>IF(C$226=C$199,C$212,0)</f>
        <v>0</v>
      </c>
      <c r="D229" s="1154">
        <f>IF(AND(C229=0,D226=$C$199),$C212,0)+IF(C229=0,0,$C212)</f>
        <v>0</v>
      </c>
      <c r="E229" s="1154">
        <f t="shared" ref="E229:N229" si="112">IF(AND(D229=0,E226=$C$199),$C212,0)+IF(D229=0,0,$C212)</f>
        <v>0</v>
      </c>
      <c r="F229" s="1154">
        <f t="shared" si="112"/>
        <v>0</v>
      </c>
      <c r="G229" s="1154">
        <f t="shared" si="112"/>
        <v>0</v>
      </c>
      <c r="H229" s="1154">
        <f t="shared" si="112"/>
        <v>0</v>
      </c>
      <c r="I229" s="1154">
        <f t="shared" si="112"/>
        <v>0</v>
      </c>
      <c r="J229" s="1154">
        <f t="shared" si="112"/>
        <v>0</v>
      </c>
      <c r="K229" s="1154">
        <f t="shared" si="112"/>
        <v>0</v>
      </c>
      <c r="L229" s="1154">
        <f t="shared" si="112"/>
        <v>0</v>
      </c>
      <c r="M229" s="1154">
        <f t="shared" si="112"/>
        <v>0</v>
      </c>
      <c r="N229" s="1154">
        <f t="shared" si="112"/>
        <v>0</v>
      </c>
      <c r="O229" s="1154">
        <f t="shared" ref="O229:O239" si="113">SUM(C229:N229)</f>
        <v>0</v>
      </c>
    </row>
    <row r="230" spans="1:15" ht="12.75" hidden="1" customHeight="1" x14ac:dyDescent="0.25">
      <c r="A230" s="1152" t="str">
        <f>D197</f>
        <v>Categoria B</v>
      </c>
      <c r="B230" s="1153"/>
      <c r="C230" s="1154">
        <f>IF(C$226=D$199,D$212,0)</f>
        <v>0</v>
      </c>
      <c r="D230" s="1154">
        <f>IF(AND(C230=0,D226=$D$199),$D212,0)+IF(C230=0,0,$D212)</f>
        <v>0</v>
      </c>
      <c r="E230" s="1154">
        <f t="shared" ref="E230:N230" si="114">IF(AND(D230=0,E226=$D$199),$D212,0)+IF(D230=0,0,$D212)</f>
        <v>0</v>
      </c>
      <c r="F230" s="1154">
        <f t="shared" si="114"/>
        <v>0</v>
      </c>
      <c r="G230" s="1154">
        <f t="shared" si="114"/>
        <v>0</v>
      </c>
      <c r="H230" s="1154">
        <f t="shared" si="114"/>
        <v>0</v>
      </c>
      <c r="I230" s="1154">
        <f t="shared" si="114"/>
        <v>0</v>
      </c>
      <c r="J230" s="1154">
        <f t="shared" si="114"/>
        <v>0</v>
      </c>
      <c r="K230" s="1154">
        <f t="shared" si="114"/>
        <v>0</v>
      </c>
      <c r="L230" s="1154">
        <f t="shared" si="114"/>
        <v>0</v>
      </c>
      <c r="M230" s="1154">
        <f t="shared" si="114"/>
        <v>0</v>
      </c>
      <c r="N230" s="1154">
        <f t="shared" si="114"/>
        <v>0</v>
      </c>
      <c r="O230" s="1154">
        <f t="shared" si="113"/>
        <v>0</v>
      </c>
    </row>
    <row r="231" spans="1:15" ht="12.75" hidden="1" customHeight="1" x14ac:dyDescent="0.25">
      <c r="A231" s="1152" t="str">
        <f>E197</f>
        <v>Categoria C</v>
      </c>
      <c r="B231" s="1153"/>
      <c r="C231" s="1154">
        <f>IF(C$226=E$199,E$212,0)</f>
        <v>0</v>
      </c>
      <c r="D231" s="1154">
        <f>IF(AND(C231=0,D226=$E$199),$E212,0)+IF(C231=0,0,$E212)</f>
        <v>0</v>
      </c>
      <c r="E231" s="1154">
        <f t="shared" ref="E231:N231" si="115">IF(AND(D231=0,E226=$E$199),$E212,0)+IF(D231=0,0,$E212)</f>
        <v>0</v>
      </c>
      <c r="F231" s="1154">
        <f t="shared" si="115"/>
        <v>0</v>
      </c>
      <c r="G231" s="1154">
        <f t="shared" si="115"/>
        <v>0</v>
      </c>
      <c r="H231" s="1154">
        <f t="shared" si="115"/>
        <v>0</v>
      </c>
      <c r="I231" s="1154">
        <f t="shared" si="115"/>
        <v>0</v>
      </c>
      <c r="J231" s="1154">
        <f t="shared" si="115"/>
        <v>0</v>
      </c>
      <c r="K231" s="1154">
        <f t="shared" si="115"/>
        <v>0</v>
      </c>
      <c r="L231" s="1154">
        <f t="shared" si="115"/>
        <v>0</v>
      </c>
      <c r="M231" s="1154">
        <f t="shared" si="115"/>
        <v>0</v>
      </c>
      <c r="N231" s="1154">
        <f t="shared" si="115"/>
        <v>0</v>
      </c>
      <c r="O231" s="1154">
        <f t="shared" si="113"/>
        <v>0</v>
      </c>
    </row>
    <row r="232" spans="1:15" ht="12.75" hidden="1" customHeight="1" x14ac:dyDescent="0.25">
      <c r="A232" s="1152" t="str">
        <f>F197</f>
        <v>Categoria D</v>
      </c>
      <c r="B232" s="1153"/>
      <c r="C232" s="1154">
        <f>IF(C$226=F$199,F$212,0)</f>
        <v>0</v>
      </c>
      <c r="D232" s="1154">
        <f>IF(AND(C232=0,D226=$F$199),$F212,0)+IF(C232=0,0,$F212)</f>
        <v>0</v>
      </c>
      <c r="E232" s="1154">
        <f t="shared" ref="E232:N232" si="116">IF(AND(D232=0,E226=$F$199),$F212,0)+IF(D232=0,0,$F212)</f>
        <v>0</v>
      </c>
      <c r="F232" s="1154">
        <f t="shared" si="116"/>
        <v>0</v>
      </c>
      <c r="G232" s="1154">
        <f t="shared" si="116"/>
        <v>0</v>
      </c>
      <c r="H232" s="1154">
        <f t="shared" si="116"/>
        <v>0</v>
      </c>
      <c r="I232" s="1154">
        <f t="shared" si="116"/>
        <v>0</v>
      </c>
      <c r="J232" s="1154">
        <f t="shared" si="116"/>
        <v>0</v>
      </c>
      <c r="K232" s="1154">
        <f t="shared" si="116"/>
        <v>0</v>
      </c>
      <c r="L232" s="1154">
        <f t="shared" si="116"/>
        <v>0</v>
      </c>
      <c r="M232" s="1154">
        <f t="shared" si="116"/>
        <v>0</v>
      </c>
      <c r="N232" s="1154">
        <f t="shared" si="116"/>
        <v>0</v>
      </c>
      <c r="O232" s="1154">
        <f t="shared" si="113"/>
        <v>0</v>
      </c>
    </row>
    <row r="233" spans="1:15" ht="12.75" hidden="1" customHeight="1" x14ac:dyDescent="0.25">
      <c r="A233" s="1152" t="str">
        <f>G197</f>
        <v>Categoria E</v>
      </c>
      <c r="B233" s="1153"/>
      <c r="C233" s="1154">
        <f>IF(C$226=G$199,G$212,0)</f>
        <v>0</v>
      </c>
      <c r="D233" s="1154">
        <f>IF(AND(C233=0,D226=$G$199),$G212,0)+IF(C233=0,0,$G212)</f>
        <v>0</v>
      </c>
      <c r="E233" s="1154">
        <f t="shared" ref="E233:N233" si="117">IF(AND(D233=0,E226=$G$199),$G212,0)+IF(D233=0,0,$G212)</f>
        <v>0</v>
      </c>
      <c r="F233" s="1154">
        <f t="shared" si="117"/>
        <v>0</v>
      </c>
      <c r="G233" s="1154">
        <f t="shared" si="117"/>
        <v>0</v>
      </c>
      <c r="H233" s="1154">
        <f t="shared" si="117"/>
        <v>0</v>
      </c>
      <c r="I233" s="1154">
        <f t="shared" si="117"/>
        <v>0</v>
      </c>
      <c r="J233" s="1154">
        <f t="shared" si="117"/>
        <v>0</v>
      </c>
      <c r="K233" s="1154">
        <f t="shared" si="117"/>
        <v>0</v>
      </c>
      <c r="L233" s="1154">
        <f t="shared" si="117"/>
        <v>0</v>
      </c>
      <c r="M233" s="1154">
        <f t="shared" si="117"/>
        <v>0</v>
      </c>
      <c r="N233" s="1154">
        <f t="shared" si="117"/>
        <v>0</v>
      </c>
      <c r="O233" s="1154">
        <f t="shared" si="113"/>
        <v>0</v>
      </c>
    </row>
    <row r="234" spans="1:15" ht="13" x14ac:dyDescent="0.3">
      <c r="A234" s="1881" t="s">
        <v>374</v>
      </c>
      <c r="B234" s="1881"/>
      <c r="C234" s="1082">
        <f>SUM(C235:C239)</f>
        <v>0</v>
      </c>
      <c r="D234" s="1082">
        <f t="shared" ref="D234:N234" si="118">SUM(D235:D239)</f>
        <v>0</v>
      </c>
      <c r="E234" s="1082">
        <f t="shared" si="118"/>
        <v>0</v>
      </c>
      <c r="F234" s="1082">
        <f t="shared" si="118"/>
        <v>0</v>
      </c>
      <c r="G234" s="1082">
        <f t="shared" si="118"/>
        <v>0</v>
      </c>
      <c r="H234" s="1082">
        <f t="shared" si="118"/>
        <v>0</v>
      </c>
      <c r="I234" s="1082">
        <f t="shared" si="118"/>
        <v>0</v>
      </c>
      <c r="J234" s="1082">
        <f t="shared" si="118"/>
        <v>0</v>
      </c>
      <c r="K234" s="1082">
        <f t="shared" si="118"/>
        <v>0</v>
      </c>
      <c r="L234" s="1082">
        <f t="shared" si="118"/>
        <v>0</v>
      </c>
      <c r="M234" s="1082">
        <f t="shared" si="118"/>
        <v>0</v>
      </c>
      <c r="N234" s="1082">
        <f t="shared" si="118"/>
        <v>0</v>
      </c>
      <c r="O234" s="1082">
        <f t="shared" si="113"/>
        <v>0</v>
      </c>
    </row>
    <row r="235" spans="1:15" ht="12.75" hidden="1" customHeight="1" x14ac:dyDescent="0.25">
      <c r="A235" s="1152" t="str">
        <f>A229</f>
        <v>Categoria A</v>
      </c>
      <c r="B235" s="1153"/>
      <c r="C235" s="1154">
        <f>IF(OR(C229=0,C213=0),0,C213)</f>
        <v>0</v>
      </c>
      <c r="D235" s="1154">
        <f>IF(OR(D229=0,$C$213=0),0,$C$213)</f>
        <v>0</v>
      </c>
      <c r="E235" s="1154">
        <f t="shared" ref="E235:N235" si="119">IF(OR(E229=0,$C$213=0),0,$C$213)</f>
        <v>0</v>
      </c>
      <c r="F235" s="1154">
        <f t="shared" si="119"/>
        <v>0</v>
      </c>
      <c r="G235" s="1154">
        <f t="shared" si="119"/>
        <v>0</v>
      </c>
      <c r="H235" s="1154">
        <f t="shared" si="119"/>
        <v>0</v>
      </c>
      <c r="I235" s="1154">
        <f t="shared" si="119"/>
        <v>0</v>
      </c>
      <c r="J235" s="1154">
        <f t="shared" si="119"/>
        <v>0</v>
      </c>
      <c r="K235" s="1154">
        <f t="shared" si="119"/>
        <v>0</v>
      </c>
      <c r="L235" s="1154">
        <f t="shared" si="119"/>
        <v>0</v>
      </c>
      <c r="M235" s="1154">
        <f t="shared" si="119"/>
        <v>0</v>
      </c>
      <c r="N235" s="1154">
        <f t="shared" si="119"/>
        <v>0</v>
      </c>
      <c r="O235" s="1154">
        <f t="shared" si="113"/>
        <v>0</v>
      </c>
    </row>
    <row r="236" spans="1:15" ht="12.75" hidden="1" customHeight="1" x14ac:dyDescent="0.25">
      <c r="A236" s="1152" t="str">
        <f>A230</f>
        <v>Categoria B</v>
      </c>
      <c r="B236" s="1153"/>
      <c r="C236" s="1154">
        <f>IF(OR(C230=0,D213=0),0,D213)</f>
        <v>0</v>
      </c>
      <c r="D236" s="1154">
        <f>IF(OR(D230=0,$D$213=0),0,$D$213)</f>
        <v>0</v>
      </c>
      <c r="E236" s="1154">
        <f t="shared" ref="E236:N236" si="120">IF(OR(E230=0,$D$213=0),0,$D$213)</f>
        <v>0</v>
      </c>
      <c r="F236" s="1154">
        <f t="shared" si="120"/>
        <v>0</v>
      </c>
      <c r="G236" s="1154">
        <f t="shared" si="120"/>
        <v>0</v>
      </c>
      <c r="H236" s="1154">
        <f t="shared" si="120"/>
        <v>0</v>
      </c>
      <c r="I236" s="1154">
        <f t="shared" si="120"/>
        <v>0</v>
      </c>
      <c r="J236" s="1154">
        <f t="shared" si="120"/>
        <v>0</v>
      </c>
      <c r="K236" s="1154">
        <f t="shared" si="120"/>
        <v>0</v>
      </c>
      <c r="L236" s="1154">
        <f t="shared" si="120"/>
        <v>0</v>
      </c>
      <c r="M236" s="1154">
        <f t="shared" si="120"/>
        <v>0</v>
      </c>
      <c r="N236" s="1154">
        <f t="shared" si="120"/>
        <v>0</v>
      </c>
      <c r="O236" s="1154">
        <f t="shared" si="113"/>
        <v>0</v>
      </c>
    </row>
    <row r="237" spans="1:15" ht="12.75" hidden="1" customHeight="1" x14ac:dyDescent="0.25">
      <c r="A237" s="1152" t="str">
        <f>A231</f>
        <v>Categoria C</v>
      </c>
      <c r="B237" s="1153"/>
      <c r="C237" s="1154">
        <f>IF(OR(C231=0,E213=0),0,E213)</f>
        <v>0</v>
      </c>
      <c r="D237" s="1154">
        <f>IF(OR(D231=0,$E$213=0),0,$E$213)</f>
        <v>0</v>
      </c>
      <c r="E237" s="1154">
        <f t="shared" ref="E237:N237" si="121">IF(OR(E231=0,$E$213=0),0,$E$213)</f>
        <v>0</v>
      </c>
      <c r="F237" s="1154">
        <f t="shared" si="121"/>
        <v>0</v>
      </c>
      <c r="G237" s="1154">
        <f t="shared" si="121"/>
        <v>0</v>
      </c>
      <c r="H237" s="1154">
        <f t="shared" si="121"/>
        <v>0</v>
      </c>
      <c r="I237" s="1154">
        <f t="shared" si="121"/>
        <v>0</v>
      </c>
      <c r="J237" s="1154">
        <f t="shared" si="121"/>
        <v>0</v>
      </c>
      <c r="K237" s="1154">
        <f t="shared" si="121"/>
        <v>0</v>
      </c>
      <c r="L237" s="1154">
        <f t="shared" si="121"/>
        <v>0</v>
      </c>
      <c r="M237" s="1154">
        <f t="shared" si="121"/>
        <v>0</v>
      </c>
      <c r="N237" s="1154">
        <f t="shared" si="121"/>
        <v>0</v>
      </c>
      <c r="O237" s="1154">
        <f t="shared" si="113"/>
        <v>0</v>
      </c>
    </row>
    <row r="238" spans="1:15" ht="12.75" hidden="1" customHeight="1" x14ac:dyDescent="0.25">
      <c r="A238" s="1152" t="str">
        <f>A232</f>
        <v>Categoria D</v>
      </c>
      <c r="B238" s="1153"/>
      <c r="C238" s="1154">
        <f>IF(OR(C232=0,F213=0),0,F213)</f>
        <v>0</v>
      </c>
      <c r="D238" s="1154">
        <f>IF(OR(D232=0,$F$213=0),0,$F$213)</f>
        <v>0</v>
      </c>
      <c r="E238" s="1154">
        <f t="shared" ref="E238:N238" si="122">IF(OR(E232=0,$F$213=0),0,$F$213)</f>
        <v>0</v>
      </c>
      <c r="F238" s="1154">
        <f t="shared" si="122"/>
        <v>0</v>
      </c>
      <c r="G238" s="1154">
        <f t="shared" si="122"/>
        <v>0</v>
      </c>
      <c r="H238" s="1154">
        <f t="shared" si="122"/>
        <v>0</v>
      </c>
      <c r="I238" s="1154">
        <f t="shared" si="122"/>
        <v>0</v>
      </c>
      <c r="J238" s="1154">
        <f t="shared" si="122"/>
        <v>0</v>
      </c>
      <c r="K238" s="1154">
        <f t="shared" si="122"/>
        <v>0</v>
      </c>
      <c r="L238" s="1154">
        <f t="shared" si="122"/>
        <v>0</v>
      </c>
      <c r="M238" s="1154">
        <f t="shared" si="122"/>
        <v>0</v>
      </c>
      <c r="N238" s="1154">
        <f t="shared" si="122"/>
        <v>0</v>
      </c>
      <c r="O238" s="1154">
        <f t="shared" si="113"/>
        <v>0</v>
      </c>
    </row>
    <row r="239" spans="1:15" ht="12.75" hidden="1" customHeight="1" x14ac:dyDescent="0.25">
      <c r="A239" s="1152" t="str">
        <f>A233</f>
        <v>Categoria E</v>
      </c>
      <c r="B239" s="1153"/>
      <c r="C239" s="1154">
        <f>IF(OR(C233=0,G213=0),0,G213)</f>
        <v>0</v>
      </c>
      <c r="D239" s="1154">
        <f>IF(OR(D233=0,$G$213=0),0,$G$213)</f>
        <v>0</v>
      </c>
      <c r="E239" s="1154">
        <f t="shared" ref="E239:N239" si="123">IF(OR(E233=0,$G$213=0),0,$G$213)</f>
        <v>0</v>
      </c>
      <c r="F239" s="1154">
        <f t="shared" si="123"/>
        <v>0</v>
      </c>
      <c r="G239" s="1154">
        <f t="shared" si="123"/>
        <v>0</v>
      </c>
      <c r="H239" s="1154">
        <f t="shared" si="123"/>
        <v>0</v>
      </c>
      <c r="I239" s="1154">
        <f t="shared" si="123"/>
        <v>0</v>
      </c>
      <c r="J239" s="1154">
        <f t="shared" si="123"/>
        <v>0</v>
      </c>
      <c r="K239" s="1154">
        <f t="shared" si="123"/>
        <v>0</v>
      </c>
      <c r="L239" s="1154">
        <f t="shared" si="123"/>
        <v>0</v>
      </c>
      <c r="M239" s="1154">
        <f t="shared" si="123"/>
        <v>0</v>
      </c>
      <c r="N239" s="1154">
        <f t="shared" si="123"/>
        <v>0</v>
      </c>
      <c r="O239" s="1154">
        <f t="shared" si="113"/>
        <v>0</v>
      </c>
    </row>
    <row r="240" spans="1:15" x14ac:dyDescent="0.25">
      <c r="A240" s="1895" t="s">
        <v>376</v>
      </c>
      <c r="B240" s="1895"/>
      <c r="C240" s="1085">
        <f>SUM(C241:C245)</f>
        <v>0</v>
      </c>
      <c r="D240" s="1085">
        <f t="shared" ref="D240:N240" si="124">SUM(D241:D245)</f>
        <v>0</v>
      </c>
      <c r="E240" s="1085">
        <f t="shared" si="124"/>
        <v>0</v>
      </c>
      <c r="F240" s="1085">
        <f t="shared" si="124"/>
        <v>0</v>
      </c>
      <c r="G240" s="1085">
        <f t="shared" si="124"/>
        <v>0</v>
      </c>
      <c r="H240" s="1085">
        <f t="shared" si="124"/>
        <v>0</v>
      </c>
      <c r="I240" s="1085">
        <f t="shared" si="124"/>
        <v>0</v>
      </c>
      <c r="J240" s="1085">
        <f t="shared" si="124"/>
        <v>0</v>
      </c>
      <c r="K240" s="1085">
        <f t="shared" si="124"/>
        <v>0</v>
      </c>
      <c r="L240" s="1085">
        <f t="shared" si="124"/>
        <v>0</v>
      </c>
      <c r="M240" s="1085">
        <f t="shared" si="124"/>
        <v>0</v>
      </c>
      <c r="N240" s="1085">
        <f t="shared" si="124"/>
        <v>0</v>
      </c>
      <c r="O240" s="1085">
        <f>SUM(O241:O245)</f>
        <v>0</v>
      </c>
    </row>
    <row r="241" spans="1:15" ht="12.75" hidden="1" customHeight="1" x14ac:dyDescent="0.25">
      <c r="A241" s="1152" t="str">
        <f>A229</f>
        <v>Categoria A</v>
      </c>
      <c r="B241" s="1153"/>
      <c r="C241" s="1154">
        <f>C235</f>
        <v>0</v>
      </c>
      <c r="D241" s="1154">
        <f t="shared" ref="D241:N245" si="125">C241+D235-C247</f>
        <v>0</v>
      </c>
      <c r="E241" s="1154">
        <f t="shared" si="125"/>
        <v>0</v>
      </c>
      <c r="F241" s="1154">
        <f t="shared" si="125"/>
        <v>0</v>
      </c>
      <c r="G241" s="1154">
        <f t="shared" si="125"/>
        <v>0</v>
      </c>
      <c r="H241" s="1154">
        <f t="shared" si="125"/>
        <v>0</v>
      </c>
      <c r="I241" s="1154">
        <f t="shared" si="125"/>
        <v>0</v>
      </c>
      <c r="J241" s="1154">
        <f t="shared" si="125"/>
        <v>0</v>
      </c>
      <c r="K241" s="1154">
        <f t="shared" si="125"/>
        <v>0</v>
      </c>
      <c r="L241" s="1154">
        <f t="shared" si="125"/>
        <v>0</v>
      </c>
      <c r="M241" s="1154">
        <f t="shared" si="125"/>
        <v>0</v>
      </c>
      <c r="N241" s="1154">
        <f t="shared" si="125"/>
        <v>0</v>
      </c>
      <c r="O241" s="1154">
        <f>N241-N247</f>
        <v>0</v>
      </c>
    </row>
    <row r="242" spans="1:15" ht="12.75" hidden="1" customHeight="1" x14ac:dyDescent="0.25">
      <c r="A242" s="1152" t="str">
        <f>A230</f>
        <v>Categoria B</v>
      </c>
      <c r="B242" s="1153"/>
      <c r="C242" s="1154">
        <f>C236</f>
        <v>0</v>
      </c>
      <c r="D242" s="1154">
        <f t="shared" si="125"/>
        <v>0</v>
      </c>
      <c r="E242" s="1154">
        <f t="shared" si="125"/>
        <v>0</v>
      </c>
      <c r="F242" s="1154">
        <f t="shared" si="125"/>
        <v>0</v>
      </c>
      <c r="G242" s="1154">
        <f t="shared" si="125"/>
        <v>0</v>
      </c>
      <c r="H242" s="1154">
        <f t="shared" si="125"/>
        <v>0</v>
      </c>
      <c r="I242" s="1154">
        <f t="shared" si="125"/>
        <v>0</v>
      </c>
      <c r="J242" s="1154">
        <f t="shared" si="125"/>
        <v>0</v>
      </c>
      <c r="K242" s="1154">
        <f t="shared" si="125"/>
        <v>0</v>
      </c>
      <c r="L242" s="1154">
        <f t="shared" si="125"/>
        <v>0</v>
      </c>
      <c r="M242" s="1154">
        <f t="shared" si="125"/>
        <v>0</v>
      </c>
      <c r="N242" s="1154">
        <f t="shared" si="125"/>
        <v>0</v>
      </c>
      <c r="O242" s="1154">
        <f>N242-N248</f>
        <v>0</v>
      </c>
    </row>
    <row r="243" spans="1:15" ht="12.75" hidden="1" customHeight="1" x14ac:dyDescent="0.25">
      <c r="A243" s="1152" t="str">
        <f>A231</f>
        <v>Categoria C</v>
      </c>
      <c r="B243" s="1153"/>
      <c r="C243" s="1154">
        <f>C237</f>
        <v>0</v>
      </c>
      <c r="D243" s="1154">
        <f t="shared" si="125"/>
        <v>0</v>
      </c>
      <c r="E243" s="1154">
        <f t="shared" si="125"/>
        <v>0</v>
      </c>
      <c r="F243" s="1154">
        <f t="shared" si="125"/>
        <v>0</v>
      </c>
      <c r="G243" s="1154">
        <f t="shared" si="125"/>
        <v>0</v>
      </c>
      <c r="H243" s="1154">
        <f t="shared" si="125"/>
        <v>0</v>
      </c>
      <c r="I243" s="1154">
        <f t="shared" si="125"/>
        <v>0</v>
      </c>
      <c r="J243" s="1154">
        <f t="shared" si="125"/>
        <v>0</v>
      </c>
      <c r="K243" s="1154">
        <f t="shared" si="125"/>
        <v>0</v>
      </c>
      <c r="L243" s="1154">
        <f t="shared" si="125"/>
        <v>0</v>
      </c>
      <c r="M243" s="1154">
        <f t="shared" si="125"/>
        <v>0</v>
      </c>
      <c r="N243" s="1154">
        <f t="shared" si="125"/>
        <v>0</v>
      </c>
      <c r="O243" s="1154">
        <f>N243-N249</f>
        <v>0</v>
      </c>
    </row>
    <row r="244" spans="1:15" ht="12.75" hidden="1" customHeight="1" x14ac:dyDescent="0.25">
      <c r="A244" s="1152" t="str">
        <f>A232</f>
        <v>Categoria D</v>
      </c>
      <c r="B244" s="1153"/>
      <c r="C244" s="1154">
        <f>C238</f>
        <v>0</v>
      </c>
      <c r="D244" s="1154">
        <f t="shared" si="125"/>
        <v>0</v>
      </c>
      <c r="E244" s="1154">
        <f t="shared" si="125"/>
        <v>0</v>
      </c>
      <c r="F244" s="1154">
        <f t="shared" si="125"/>
        <v>0</v>
      </c>
      <c r="G244" s="1154">
        <f t="shared" si="125"/>
        <v>0</v>
      </c>
      <c r="H244" s="1154">
        <f t="shared" si="125"/>
        <v>0</v>
      </c>
      <c r="I244" s="1154">
        <f t="shared" si="125"/>
        <v>0</v>
      </c>
      <c r="J244" s="1154">
        <f t="shared" si="125"/>
        <v>0</v>
      </c>
      <c r="K244" s="1154">
        <f t="shared" si="125"/>
        <v>0</v>
      </c>
      <c r="L244" s="1154">
        <f t="shared" si="125"/>
        <v>0</v>
      </c>
      <c r="M244" s="1154">
        <f t="shared" si="125"/>
        <v>0</v>
      </c>
      <c r="N244" s="1154">
        <f t="shared" si="125"/>
        <v>0</v>
      </c>
      <c r="O244" s="1154">
        <f>N244-N250</f>
        <v>0</v>
      </c>
    </row>
    <row r="245" spans="1:15" ht="12.75" hidden="1" customHeight="1" x14ac:dyDescent="0.25">
      <c r="A245" s="1152" t="str">
        <f>A233</f>
        <v>Categoria E</v>
      </c>
      <c r="B245" s="1153"/>
      <c r="C245" s="1154">
        <f>C239</f>
        <v>0</v>
      </c>
      <c r="D245" s="1154">
        <f t="shared" si="125"/>
        <v>0</v>
      </c>
      <c r="E245" s="1154">
        <f t="shared" si="125"/>
        <v>0</v>
      </c>
      <c r="F245" s="1154">
        <f t="shared" si="125"/>
        <v>0</v>
      </c>
      <c r="G245" s="1154">
        <f t="shared" si="125"/>
        <v>0</v>
      </c>
      <c r="H245" s="1154">
        <f t="shared" si="125"/>
        <v>0</v>
      </c>
      <c r="I245" s="1154">
        <f t="shared" si="125"/>
        <v>0</v>
      </c>
      <c r="J245" s="1154">
        <f t="shared" si="125"/>
        <v>0</v>
      </c>
      <c r="K245" s="1154">
        <f t="shared" si="125"/>
        <v>0</v>
      </c>
      <c r="L245" s="1154">
        <f t="shared" si="125"/>
        <v>0</v>
      </c>
      <c r="M245" s="1154">
        <f t="shared" si="125"/>
        <v>0</v>
      </c>
      <c r="N245" s="1154">
        <f t="shared" si="125"/>
        <v>0</v>
      </c>
      <c r="O245" s="1154">
        <f>N245-N251</f>
        <v>0</v>
      </c>
    </row>
    <row r="246" spans="1:15" x14ac:dyDescent="0.25">
      <c r="A246" s="1895" t="s">
        <v>377</v>
      </c>
      <c r="B246" s="1895"/>
      <c r="C246" s="1085">
        <f>SUM(C247:C251)</f>
        <v>0</v>
      </c>
      <c r="D246" s="1085">
        <f t="shared" ref="D246:N246" si="126">SUM(D247:D251)</f>
        <v>0</v>
      </c>
      <c r="E246" s="1085">
        <f t="shared" si="126"/>
        <v>0</v>
      </c>
      <c r="F246" s="1085">
        <f t="shared" si="126"/>
        <v>0</v>
      </c>
      <c r="G246" s="1085">
        <f t="shared" si="126"/>
        <v>0</v>
      </c>
      <c r="H246" s="1085">
        <f t="shared" si="126"/>
        <v>0</v>
      </c>
      <c r="I246" s="1085">
        <f t="shared" si="126"/>
        <v>0</v>
      </c>
      <c r="J246" s="1085">
        <f t="shared" si="126"/>
        <v>0</v>
      </c>
      <c r="K246" s="1085">
        <f t="shared" si="126"/>
        <v>0</v>
      </c>
      <c r="L246" s="1085">
        <f t="shared" si="126"/>
        <v>0</v>
      </c>
      <c r="M246" s="1085">
        <f t="shared" si="126"/>
        <v>0</v>
      </c>
      <c r="N246" s="1085">
        <f t="shared" si="126"/>
        <v>0</v>
      </c>
      <c r="O246" s="1155"/>
    </row>
    <row r="247" spans="1:15" ht="12.75" hidden="1" customHeight="1" x14ac:dyDescent="0.25">
      <c r="A247" s="1156" t="str">
        <f>A241</f>
        <v>Categoria A</v>
      </c>
      <c r="B247" s="1156"/>
      <c r="C247" s="1154">
        <f>IF(AND($C211=15,OR(C226=$A224,C226=$B224,C226=$C224)),C241,0)+IF(AND($C211=14,OR(C226=$A224,C226=$B224)),C241,0)</f>
        <v>0</v>
      </c>
      <c r="D247" s="1154">
        <f t="shared" ref="D247:N247" si="127">IF(AND($C211=15,OR(D226=$A224,D226=$B224,D226=$C224)),D241,0)+IF(AND($C211=14,OR(D226=$A224,D226=$B224)),D241,0)</f>
        <v>0</v>
      </c>
      <c r="E247" s="1154">
        <f t="shared" si="127"/>
        <v>0</v>
      </c>
      <c r="F247" s="1154">
        <f t="shared" si="127"/>
        <v>0</v>
      </c>
      <c r="G247" s="1154">
        <f t="shared" si="127"/>
        <v>0</v>
      </c>
      <c r="H247" s="1154">
        <f t="shared" si="127"/>
        <v>0</v>
      </c>
      <c r="I247" s="1154">
        <f t="shared" si="127"/>
        <v>0</v>
      </c>
      <c r="J247" s="1154">
        <f t="shared" si="127"/>
        <v>0</v>
      </c>
      <c r="K247" s="1154">
        <f t="shared" si="127"/>
        <v>0</v>
      </c>
      <c r="L247" s="1154">
        <f t="shared" si="127"/>
        <v>0</v>
      </c>
      <c r="M247" s="1154">
        <f t="shared" si="127"/>
        <v>0</v>
      </c>
      <c r="N247" s="1154">
        <f t="shared" si="127"/>
        <v>0</v>
      </c>
      <c r="O247" s="1155"/>
    </row>
    <row r="248" spans="1:15" ht="12.75" hidden="1" customHeight="1" x14ac:dyDescent="0.25">
      <c r="A248" s="1156" t="str">
        <f>A242</f>
        <v>Categoria B</v>
      </c>
      <c r="B248" s="1156"/>
      <c r="C248" s="1154">
        <f>IF(AND($D211=15,OR(C226=$A224,C226=$B224,C226=$C224)),C242,0)+IF(AND($D211=14,OR(C226=$A224,C226=$B224)),C242,0)</f>
        <v>0</v>
      </c>
      <c r="D248" s="1154">
        <f t="shared" ref="D248:N248" si="128">IF(AND($D211=15,OR(D226=$A224,D226=$B224,D226=$C224)),D242,0)+IF(AND($D211=14,OR(D226=$A224,D226=$B224)),D242,0)</f>
        <v>0</v>
      </c>
      <c r="E248" s="1154">
        <f t="shared" si="128"/>
        <v>0</v>
      </c>
      <c r="F248" s="1154">
        <f t="shared" si="128"/>
        <v>0</v>
      </c>
      <c r="G248" s="1154">
        <f t="shared" si="128"/>
        <v>0</v>
      </c>
      <c r="H248" s="1154">
        <f t="shared" si="128"/>
        <v>0</v>
      </c>
      <c r="I248" s="1154">
        <f t="shared" si="128"/>
        <v>0</v>
      </c>
      <c r="J248" s="1154">
        <f t="shared" si="128"/>
        <v>0</v>
      </c>
      <c r="K248" s="1154">
        <f t="shared" si="128"/>
        <v>0</v>
      </c>
      <c r="L248" s="1154">
        <f t="shared" si="128"/>
        <v>0</v>
      </c>
      <c r="M248" s="1154">
        <f t="shared" si="128"/>
        <v>0</v>
      </c>
      <c r="N248" s="1154">
        <f t="shared" si="128"/>
        <v>0</v>
      </c>
      <c r="O248" s="1155"/>
    </row>
    <row r="249" spans="1:15" ht="12.75" hidden="1" customHeight="1" x14ac:dyDescent="0.25">
      <c r="A249" s="1156" t="str">
        <f>A243</f>
        <v>Categoria C</v>
      </c>
      <c r="B249" s="1156"/>
      <c r="C249" s="1154">
        <f>IF(AND($E211=15,OR(C226=$A224,C226=$B224,C226=$C224)),C243,0)+IF(AND($E211=14,OR(C226=$A224,C226=$B224)),C243,0)</f>
        <v>0</v>
      </c>
      <c r="D249" s="1154">
        <f t="shared" ref="D249:N249" si="129">IF(AND($E211=15,OR(D226=$A224,D226=$B224,D226=$C224)),D243,0)+IF(AND($E211=14,OR(D226=$A224,D226=$B224)),D243,0)</f>
        <v>0</v>
      </c>
      <c r="E249" s="1154">
        <f t="shared" si="129"/>
        <v>0</v>
      </c>
      <c r="F249" s="1154">
        <f t="shared" si="129"/>
        <v>0</v>
      </c>
      <c r="G249" s="1154">
        <f t="shared" si="129"/>
        <v>0</v>
      </c>
      <c r="H249" s="1154">
        <f t="shared" si="129"/>
        <v>0</v>
      </c>
      <c r="I249" s="1154">
        <f t="shared" si="129"/>
        <v>0</v>
      </c>
      <c r="J249" s="1154">
        <f t="shared" si="129"/>
        <v>0</v>
      </c>
      <c r="K249" s="1154">
        <f t="shared" si="129"/>
        <v>0</v>
      </c>
      <c r="L249" s="1154">
        <f t="shared" si="129"/>
        <v>0</v>
      </c>
      <c r="M249" s="1154">
        <f t="shared" si="129"/>
        <v>0</v>
      </c>
      <c r="N249" s="1154">
        <f t="shared" si="129"/>
        <v>0</v>
      </c>
      <c r="O249" s="1155"/>
    </row>
    <row r="250" spans="1:15" ht="12.75" hidden="1" customHeight="1" x14ac:dyDescent="0.25">
      <c r="A250" s="1156" t="str">
        <f>A244</f>
        <v>Categoria D</v>
      </c>
      <c r="B250" s="1156"/>
      <c r="C250" s="1154">
        <f>IF(AND($F211=15,OR(C226=$A224,C226=$B224,C226=$C224)),C244,0)+IF(AND($F211=14,OR(C226=$A224,C226=$B224)),C244,0)</f>
        <v>0</v>
      </c>
      <c r="D250" s="1154">
        <f t="shared" ref="D250:N250" si="130">IF(AND($F211=15,OR(D226=$A224,D226=$B224,D226=$C224)),D244,0)+IF(AND($F211=14,OR(D226=$A224,D226=$B224)),D244,0)</f>
        <v>0</v>
      </c>
      <c r="E250" s="1154">
        <f t="shared" si="130"/>
        <v>0</v>
      </c>
      <c r="F250" s="1154">
        <f t="shared" si="130"/>
        <v>0</v>
      </c>
      <c r="G250" s="1154">
        <f t="shared" si="130"/>
        <v>0</v>
      </c>
      <c r="H250" s="1154">
        <f t="shared" si="130"/>
        <v>0</v>
      </c>
      <c r="I250" s="1154">
        <f t="shared" si="130"/>
        <v>0</v>
      </c>
      <c r="J250" s="1154">
        <f t="shared" si="130"/>
        <v>0</v>
      </c>
      <c r="K250" s="1154">
        <f t="shared" si="130"/>
        <v>0</v>
      </c>
      <c r="L250" s="1154">
        <f t="shared" si="130"/>
        <v>0</v>
      </c>
      <c r="M250" s="1154">
        <f t="shared" si="130"/>
        <v>0</v>
      </c>
      <c r="N250" s="1154">
        <f t="shared" si="130"/>
        <v>0</v>
      </c>
      <c r="O250" s="1155"/>
    </row>
    <row r="251" spans="1:15" ht="12.75" hidden="1" customHeight="1" x14ac:dyDescent="0.25">
      <c r="A251" s="1156" t="str">
        <f>A245</f>
        <v>Categoria E</v>
      </c>
      <c r="B251" s="1156"/>
      <c r="C251" s="1154">
        <f>IF(AND($G211=15,OR(C226=$A224,C226=$B224,C226=$C224)),C245,0)+IF(AND($G211=14,OR(C226=$A224,C226=$B224)),C245,0)</f>
        <v>0</v>
      </c>
      <c r="D251" s="1154">
        <f t="shared" ref="D251:N251" si="131">IF(AND($G211=15,OR(D226=$A224,D226=$B224,D226=$C224)),D245,0)+IF(AND($G211=14,OR(D226=$A224,D226=$B224)),D245,0)</f>
        <v>0</v>
      </c>
      <c r="E251" s="1154">
        <f t="shared" si="131"/>
        <v>0</v>
      </c>
      <c r="F251" s="1154">
        <f t="shared" si="131"/>
        <v>0</v>
      </c>
      <c r="G251" s="1154">
        <f t="shared" si="131"/>
        <v>0</v>
      </c>
      <c r="H251" s="1154">
        <f t="shared" si="131"/>
        <v>0</v>
      </c>
      <c r="I251" s="1154">
        <f t="shared" si="131"/>
        <v>0</v>
      </c>
      <c r="J251" s="1154">
        <f t="shared" si="131"/>
        <v>0</v>
      </c>
      <c r="K251" s="1154">
        <f t="shared" si="131"/>
        <v>0</v>
      </c>
      <c r="L251" s="1154">
        <f t="shared" si="131"/>
        <v>0</v>
      </c>
      <c r="M251" s="1154">
        <f t="shared" si="131"/>
        <v>0</v>
      </c>
      <c r="N251" s="1154">
        <f t="shared" si="131"/>
        <v>0</v>
      </c>
      <c r="O251" s="1155"/>
    </row>
    <row r="252" spans="1:15" ht="13" x14ac:dyDescent="0.3">
      <c r="A252" s="1882" t="s">
        <v>363</v>
      </c>
      <c r="B252" s="1882"/>
      <c r="C252" s="1086">
        <f t="shared" ref="C252:N252" si="132">SUM(C253:C257)</f>
        <v>0</v>
      </c>
      <c r="D252" s="1086">
        <f t="shared" si="132"/>
        <v>0</v>
      </c>
      <c r="E252" s="1086">
        <f t="shared" si="132"/>
        <v>0</v>
      </c>
      <c r="F252" s="1086">
        <f t="shared" si="132"/>
        <v>0</v>
      </c>
      <c r="G252" s="1086">
        <f t="shared" si="132"/>
        <v>0</v>
      </c>
      <c r="H252" s="1086">
        <f t="shared" si="132"/>
        <v>0</v>
      </c>
      <c r="I252" s="1086">
        <f t="shared" si="132"/>
        <v>0</v>
      </c>
      <c r="J252" s="1086">
        <f t="shared" si="132"/>
        <v>0</v>
      </c>
      <c r="K252" s="1086">
        <f t="shared" si="132"/>
        <v>0</v>
      </c>
      <c r="L252" s="1086">
        <f t="shared" si="132"/>
        <v>0</v>
      </c>
      <c r="M252" s="1086">
        <f t="shared" si="132"/>
        <v>0</v>
      </c>
      <c r="N252" s="1086">
        <f t="shared" si="132"/>
        <v>0</v>
      </c>
      <c r="O252" s="1086">
        <f t="shared" ref="O252:O269" si="133">SUM(C252:N252)</f>
        <v>0</v>
      </c>
    </row>
    <row r="253" spans="1:15" ht="12.75" hidden="1" customHeight="1" x14ac:dyDescent="0.25">
      <c r="A253" s="1157" t="str">
        <f>A247</f>
        <v>Categoria A</v>
      </c>
      <c r="B253" s="1158"/>
      <c r="C253" s="1159">
        <f>$C210*VARIABLES!B141</f>
        <v>0</v>
      </c>
      <c r="D253" s="1154">
        <f>$C210*VARIABLES!C141</f>
        <v>0</v>
      </c>
      <c r="E253" s="1154">
        <f>$C210*VARIABLES!D141</f>
        <v>0</v>
      </c>
      <c r="F253" s="1154">
        <f>$C210*VARIABLES!E141</f>
        <v>0</v>
      </c>
      <c r="G253" s="1154">
        <f>$C210*VARIABLES!F141</f>
        <v>0</v>
      </c>
      <c r="H253" s="1154">
        <f>$C210*VARIABLES!G141</f>
        <v>0</v>
      </c>
      <c r="I253" s="1154">
        <f>$C210*VARIABLES!H141</f>
        <v>0</v>
      </c>
      <c r="J253" s="1154">
        <f>$C210*VARIABLES!I141</f>
        <v>0</v>
      </c>
      <c r="K253" s="1154">
        <f>$C210*VARIABLES!J141</f>
        <v>0</v>
      </c>
      <c r="L253" s="1154">
        <f>$C210*VARIABLES!K141</f>
        <v>0</v>
      </c>
      <c r="M253" s="1154">
        <f>$C210*VARIABLES!L141</f>
        <v>0</v>
      </c>
      <c r="N253" s="1160">
        <f>$C210*VARIABLES!M141</f>
        <v>0</v>
      </c>
      <c r="O253" s="1161">
        <f t="shared" si="133"/>
        <v>0</v>
      </c>
    </row>
    <row r="254" spans="1:15" ht="12.75" hidden="1" customHeight="1" x14ac:dyDescent="0.25">
      <c r="A254" s="1157" t="str">
        <f>A248</f>
        <v>Categoria B</v>
      </c>
      <c r="B254" s="1158"/>
      <c r="C254" s="1159">
        <f>$D210*VARIABLES!B141</f>
        <v>0</v>
      </c>
      <c r="D254" s="1154">
        <f>$D210*VARIABLES!C141</f>
        <v>0</v>
      </c>
      <c r="E254" s="1154">
        <f>$D210*VARIABLES!D141</f>
        <v>0</v>
      </c>
      <c r="F254" s="1154">
        <f>$D210*VARIABLES!E141</f>
        <v>0</v>
      </c>
      <c r="G254" s="1154">
        <f>$D210*VARIABLES!F141</f>
        <v>0</v>
      </c>
      <c r="H254" s="1154">
        <f>$D210*VARIABLES!G141</f>
        <v>0</v>
      </c>
      <c r="I254" s="1154">
        <f>$D210*VARIABLES!H141</f>
        <v>0</v>
      </c>
      <c r="J254" s="1154">
        <f>$D210*VARIABLES!I141</f>
        <v>0</v>
      </c>
      <c r="K254" s="1154">
        <f>$D210*VARIABLES!J141</f>
        <v>0</v>
      </c>
      <c r="L254" s="1154">
        <f>$D210*VARIABLES!K141</f>
        <v>0</v>
      </c>
      <c r="M254" s="1154">
        <f>$D210*VARIABLES!L141</f>
        <v>0</v>
      </c>
      <c r="N254" s="1160">
        <f>$D210*VARIABLES!M141</f>
        <v>0</v>
      </c>
      <c r="O254" s="1161">
        <f t="shared" si="133"/>
        <v>0</v>
      </c>
    </row>
    <row r="255" spans="1:15" ht="12.75" hidden="1" customHeight="1" x14ac:dyDescent="0.25">
      <c r="A255" s="1157" t="str">
        <f>A249</f>
        <v>Categoria C</v>
      </c>
      <c r="B255" s="1158"/>
      <c r="C255" s="1159">
        <f>$E210*VARIABLES!B141</f>
        <v>0</v>
      </c>
      <c r="D255" s="1154">
        <f>$E210*VARIABLES!C141</f>
        <v>0</v>
      </c>
      <c r="E255" s="1154">
        <f>$E210*VARIABLES!D141</f>
        <v>0</v>
      </c>
      <c r="F255" s="1154">
        <f>$E210*VARIABLES!E141</f>
        <v>0</v>
      </c>
      <c r="G255" s="1154">
        <f>$E210*VARIABLES!F141</f>
        <v>0</v>
      </c>
      <c r="H255" s="1154">
        <f>$E210*VARIABLES!G141</f>
        <v>0</v>
      </c>
      <c r="I255" s="1154">
        <f>$E210*VARIABLES!H141</f>
        <v>0</v>
      </c>
      <c r="J255" s="1154">
        <f>$E210*VARIABLES!I141</f>
        <v>0</v>
      </c>
      <c r="K255" s="1154">
        <f>$E210*VARIABLES!J141</f>
        <v>0</v>
      </c>
      <c r="L255" s="1154">
        <f>$E210*VARIABLES!K141</f>
        <v>0</v>
      </c>
      <c r="M255" s="1154">
        <f>$E210*VARIABLES!L141</f>
        <v>0</v>
      </c>
      <c r="N255" s="1160">
        <f>$E210*VARIABLES!M141</f>
        <v>0</v>
      </c>
      <c r="O255" s="1161">
        <f t="shared" si="133"/>
        <v>0</v>
      </c>
    </row>
    <row r="256" spans="1:15" ht="12.75" hidden="1" customHeight="1" x14ac:dyDescent="0.25">
      <c r="A256" s="1157" t="str">
        <f>A250</f>
        <v>Categoria D</v>
      </c>
      <c r="B256" s="1158"/>
      <c r="C256" s="1159">
        <f>$F210*VARIABLES!B141</f>
        <v>0</v>
      </c>
      <c r="D256" s="1154">
        <f>$F210*VARIABLES!C141</f>
        <v>0</v>
      </c>
      <c r="E256" s="1154">
        <f>$F210*VARIABLES!D141</f>
        <v>0</v>
      </c>
      <c r="F256" s="1154">
        <f>$F210*VARIABLES!E141</f>
        <v>0</v>
      </c>
      <c r="G256" s="1154">
        <f>$F210*VARIABLES!F141</f>
        <v>0</v>
      </c>
      <c r="H256" s="1154">
        <f>$F210*VARIABLES!G141</f>
        <v>0</v>
      </c>
      <c r="I256" s="1154">
        <f>$F210*VARIABLES!H141</f>
        <v>0</v>
      </c>
      <c r="J256" s="1154">
        <f>$F210*VARIABLES!I141</f>
        <v>0</v>
      </c>
      <c r="K256" s="1154">
        <f>$F210*VARIABLES!J141</f>
        <v>0</v>
      </c>
      <c r="L256" s="1154">
        <f>$F210*VARIABLES!K141</f>
        <v>0</v>
      </c>
      <c r="M256" s="1154">
        <f>$F210*VARIABLES!L141</f>
        <v>0</v>
      </c>
      <c r="N256" s="1160">
        <f>$F210*VARIABLES!M141</f>
        <v>0</v>
      </c>
      <c r="O256" s="1161">
        <f t="shared" si="133"/>
        <v>0</v>
      </c>
    </row>
    <row r="257" spans="1:15" ht="12.75" hidden="1" customHeight="1" x14ac:dyDescent="0.25">
      <c r="A257" s="1157" t="str">
        <f>A251</f>
        <v>Categoria E</v>
      </c>
      <c r="B257" s="1158"/>
      <c r="C257" s="1159">
        <f>$G210*VARIABLES!B141</f>
        <v>0</v>
      </c>
      <c r="D257" s="1154">
        <f>$G210*VARIABLES!C141</f>
        <v>0</v>
      </c>
      <c r="E257" s="1154">
        <f>$G210*VARIABLES!D141</f>
        <v>0</v>
      </c>
      <c r="F257" s="1154">
        <f>$G210*VARIABLES!E141</f>
        <v>0</v>
      </c>
      <c r="G257" s="1154">
        <f>$G210*VARIABLES!F141</f>
        <v>0</v>
      </c>
      <c r="H257" s="1154">
        <f>$G210*VARIABLES!G141</f>
        <v>0</v>
      </c>
      <c r="I257" s="1154">
        <f>$G210*VARIABLES!H141</f>
        <v>0</v>
      </c>
      <c r="J257" s="1154">
        <f>$G210*VARIABLES!I141</f>
        <v>0</v>
      </c>
      <c r="K257" s="1154">
        <f>$G210*VARIABLES!J141</f>
        <v>0</v>
      </c>
      <c r="L257" s="1154">
        <f>$G210*VARIABLES!K141</f>
        <v>0</v>
      </c>
      <c r="M257" s="1154">
        <f>$G210*VARIABLES!L141</f>
        <v>0</v>
      </c>
      <c r="N257" s="1160">
        <f>$G210*VARIABLES!M141</f>
        <v>0</v>
      </c>
      <c r="O257" s="1161">
        <f t="shared" si="133"/>
        <v>0</v>
      </c>
    </row>
    <row r="258" spans="1:15" ht="13" x14ac:dyDescent="0.3">
      <c r="A258" s="1889" t="s">
        <v>378</v>
      </c>
      <c r="B258" s="1889"/>
      <c r="C258" s="1081">
        <f>SUM(C259:C263)</f>
        <v>0</v>
      </c>
      <c r="D258" s="1081">
        <f t="shared" ref="D258:N258" si="134">SUM(D259:D263)</f>
        <v>0</v>
      </c>
      <c r="E258" s="1081">
        <f t="shared" si="134"/>
        <v>0</v>
      </c>
      <c r="F258" s="1081">
        <f t="shared" si="134"/>
        <v>0</v>
      </c>
      <c r="G258" s="1081">
        <f t="shared" si="134"/>
        <v>0</v>
      </c>
      <c r="H258" s="1081">
        <f t="shared" si="134"/>
        <v>0</v>
      </c>
      <c r="I258" s="1081">
        <f t="shared" si="134"/>
        <v>0</v>
      </c>
      <c r="J258" s="1081">
        <f t="shared" si="134"/>
        <v>0</v>
      </c>
      <c r="K258" s="1081">
        <f t="shared" si="134"/>
        <v>0</v>
      </c>
      <c r="L258" s="1081">
        <f t="shared" si="134"/>
        <v>0</v>
      </c>
      <c r="M258" s="1081">
        <f t="shared" si="134"/>
        <v>0</v>
      </c>
      <c r="N258" s="1081">
        <f t="shared" si="134"/>
        <v>0</v>
      </c>
      <c r="O258" s="1081">
        <f t="shared" si="133"/>
        <v>0</v>
      </c>
    </row>
    <row r="259" spans="1:15" ht="12.75" hidden="1" customHeight="1" x14ac:dyDescent="0.25">
      <c r="A259" s="1156" t="s">
        <v>208</v>
      </c>
      <c r="B259" s="1156"/>
      <c r="C259" s="1154">
        <f>IF(C229=0,0,$C$219)</f>
        <v>0</v>
      </c>
      <c r="D259" s="1154">
        <f t="shared" ref="D259:N259" si="135">IF(D229=0,0,$C$219)</f>
        <v>0</v>
      </c>
      <c r="E259" s="1154">
        <f t="shared" si="135"/>
        <v>0</v>
      </c>
      <c r="F259" s="1154">
        <f t="shared" si="135"/>
        <v>0</v>
      </c>
      <c r="G259" s="1154">
        <f t="shared" si="135"/>
        <v>0</v>
      </c>
      <c r="H259" s="1154">
        <f t="shared" si="135"/>
        <v>0</v>
      </c>
      <c r="I259" s="1154">
        <f t="shared" si="135"/>
        <v>0</v>
      </c>
      <c r="J259" s="1154">
        <f t="shared" si="135"/>
        <v>0</v>
      </c>
      <c r="K259" s="1154">
        <f t="shared" si="135"/>
        <v>0</v>
      </c>
      <c r="L259" s="1154">
        <f t="shared" si="135"/>
        <v>0</v>
      </c>
      <c r="M259" s="1154">
        <f t="shared" si="135"/>
        <v>0</v>
      </c>
      <c r="N259" s="1154">
        <f t="shared" si="135"/>
        <v>0</v>
      </c>
      <c r="O259" s="1154">
        <f t="shared" si="133"/>
        <v>0</v>
      </c>
    </row>
    <row r="260" spans="1:15" ht="12.75" hidden="1" customHeight="1" x14ac:dyDescent="0.25">
      <c r="A260" s="1156" t="s">
        <v>209</v>
      </c>
      <c r="B260" s="1156"/>
      <c r="C260" s="1154">
        <f>IF(C230=0,0,$D$219)</f>
        <v>0</v>
      </c>
      <c r="D260" s="1154">
        <f t="shared" ref="D260:N260" si="136">IF(D230=0,0,$D$219)</f>
        <v>0</v>
      </c>
      <c r="E260" s="1154">
        <f t="shared" si="136"/>
        <v>0</v>
      </c>
      <c r="F260" s="1154">
        <f t="shared" si="136"/>
        <v>0</v>
      </c>
      <c r="G260" s="1154">
        <f t="shared" si="136"/>
        <v>0</v>
      </c>
      <c r="H260" s="1154">
        <f t="shared" si="136"/>
        <v>0</v>
      </c>
      <c r="I260" s="1154">
        <f t="shared" si="136"/>
        <v>0</v>
      </c>
      <c r="J260" s="1154">
        <f t="shared" si="136"/>
        <v>0</v>
      </c>
      <c r="K260" s="1154">
        <f t="shared" si="136"/>
        <v>0</v>
      </c>
      <c r="L260" s="1154">
        <f t="shared" si="136"/>
        <v>0</v>
      </c>
      <c r="M260" s="1154">
        <f t="shared" si="136"/>
        <v>0</v>
      </c>
      <c r="N260" s="1154">
        <f t="shared" si="136"/>
        <v>0</v>
      </c>
      <c r="O260" s="1154">
        <f t="shared" si="133"/>
        <v>0</v>
      </c>
    </row>
    <row r="261" spans="1:15" ht="12.75" hidden="1" customHeight="1" x14ac:dyDescent="0.25">
      <c r="A261" s="1156" t="s">
        <v>219</v>
      </c>
      <c r="B261" s="1156"/>
      <c r="C261" s="1154">
        <f>IF(C231=0,0,$E$219)</f>
        <v>0</v>
      </c>
      <c r="D261" s="1154">
        <f t="shared" ref="D261:N261" si="137">IF(D231=0,0,$E$219)</f>
        <v>0</v>
      </c>
      <c r="E261" s="1154">
        <f t="shared" si="137"/>
        <v>0</v>
      </c>
      <c r="F261" s="1154">
        <f t="shared" si="137"/>
        <v>0</v>
      </c>
      <c r="G261" s="1154">
        <f t="shared" si="137"/>
        <v>0</v>
      </c>
      <c r="H261" s="1154">
        <f t="shared" si="137"/>
        <v>0</v>
      </c>
      <c r="I261" s="1154">
        <f t="shared" si="137"/>
        <v>0</v>
      </c>
      <c r="J261" s="1154">
        <f t="shared" si="137"/>
        <v>0</v>
      </c>
      <c r="K261" s="1154">
        <f t="shared" si="137"/>
        <v>0</v>
      </c>
      <c r="L261" s="1154">
        <f t="shared" si="137"/>
        <v>0</v>
      </c>
      <c r="M261" s="1154">
        <f t="shared" si="137"/>
        <v>0</v>
      </c>
      <c r="N261" s="1154">
        <f t="shared" si="137"/>
        <v>0</v>
      </c>
      <c r="O261" s="1154">
        <f t="shared" si="133"/>
        <v>0</v>
      </c>
    </row>
    <row r="262" spans="1:15" ht="12.75" hidden="1" customHeight="1" x14ac:dyDescent="0.25">
      <c r="A262" s="1156" t="s">
        <v>220</v>
      </c>
      <c r="B262" s="1156"/>
      <c r="C262" s="1154">
        <f>IF(C232=0,0,$F$219)</f>
        <v>0</v>
      </c>
      <c r="D262" s="1154">
        <f t="shared" ref="D262:N262" si="138">IF(D232=0,0,$F$219)</f>
        <v>0</v>
      </c>
      <c r="E262" s="1154">
        <f t="shared" si="138"/>
        <v>0</v>
      </c>
      <c r="F262" s="1154">
        <f t="shared" si="138"/>
        <v>0</v>
      </c>
      <c r="G262" s="1154">
        <f t="shared" si="138"/>
        <v>0</v>
      </c>
      <c r="H262" s="1154">
        <f t="shared" si="138"/>
        <v>0</v>
      </c>
      <c r="I262" s="1154">
        <f t="shared" si="138"/>
        <v>0</v>
      </c>
      <c r="J262" s="1154">
        <f t="shared" si="138"/>
        <v>0</v>
      </c>
      <c r="K262" s="1154">
        <f t="shared" si="138"/>
        <v>0</v>
      </c>
      <c r="L262" s="1154">
        <f t="shared" si="138"/>
        <v>0</v>
      </c>
      <c r="M262" s="1154">
        <f t="shared" si="138"/>
        <v>0</v>
      </c>
      <c r="N262" s="1154">
        <f t="shared" si="138"/>
        <v>0</v>
      </c>
      <c r="O262" s="1154">
        <f t="shared" si="133"/>
        <v>0</v>
      </c>
    </row>
    <row r="263" spans="1:15" ht="12.75" hidden="1" customHeight="1" x14ac:dyDescent="0.25">
      <c r="A263" s="1156" t="s">
        <v>221</v>
      </c>
      <c r="B263" s="1156"/>
      <c r="C263" s="1154">
        <f>IF(C233=0,0,$G$219)</f>
        <v>0</v>
      </c>
      <c r="D263" s="1154">
        <f t="shared" ref="D263:N263" si="139">IF(D233=0,0,$G$219)</f>
        <v>0</v>
      </c>
      <c r="E263" s="1154">
        <f t="shared" si="139"/>
        <v>0</v>
      </c>
      <c r="F263" s="1154">
        <f t="shared" si="139"/>
        <v>0</v>
      </c>
      <c r="G263" s="1154">
        <f t="shared" si="139"/>
        <v>0</v>
      </c>
      <c r="H263" s="1154">
        <f t="shared" si="139"/>
        <v>0</v>
      </c>
      <c r="I263" s="1154">
        <f t="shared" si="139"/>
        <v>0</v>
      </c>
      <c r="J263" s="1154">
        <f t="shared" si="139"/>
        <v>0</v>
      </c>
      <c r="K263" s="1154">
        <f t="shared" si="139"/>
        <v>0</v>
      </c>
      <c r="L263" s="1154">
        <f t="shared" si="139"/>
        <v>0</v>
      </c>
      <c r="M263" s="1154">
        <f t="shared" si="139"/>
        <v>0</v>
      </c>
      <c r="N263" s="1154">
        <f t="shared" si="139"/>
        <v>0</v>
      </c>
      <c r="O263" s="1154">
        <f t="shared" si="133"/>
        <v>0</v>
      </c>
    </row>
    <row r="264" spans="1:15" ht="13" x14ac:dyDescent="0.3">
      <c r="A264" s="1892" t="s">
        <v>379</v>
      </c>
      <c r="B264" s="1892"/>
      <c r="C264" s="1086">
        <f>SUM(C265:C269)</f>
        <v>0</v>
      </c>
      <c r="D264" s="1086">
        <f t="shared" ref="D264:N264" si="140">SUM(D265:D269)</f>
        <v>0</v>
      </c>
      <c r="E264" s="1086">
        <f t="shared" si="140"/>
        <v>0</v>
      </c>
      <c r="F264" s="1086">
        <f t="shared" si="140"/>
        <v>0</v>
      </c>
      <c r="G264" s="1086">
        <f t="shared" si="140"/>
        <v>0</v>
      </c>
      <c r="H264" s="1086">
        <f t="shared" si="140"/>
        <v>0</v>
      </c>
      <c r="I264" s="1086">
        <f t="shared" si="140"/>
        <v>0</v>
      </c>
      <c r="J264" s="1086">
        <f t="shared" si="140"/>
        <v>0</v>
      </c>
      <c r="K264" s="1086">
        <f t="shared" si="140"/>
        <v>0</v>
      </c>
      <c r="L264" s="1086">
        <f t="shared" si="140"/>
        <v>0</v>
      </c>
      <c r="M264" s="1086">
        <f t="shared" si="140"/>
        <v>0</v>
      </c>
      <c r="N264" s="1086">
        <f t="shared" si="140"/>
        <v>0</v>
      </c>
      <c r="O264" s="1086">
        <f t="shared" si="133"/>
        <v>0</v>
      </c>
    </row>
    <row r="265" spans="1:15" ht="12.75" hidden="1" customHeight="1" x14ac:dyDescent="0.25">
      <c r="A265" s="1157" t="s">
        <v>208</v>
      </c>
      <c r="B265" s="1158"/>
      <c r="C265" s="1159">
        <f>IF(C259=0,0,$C$220)</f>
        <v>0</v>
      </c>
      <c r="D265" s="1154">
        <f t="shared" ref="D265:N265" si="141">IF(D259=0,0,$C$220)</f>
        <v>0</v>
      </c>
      <c r="E265" s="1154">
        <f t="shared" si="141"/>
        <v>0</v>
      </c>
      <c r="F265" s="1154">
        <f t="shared" si="141"/>
        <v>0</v>
      </c>
      <c r="G265" s="1154">
        <f t="shared" si="141"/>
        <v>0</v>
      </c>
      <c r="H265" s="1154">
        <f t="shared" si="141"/>
        <v>0</v>
      </c>
      <c r="I265" s="1154">
        <f t="shared" si="141"/>
        <v>0</v>
      </c>
      <c r="J265" s="1154">
        <f t="shared" si="141"/>
        <v>0</v>
      </c>
      <c r="K265" s="1154">
        <f t="shared" si="141"/>
        <v>0</v>
      </c>
      <c r="L265" s="1154">
        <f t="shared" si="141"/>
        <v>0</v>
      </c>
      <c r="M265" s="1154">
        <f t="shared" si="141"/>
        <v>0</v>
      </c>
      <c r="N265" s="1160">
        <f t="shared" si="141"/>
        <v>0</v>
      </c>
      <c r="O265" s="1161">
        <f t="shared" si="133"/>
        <v>0</v>
      </c>
    </row>
    <row r="266" spans="1:15" ht="12.75" hidden="1" customHeight="1" x14ac:dyDescent="0.25">
      <c r="A266" s="1157" t="s">
        <v>209</v>
      </c>
      <c r="B266" s="1158"/>
      <c r="C266" s="1159">
        <f>IF(C260=0,0,$D$220)</f>
        <v>0</v>
      </c>
      <c r="D266" s="1154">
        <f t="shared" ref="D266:N266" si="142">IF(D260=0,0,$D$220)</f>
        <v>0</v>
      </c>
      <c r="E266" s="1154">
        <f t="shared" si="142"/>
        <v>0</v>
      </c>
      <c r="F266" s="1154">
        <f t="shared" si="142"/>
        <v>0</v>
      </c>
      <c r="G266" s="1154">
        <f t="shared" si="142"/>
        <v>0</v>
      </c>
      <c r="H266" s="1154">
        <f t="shared" si="142"/>
        <v>0</v>
      </c>
      <c r="I266" s="1154">
        <f t="shared" si="142"/>
        <v>0</v>
      </c>
      <c r="J266" s="1154">
        <f t="shared" si="142"/>
        <v>0</v>
      </c>
      <c r="K266" s="1154">
        <f t="shared" si="142"/>
        <v>0</v>
      </c>
      <c r="L266" s="1154">
        <f t="shared" si="142"/>
        <v>0</v>
      </c>
      <c r="M266" s="1154">
        <f t="shared" si="142"/>
        <v>0</v>
      </c>
      <c r="N266" s="1160">
        <f t="shared" si="142"/>
        <v>0</v>
      </c>
      <c r="O266" s="1161">
        <f t="shared" si="133"/>
        <v>0</v>
      </c>
    </row>
    <row r="267" spans="1:15" ht="12.75" hidden="1" customHeight="1" x14ac:dyDescent="0.25">
      <c r="A267" s="1157" t="s">
        <v>219</v>
      </c>
      <c r="B267" s="1158"/>
      <c r="C267" s="1159">
        <f>IF(C261=0,0,$E$220)</f>
        <v>0</v>
      </c>
      <c r="D267" s="1154">
        <f t="shared" ref="D267:N267" si="143">IF(D261=0,0,$E$220)</f>
        <v>0</v>
      </c>
      <c r="E267" s="1154">
        <f t="shared" si="143"/>
        <v>0</v>
      </c>
      <c r="F267" s="1154">
        <f t="shared" si="143"/>
        <v>0</v>
      </c>
      <c r="G267" s="1154">
        <f t="shared" si="143"/>
        <v>0</v>
      </c>
      <c r="H267" s="1154">
        <f t="shared" si="143"/>
        <v>0</v>
      </c>
      <c r="I267" s="1154">
        <f t="shared" si="143"/>
        <v>0</v>
      </c>
      <c r="J267" s="1154">
        <f t="shared" si="143"/>
        <v>0</v>
      </c>
      <c r="K267" s="1154">
        <f t="shared" si="143"/>
        <v>0</v>
      </c>
      <c r="L267" s="1154">
        <f t="shared" si="143"/>
        <v>0</v>
      </c>
      <c r="M267" s="1154">
        <f t="shared" si="143"/>
        <v>0</v>
      </c>
      <c r="N267" s="1160">
        <f t="shared" si="143"/>
        <v>0</v>
      </c>
      <c r="O267" s="1161">
        <f t="shared" si="133"/>
        <v>0</v>
      </c>
    </row>
    <row r="268" spans="1:15" ht="12.75" hidden="1" customHeight="1" x14ac:dyDescent="0.25">
      <c r="A268" s="1157" t="s">
        <v>220</v>
      </c>
      <c r="B268" s="1158"/>
      <c r="C268" s="1159">
        <f>IF(C262=0,0,$F$220)</f>
        <v>0</v>
      </c>
      <c r="D268" s="1154">
        <f t="shared" ref="D268:N268" si="144">IF(D262=0,0,$F$220)</f>
        <v>0</v>
      </c>
      <c r="E268" s="1154">
        <f t="shared" si="144"/>
        <v>0</v>
      </c>
      <c r="F268" s="1154">
        <f t="shared" si="144"/>
        <v>0</v>
      </c>
      <c r="G268" s="1154">
        <f t="shared" si="144"/>
        <v>0</v>
      </c>
      <c r="H268" s="1154">
        <f t="shared" si="144"/>
        <v>0</v>
      </c>
      <c r="I268" s="1154">
        <f t="shared" si="144"/>
        <v>0</v>
      </c>
      <c r="J268" s="1154">
        <f t="shared" si="144"/>
        <v>0</v>
      </c>
      <c r="K268" s="1154">
        <f t="shared" si="144"/>
        <v>0</v>
      </c>
      <c r="L268" s="1154">
        <f t="shared" si="144"/>
        <v>0</v>
      </c>
      <c r="M268" s="1154">
        <f t="shared" si="144"/>
        <v>0</v>
      </c>
      <c r="N268" s="1160">
        <f t="shared" si="144"/>
        <v>0</v>
      </c>
      <c r="O268" s="1161">
        <f t="shared" si="133"/>
        <v>0</v>
      </c>
    </row>
    <row r="269" spans="1:15" ht="12.75" hidden="1" customHeight="1" x14ac:dyDescent="0.25">
      <c r="A269" s="1157" t="s">
        <v>221</v>
      </c>
      <c r="B269" s="1158"/>
      <c r="C269" s="1159">
        <f>IF(C263=0,0,$G$220)</f>
        <v>0</v>
      </c>
      <c r="D269" s="1154">
        <f t="shared" ref="D269:N269" si="145">IF(D263=0,0,$G$220)</f>
        <v>0</v>
      </c>
      <c r="E269" s="1154">
        <f t="shared" si="145"/>
        <v>0</v>
      </c>
      <c r="F269" s="1154">
        <f t="shared" si="145"/>
        <v>0</v>
      </c>
      <c r="G269" s="1154">
        <f t="shared" si="145"/>
        <v>0</v>
      </c>
      <c r="H269" s="1154">
        <f t="shared" si="145"/>
        <v>0</v>
      </c>
      <c r="I269" s="1154">
        <f t="shared" si="145"/>
        <v>0</v>
      </c>
      <c r="J269" s="1154">
        <f t="shared" si="145"/>
        <v>0</v>
      </c>
      <c r="K269" s="1154">
        <f t="shared" si="145"/>
        <v>0</v>
      </c>
      <c r="L269" s="1154">
        <f t="shared" si="145"/>
        <v>0</v>
      </c>
      <c r="M269" s="1154">
        <f t="shared" si="145"/>
        <v>0</v>
      </c>
      <c r="N269" s="1160">
        <f t="shared" si="145"/>
        <v>0</v>
      </c>
      <c r="O269" s="1161">
        <f t="shared" si="133"/>
        <v>0</v>
      </c>
    </row>
    <row r="270" spans="1:15" ht="13" x14ac:dyDescent="0.3">
      <c r="A270" s="1781" t="s">
        <v>365</v>
      </c>
      <c r="B270" s="1781"/>
      <c r="C270" s="1096">
        <f>C258+C227</f>
        <v>0</v>
      </c>
      <c r="D270" s="1096">
        <f t="shared" ref="D270:N270" si="146">D258+D227</f>
        <v>0</v>
      </c>
      <c r="E270" s="1096">
        <f t="shared" si="146"/>
        <v>0</v>
      </c>
      <c r="F270" s="1096">
        <f t="shared" si="146"/>
        <v>0</v>
      </c>
      <c r="G270" s="1096">
        <f t="shared" si="146"/>
        <v>0</v>
      </c>
      <c r="H270" s="1096">
        <f t="shared" si="146"/>
        <v>0</v>
      </c>
      <c r="I270" s="1096">
        <f t="shared" si="146"/>
        <v>0</v>
      </c>
      <c r="J270" s="1096">
        <f t="shared" si="146"/>
        <v>0</v>
      </c>
      <c r="K270" s="1096">
        <f t="shared" si="146"/>
        <v>0</v>
      </c>
      <c r="L270" s="1096">
        <f t="shared" si="146"/>
        <v>0</v>
      </c>
      <c r="M270" s="1096">
        <f t="shared" si="146"/>
        <v>0</v>
      </c>
      <c r="N270" s="1096">
        <f t="shared" si="146"/>
        <v>0</v>
      </c>
      <c r="O270" s="1096">
        <f>O258+O227</f>
        <v>0</v>
      </c>
    </row>
    <row r="271" spans="1:15" ht="13" x14ac:dyDescent="0.3">
      <c r="A271" s="1883" t="s">
        <v>163</v>
      </c>
      <c r="B271" s="1883"/>
      <c r="C271" s="1072">
        <f>SUM(C272:C276)</f>
        <v>0</v>
      </c>
      <c r="D271" s="1072">
        <f t="shared" ref="D271:N271" si="147">SUM(D272:D276)</f>
        <v>0</v>
      </c>
      <c r="E271" s="1072">
        <f t="shared" si="147"/>
        <v>0</v>
      </c>
      <c r="F271" s="1072">
        <f t="shared" si="147"/>
        <v>0</v>
      </c>
      <c r="G271" s="1072">
        <f t="shared" si="147"/>
        <v>0</v>
      </c>
      <c r="H271" s="1072">
        <f t="shared" si="147"/>
        <v>0</v>
      </c>
      <c r="I271" s="1072">
        <f t="shared" si="147"/>
        <v>0</v>
      </c>
      <c r="J271" s="1072">
        <f t="shared" si="147"/>
        <v>0</v>
      </c>
      <c r="K271" s="1072">
        <f t="shared" si="147"/>
        <v>0</v>
      </c>
      <c r="L271" s="1072">
        <f t="shared" si="147"/>
        <v>0</v>
      </c>
      <c r="M271" s="1072">
        <f t="shared" si="147"/>
        <v>0</v>
      </c>
      <c r="N271" s="1072">
        <f t="shared" si="147"/>
        <v>0</v>
      </c>
      <c r="O271" s="1072">
        <f>SUM(O272:O276)</f>
        <v>0</v>
      </c>
    </row>
    <row r="272" spans="1:15" ht="12.75" hidden="1" customHeight="1" x14ac:dyDescent="0.25">
      <c r="A272" s="1157" t="s">
        <v>208</v>
      </c>
      <c r="B272" s="1158"/>
      <c r="C272" s="1159">
        <f>(C229+C247)*$C221</f>
        <v>0</v>
      </c>
      <c r="D272" s="1154">
        <f t="shared" ref="D272:I272" si="148">(D229+D247)*$C221</f>
        <v>0</v>
      </c>
      <c r="E272" s="1154">
        <f t="shared" si="148"/>
        <v>0</v>
      </c>
      <c r="F272" s="1154">
        <f t="shared" si="148"/>
        <v>0</v>
      </c>
      <c r="G272" s="1154">
        <f t="shared" si="148"/>
        <v>0</v>
      </c>
      <c r="H272" s="1154">
        <f t="shared" si="148"/>
        <v>0</v>
      </c>
      <c r="I272" s="1154">
        <f t="shared" si="148"/>
        <v>0</v>
      </c>
      <c r="J272" s="1154">
        <f>(J229+J247)*$C221</f>
        <v>0</v>
      </c>
      <c r="K272" s="1154">
        <f>(K229+K247)*$C221</f>
        <v>0</v>
      </c>
      <c r="L272" s="1154">
        <f>(L229+L247)*$C221</f>
        <v>0</v>
      </c>
      <c r="M272" s="1154">
        <f>(M229+M247)*$C221</f>
        <v>0</v>
      </c>
      <c r="N272" s="1160">
        <f>(N229+N247)*$C221</f>
        <v>0</v>
      </c>
      <c r="O272" s="1161">
        <f t="shared" ref="O272:O282" si="149">SUM(C272:N272)</f>
        <v>0</v>
      </c>
    </row>
    <row r="273" spans="1:15" ht="12.75" hidden="1" customHeight="1" x14ac:dyDescent="0.25">
      <c r="A273" s="1157" t="s">
        <v>209</v>
      </c>
      <c r="B273" s="1158"/>
      <c r="C273" s="1159">
        <f>(C230+C248)*$D221</f>
        <v>0</v>
      </c>
      <c r="D273" s="1154">
        <f t="shared" ref="D273:I273" si="150">(D230+D248)*$D221</f>
        <v>0</v>
      </c>
      <c r="E273" s="1154">
        <f t="shared" si="150"/>
        <v>0</v>
      </c>
      <c r="F273" s="1154">
        <f t="shared" si="150"/>
        <v>0</v>
      </c>
      <c r="G273" s="1154">
        <f t="shared" si="150"/>
        <v>0</v>
      </c>
      <c r="H273" s="1154">
        <f t="shared" si="150"/>
        <v>0</v>
      </c>
      <c r="I273" s="1154">
        <f t="shared" si="150"/>
        <v>0</v>
      </c>
      <c r="J273" s="1154">
        <f>(J230+J248)*$D221</f>
        <v>0</v>
      </c>
      <c r="K273" s="1154">
        <f>(K230+K248)*$D221</f>
        <v>0</v>
      </c>
      <c r="L273" s="1154">
        <f>(L230+L248)*$D221</f>
        <v>0</v>
      </c>
      <c r="M273" s="1154">
        <f>(M230+M248)*$D221</f>
        <v>0</v>
      </c>
      <c r="N273" s="1160">
        <f>(N230+N248)*$D221</f>
        <v>0</v>
      </c>
      <c r="O273" s="1161">
        <f t="shared" si="149"/>
        <v>0</v>
      </c>
    </row>
    <row r="274" spans="1:15" ht="12.75" hidden="1" customHeight="1" x14ac:dyDescent="0.25">
      <c r="A274" s="1157" t="s">
        <v>219</v>
      </c>
      <c r="B274" s="1158"/>
      <c r="C274" s="1159">
        <f>(C231+C249)*$E221</f>
        <v>0</v>
      </c>
      <c r="D274" s="1154">
        <f t="shared" ref="D274:I274" si="151">(D231+D249)*$E221</f>
        <v>0</v>
      </c>
      <c r="E274" s="1154">
        <f t="shared" si="151"/>
        <v>0</v>
      </c>
      <c r="F274" s="1154">
        <f t="shared" si="151"/>
        <v>0</v>
      </c>
      <c r="G274" s="1154">
        <f t="shared" si="151"/>
        <v>0</v>
      </c>
      <c r="H274" s="1154">
        <f t="shared" si="151"/>
        <v>0</v>
      </c>
      <c r="I274" s="1154">
        <f t="shared" si="151"/>
        <v>0</v>
      </c>
      <c r="J274" s="1154">
        <f>(J231+J249)*$E221</f>
        <v>0</v>
      </c>
      <c r="K274" s="1154">
        <f>(K231+K249)*$E221</f>
        <v>0</v>
      </c>
      <c r="L274" s="1154">
        <f>(L231+L249)*$E221</f>
        <v>0</v>
      </c>
      <c r="M274" s="1154">
        <f>(M231+M249)*$E221</f>
        <v>0</v>
      </c>
      <c r="N274" s="1160">
        <f>(N231+N249)*$E221</f>
        <v>0</v>
      </c>
      <c r="O274" s="1161">
        <f t="shared" si="149"/>
        <v>0</v>
      </c>
    </row>
    <row r="275" spans="1:15" ht="12.75" hidden="1" customHeight="1" x14ac:dyDescent="0.25">
      <c r="A275" s="1157" t="s">
        <v>220</v>
      </c>
      <c r="B275" s="1158"/>
      <c r="C275" s="1159">
        <f>(C232+C250)*$F221</f>
        <v>0</v>
      </c>
      <c r="D275" s="1154">
        <f t="shared" ref="D275:I275" si="152">(D232+D250)*$F221</f>
        <v>0</v>
      </c>
      <c r="E275" s="1154">
        <f t="shared" si="152"/>
        <v>0</v>
      </c>
      <c r="F275" s="1154">
        <f t="shared" si="152"/>
        <v>0</v>
      </c>
      <c r="G275" s="1154">
        <f t="shared" si="152"/>
        <v>0</v>
      </c>
      <c r="H275" s="1154">
        <f t="shared" si="152"/>
        <v>0</v>
      </c>
      <c r="I275" s="1154">
        <f t="shared" si="152"/>
        <v>0</v>
      </c>
      <c r="J275" s="1154">
        <f>(J232+J250)*$F221</f>
        <v>0</v>
      </c>
      <c r="K275" s="1154">
        <f>(K232+K250)*$F221</f>
        <v>0</v>
      </c>
      <c r="L275" s="1154">
        <f>(L232+L250)*$F221</f>
        <v>0</v>
      </c>
      <c r="M275" s="1154">
        <f>(M232+M250)*$F221</f>
        <v>0</v>
      </c>
      <c r="N275" s="1160">
        <f>(N232+N250)*$F221</f>
        <v>0</v>
      </c>
      <c r="O275" s="1161">
        <f t="shared" si="149"/>
        <v>0</v>
      </c>
    </row>
    <row r="276" spans="1:15" ht="12.75" hidden="1" customHeight="1" x14ac:dyDescent="0.25">
      <c r="A276" s="1157" t="s">
        <v>221</v>
      </c>
      <c r="B276" s="1158"/>
      <c r="C276" s="1159">
        <f>(C233+C251)*$G221</f>
        <v>0</v>
      </c>
      <c r="D276" s="1154">
        <f t="shared" ref="D276:I276" si="153">(D233+D251)*$G221</f>
        <v>0</v>
      </c>
      <c r="E276" s="1154">
        <f t="shared" si="153"/>
        <v>0</v>
      </c>
      <c r="F276" s="1154">
        <f t="shared" si="153"/>
        <v>0</v>
      </c>
      <c r="G276" s="1154">
        <f t="shared" si="153"/>
        <v>0</v>
      </c>
      <c r="H276" s="1154">
        <f t="shared" si="153"/>
        <v>0</v>
      </c>
      <c r="I276" s="1154">
        <f t="shared" si="153"/>
        <v>0</v>
      </c>
      <c r="J276" s="1154">
        <f>(J233+J251)*$G221</f>
        <v>0</v>
      </c>
      <c r="K276" s="1154">
        <f>(K233+K251)*$G221</f>
        <v>0</v>
      </c>
      <c r="L276" s="1154">
        <f>(L233+L251)*$G221</f>
        <v>0</v>
      </c>
      <c r="M276" s="1154">
        <f>(M233+M251)*$G221</f>
        <v>0</v>
      </c>
      <c r="N276" s="1160">
        <f>(N233+N251)*$G221</f>
        <v>0</v>
      </c>
      <c r="O276" s="1161">
        <f t="shared" si="149"/>
        <v>0</v>
      </c>
    </row>
    <row r="277" spans="1:15" ht="13" x14ac:dyDescent="0.3">
      <c r="A277" s="1884" t="s">
        <v>366</v>
      </c>
      <c r="B277" s="1884"/>
      <c r="C277" s="1097">
        <f t="shared" ref="C277:N277" si="154">SUM(C278:C282)</f>
        <v>0</v>
      </c>
      <c r="D277" s="1097">
        <f t="shared" si="154"/>
        <v>0</v>
      </c>
      <c r="E277" s="1097">
        <f t="shared" si="154"/>
        <v>0</v>
      </c>
      <c r="F277" s="1097">
        <f t="shared" si="154"/>
        <v>0</v>
      </c>
      <c r="G277" s="1097">
        <f t="shared" si="154"/>
        <v>0</v>
      </c>
      <c r="H277" s="1097">
        <f t="shared" si="154"/>
        <v>0</v>
      </c>
      <c r="I277" s="1097">
        <f t="shared" si="154"/>
        <v>0</v>
      </c>
      <c r="J277" s="1097">
        <f t="shared" si="154"/>
        <v>0</v>
      </c>
      <c r="K277" s="1097">
        <f t="shared" si="154"/>
        <v>0</v>
      </c>
      <c r="L277" s="1097">
        <f t="shared" si="154"/>
        <v>0</v>
      </c>
      <c r="M277" s="1097">
        <f t="shared" si="154"/>
        <v>0</v>
      </c>
      <c r="N277" s="1097">
        <f t="shared" si="154"/>
        <v>0</v>
      </c>
      <c r="O277" s="1097">
        <f t="shared" si="149"/>
        <v>0</v>
      </c>
    </row>
    <row r="278" spans="1:15" ht="12.75" hidden="1" customHeight="1" x14ac:dyDescent="0.25">
      <c r="A278" s="1162" t="s">
        <v>208</v>
      </c>
      <c r="B278" s="1163"/>
      <c r="C278" s="1159">
        <f>C229+C247+C253-C265-C272</f>
        <v>0</v>
      </c>
      <c r="D278" s="1154">
        <f t="shared" ref="D278:N282" si="155">D229+D247+D253-D265-D272</f>
        <v>0</v>
      </c>
      <c r="E278" s="1154">
        <f t="shared" si="155"/>
        <v>0</v>
      </c>
      <c r="F278" s="1154">
        <f t="shared" si="155"/>
        <v>0</v>
      </c>
      <c r="G278" s="1154">
        <f t="shared" si="155"/>
        <v>0</v>
      </c>
      <c r="H278" s="1154">
        <f t="shared" si="155"/>
        <v>0</v>
      </c>
      <c r="I278" s="1154">
        <f t="shared" si="155"/>
        <v>0</v>
      </c>
      <c r="J278" s="1154">
        <f t="shared" si="155"/>
        <v>0</v>
      </c>
      <c r="K278" s="1154">
        <f t="shared" si="155"/>
        <v>0</v>
      </c>
      <c r="L278" s="1154">
        <f t="shared" si="155"/>
        <v>0</v>
      </c>
      <c r="M278" s="1154">
        <f t="shared" si="155"/>
        <v>0</v>
      </c>
      <c r="N278" s="1160">
        <f t="shared" si="155"/>
        <v>0</v>
      </c>
      <c r="O278" s="1161">
        <f t="shared" si="149"/>
        <v>0</v>
      </c>
    </row>
    <row r="279" spans="1:15" ht="12.75" hidden="1" customHeight="1" x14ac:dyDescent="0.25">
      <c r="A279" s="1162" t="s">
        <v>209</v>
      </c>
      <c r="B279" s="1163"/>
      <c r="C279" s="1159">
        <f>C230+C248+C254-C266-C273</f>
        <v>0</v>
      </c>
      <c r="D279" s="1154">
        <f t="shared" si="155"/>
        <v>0</v>
      </c>
      <c r="E279" s="1154">
        <f t="shared" si="155"/>
        <v>0</v>
      </c>
      <c r="F279" s="1154">
        <f t="shared" si="155"/>
        <v>0</v>
      </c>
      <c r="G279" s="1154">
        <f t="shared" si="155"/>
        <v>0</v>
      </c>
      <c r="H279" s="1154">
        <f t="shared" si="155"/>
        <v>0</v>
      </c>
      <c r="I279" s="1154">
        <f t="shared" si="155"/>
        <v>0</v>
      </c>
      <c r="J279" s="1154">
        <f t="shared" si="155"/>
        <v>0</v>
      </c>
      <c r="K279" s="1154">
        <f t="shared" si="155"/>
        <v>0</v>
      </c>
      <c r="L279" s="1154">
        <f t="shared" si="155"/>
        <v>0</v>
      </c>
      <c r="M279" s="1154">
        <f t="shared" si="155"/>
        <v>0</v>
      </c>
      <c r="N279" s="1160">
        <f t="shared" si="155"/>
        <v>0</v>
      </c>
      <c r="O279" s="1161">
        <f t="shared" si="149"/>
        <v>0</v>
      </c>
    </row>
    <row r="280" spans="1:15" ht="12.75" hidden="1" customHeight="1" x14ac:dyDescent="0.25">
      <c r="A280" s="1162" t="s">
        <v>219</v>
      </c>
      <c r="B280" s="1163"/>
      <c r="C280" s="1159">
        <f>C231+C249+C255-C267-C274</f>
        <v>0</v>
      </c>
      <c r="D280" s="1154">
        <f t="shared" si="155"/>
        <v>0</v>
      </c>
      <c r="E280" s="1154">
        <f t="shared" si="155"/>
        <v>0</v>
      </c>
      <c r="F280" s="1154">
        <f t="shared" si="155"/>
        <v>0</v>
      </c>
      <c r="G280" s="1154">
        <f t="shared" si="155"/>
        <v>0</v>
      </c>
      <c r="H280" s="1154">
        <f t="shared" si="155"/>
        <v>0</v>
      </c>
      <c r="I280" s="1154">
        <f t="shared" si="155"/>
        <v>0</v>
      </c>
      <c r="J280" s="1154">
        <f t="shared" si="155"/>
        <v>0</v>
      </c>
      <c r="K280" s="1154">
        <f t="shared" si="155"/>
        <v>0</v>
      </c>
      <c r="L280" s="1154">
        <f t="shared" si="155"/>
        <v>0</v>
      </c>
      <c r="M280" s="1154">
        <f t="shared" si="155"/>
        <v>0</v>
      </c>
      <c r="N280" s="1160">
        <f t="shared" si="155"/>
        <v>0</v>
      </c>
      <c r="O280" s="1161">
        <f t="shared" si="149"/>
        <v>0</v>
      </c>
    </row>
    <row r="281" spans="1:15" ht="12.75" hidden="1" customHeight="1" x14ac:dyDescent="0.25">
      <c r="A281" s="1162" t="s">
        <v>220</v>
      </c>
      <c r="B281" s="1163"/>
      <c r="C281" s="1159">
        <f>C232+C250+C256-C268-C275</f>
        <v>0</v>
      </c>
      <c r="D281" s="1154">
        <f t="shared" si="155"/>
        <v>0</v>
      </c>
      <c r="E281" s="1154">
        <f t="shared" si="155"/>
        <v>0</v>
      </c>
      <c r="F281" s="1154">
        <f t="shared" si="155"/>
        <v>0</v>
      </c>
      <c r="G281" s="1154">
        <f t="shared" si="155"/>
        <v>0</v>
      </c>
      <c r="H281" s="1154">
        <f t="shared" si="155"/>
        <v>0</v>
      </c>
      <c r="I281" s="1154">
        <f t="shared" si="155"/>
        <v>0</v>
      </c>
      <c r="J281" s="1154">
        <f t="shared" si="155"/>
        <v>0</v>
      </c>
      <c r="K281" s="1154">
        <f t="shared" si="155"/>
        <v>0</v>
      </c>
      <c r="L281" s="1154">
        <f t="shared" si="155"/>
        <v>0</v>
      </c>
      <c r="M281" s="1154">
        <f t="shared" si="155"/>
        <v>0</v>
      </c>
      <c r="N281" s="1160">
        <f t="shared" si="155"/>
        <v>0</v>
      </c>
      <c r="O281" s="1161">
        <f t="shared" si="149"/>
        <v>0</v>
      </c>
    </row>
    <row r="282" spans="1:15" ht="12.75" hidden="1" customHeight="1" x14ac:dyDescent="0.25">
      <c r="A282" s="1162" t="s">
        <v>221</v>
      </c>
      <c r="B282" s="1163"/>
      <c r="C282" s="1159">
        <f>C233+C251+C257-C269-C276</f>
        <v>0</v>
      </c>
      <c r="D282" s="1154">
        <f t="shared" si="155"/>
        <v>0</v>
      </c>
      <c r="E282" s="1154">
        <f t="shared" si="155"/>
        <v>0</v>
      </c>
      <c r="F282" s="1154">
        <f t="shared" si="155"/>
        <v>0</v>
      </c>
      <c r="G282" s="1154">
        <f t="shared" si="155"/>
        <v>0</v>
      </c>
      <c r="H282" s="1154">
        <f t="shared" si="155"/>
        <v>0</v>
      </c>
      <c r="I282" s="1154">
        <f t="shared" si="155"/>
        <v>0</v>
      </c>
      <c r="J282" s="1154">
        <f t="shared" si="155"/>
        <v>0</v>
      </c>
      <c r="K282" s="1154">
        <f t="shared" si="155"/>
        <v>0</v>
      </c>
      <c r="L282" s="1154">
        <f t="shared" si="155"/>
        <v>0</v>
      </c>
      <c r="M282" s="1154">
        <f t="shared" si="155"/>
        <v>0</v>
      </c>
      <c r="N282" s="1160">
        <f t="shared" si="155"/>
        <v>0</v>
      </c>
      <c r="O282" s="1161">
        <f t="shared" si="149"/>
        <v>0</v>
      </c>
    </row>
    <row r="283" spans="1:15" ht="13" x14ac:dyDescent="0.3">
      <c r="A283" s="1883" t="s">
        <v>367</v>
      </c>
      <c r="B283" s="1883"/>
      <c r="C283" s="15">
        <f>SUM(C284:C288)+O192</f>
        <v>0</v>
      </c>
      <c r="D283" s="15">
        <f t="shared" ref="D283:N283" si="156">SUM(D284:D288)</f>
        <v>0</v>
      </c>
      <c r="E283" s="15">
        <f t="shared" si="156"/>
        <v>0</v>
      </c>
      <c r="F283" s="15">
        <f t="shared" si="156"/>
        <v>0</v>
      </c>
      <c r="G283" s="15">
        <f t="shared" si="156"/>
        <v>0</v>
      </c>
      <c r="H283" s="15">
        <f t="shared" si="156"/>
        <v>0</v>
      </c>
      <c r="I283" s="15">
        <f t="shared" si="156"/>
        <v>0</v>
      </c>
      <c r="J283" s="15">
        <f t="shared" si="156"/>
        <v>0</v>
      </c>
      <c r="K283" s="15">
        <f t="shared" si="156"/>
        <v>0</v>
      </c>
      <c r="L283" s="15">
        <f t="shared" si="156"/>
        <v>0</v>
      </c>
      <c r="M283" s="15">
        <f t="shared" si="156"/>
        <v>0</v>
      </c>
      <c r="N283" s="15">
        <f t="shared" si="156"/>
        <v>0</v>
      </c>
      <c r="O283" s="15">
        <f t="shared" ref="O283:O288" si="157">SUM(C283:N283)</f>
        <v>0</v>
      </c>
    </row>
    <row r="284" spans="1:15" ht="12.75" hidden="1" customHeight="1" x14ac:dyDescent="0.25">
      <c r="A284" s="1162" t="s">
        <v>208</v>
      </c>
      <c r="B284" s="1163"/>
      <c r="C284" s="1159">
        <f>IF(C$226=$C$200,C278,0)</f>
        <v>0</v>
      </c>
      <c r="D284" s="1154">
        <f>IF(D$226=$C$200,D278,0)+IF(C284=0,0,D278)</f>
        <v>0</v>
      </c>
      <c r="E284" s="1154">
        <f t="shared" ref="E284:N284" si="158">IF(E$226=$C$200,E278,0)+IF(D284=0,0,E278)</f>
        <v>0</v>
      </c>
      <c r="F284" s="1154">
        <f t="shared" si="158"/>
        <v>0</v>
      </c>
      <c r="G284" s="1154">
        <f t="shared" si="158"/>
        <v>0</v>
      </c>
      <c r="H284" s="1154">
        <f t="shared" si="158"/>
        <v>0</v>
      </c>
      <c r="I284" s="1154">
        <f t="shared" si="158"/>
        <v>0</v>
      </c>
      <c r="J284" s="1154">
        <f t="shared" si="158"/>
        <v>0</v>
      </c>
      <c r="K284" s="1154">
        <f t="shared" si="158"/>
        <v>0</v>
      </c>
      <c r="L284" s="1154">
        <f t="shared" si="158"/>
        <v>0</v>
      </c>
      <c r="M284" s="1154">
        <f t="shared" si="158"/>
        <v>0</v>
      </c>
      <c r="N284" s="1160">
        <f t="shared" si="158"/>
        <v>0</v>
      </c>
      <c r="O284" s="1161">
        <f t="shared" si="157"/>
        <v>0</v>
      </c>
    </row>
    <row r="285" spans="1:15" ht="12.75" hidden="1" customHeight="1" x14ac:dyDescent="0.25">
      <c r="A285" s="1162" t="s">
        <v>209</v>
      </c>
      <c r="B285" s="1163"/>
      <c r="C285" s="1159">
        <f>IF(C$226=$D$200,C279,0)</f>
        <v>0</v>
      </c>
      <c r="D285" s="1154">
        <f>IF(D$226=$D$200,D279,0)+IF(C285=0,0,D279)</f>
        <v>0</v>
      </c>
      <c r="E285" s="1154">
        <f t="shared" ref="E285:N285" si="159">IF(E$226=$D$200,E279,0)+IF(D285=0,0,E279)</f>
        <v>0</v>
      </c>
      <c r="F285" s="1154">
        <f t="shared" si="159"/>
        <v>0</v>
      </c>
      <c r="G285" s="1154">
        <f t="shared" si="159"/>
        <v>0</v>
      </c>
      <c r="H285" s="1154">
        <f t="shared" si="159"/>
        <v>0</v>
      </c>
      <c r="I285" s="1154">
        <f t="shared" si="159"/>
        <v>0</v>
      </c>
      <c r="J285" s="1154">
        <f t="shared" si="159"/>
        <v>0</v>
      </c>
      <c r="K285" s="1154">
        <f t="shared" si="159"/>
        <v>0</v>
      </c>
      <c r="L285" s="1154">
        <f t="shared" si="159"/>
        <v>0</v>
      </c>
      <c r="M285" s="1154">
        <f t="shared" si="159"/>
        <v>0</v>
      </c>
      <c r="N285" s="1160">
        <f t="shared" si="159"/>
        <v>0</v>
      </c>
      <c r="O285" s="1161">
        <f t="shared" si="157"/>
        <v>0</v>
      </c>
    </row>
    <row r="286" spans="1:15" ht="12.75" hidden="1" customHeight="1" x14ac:dyDescent="0.25">
      <c r="A286" s="1162" t="s">
        <v>219</v>
      </c>
      <c r="B286" s="1163"/>
      <c r="C286" s="1159">
        <f>IF(C$226=$E$200,C280,0)</f>
        <v>0</v>
      </c>
      <c r="D286" s="1154">
        <f>IF(D$226=$E$200,D280,0)+IF(C286=0,0,D280)</f>
        <v>0</v>
      </c>
      <c r="E286" s="1154">
        <f t="shared" ref="E286:N286" si="160">IF(E$226=$E$200,E280,0)+IF(D286=0,0,E280)</f>
        <v>0</v>
      </c>
      <c r="F286" s="1154">
        <f t="shared" si="160"/>
        <v>0</v>
      </c>
      <c r="G286" s="1154">
        <f t="shared" si="160"/>
        <v>0</v>
      </c>
      <c r="H286" s="1154">
        <f t="shared" si="160"/>
        <v>0</v>
      </c>
      <c r="I286" s="1154">
        <f t="shared" si="160"/>
        <v>0</v>
      </c>
      <c r="J286" s="1154">
        <f t="shared" si="160"/>
        <v>0</v>
      </c>
      <c r="K286" s="1154">
        <f t="shared" si="160"/>
        <v>0</v>
      </c>
      <c r="L286" s="1154">
        <f t="shared" si="160"/>
        <v>0</v>
      </c>
      <c r="M286" s="1154">
        <f t="shared" si="160"/>
        <v>0</v>
      </c>
      <c r="N286" s="1160">
        <f t="shared" si="160"/>
        <v>0</v>
      </c>
      <c r="O286" s="1161">
        <f t="shared" si="157"/>
        <v>0</v>
      </c>
    </row>
    <row r="287" spans="1:15" ht="12.75" hidden="1" customHeight="1" x14ac:dyDescent="0.25">
      <c r="A287" s="1162" t="s">
        <v>220</v>
      </c>
      <c r="B287" s="1163"/>
      <c r="C287" s="1159">
        <f>IF(C$226=$F$200,C281,0)</f>
        <v>0</v>
      </c>
      <c r="D287" s="1154">
        <f>IF(D$226=$F$200,D281,0)+IF(C287=0,0,D281)</f>
        <v>0</v>
      </c>
      <c r="E287" s="1154">
        <f t="shared" ref="E287:N287" si="161">IF(E$226=$F$200,E281,0)+IF(D287=0,0,E281)</f>
        <v>0</v>
      </c>
      <c r="F287" s="1154">
        <f t="shared" si="161"/>
        <v>0</v>
      </c>
      <c r="G287" s="1154">
        <f t="shared" si="161"/>
        <v>0</v>
      </c>
      <c r="H287" s="1154">
        <f t="shared" si="161"/>
        <v>0</v>
      </c>
      <c r="I287" s="1154">
        <f t="shared" si="161"/>
        <v>0</v>
      </c>
      <c r="J287" s="1154">
        <f t="shared" si="161"/>
        <v>0</v>
      </c>
      <c r="K287" s="1154">
        <f t="shared" si="161"/>
        <v>0</v>
      </c>
      <c r="L287" s="1154">
        <f t="shared" si="161"/>
        <v>0</v>
      </c>
      <c r="M287" s="1154">
        <f t="shared" si="161"/>
        <v>0</v>
      </c>
      <c r="N287" s="1160">
        <f t="shared" si="161"/>
        <v>0</v>
      </c>
      <c r="O287" s="1161">
        <f t="shared" si="157"/>
        <v>0</v>
      </c>
    </row>
    <row r="288" spans="1:15" ht="12.75" hidden="1" customHeight="1" x14ac:dyDescent="0.25">
      <c r="A288" s="1162" t="s">
        <v>221</v>
      </c>
      <c r="B288" s="1163"/>
      <c r="C288" s="1159">
        <f>IF(C$226=$G$200,C282,0)</f>
        <v>0</v>
      </c>
      <c r="D288" s="1154">
        <f>IF(D$226=$G$200,D282,0)+IF(C288=0,0,D282)</f>
        <v>0</v>
      </c>
      <c r="E288" s="1154">
        <f t="shared" ref="E288:N288" si="162">IF(E$226=$G$200,E282,0)+IF(D288=0,0,E282)</f>
        <v>0</v>
      </c>
      <c r="F288" s="1154">
        <f t="shared" si="162"/>
        <v>0</v>
      </c>
      <c r="G288" s="1154">
        <f t="shared" si="162"/>
        <v>0</v>
      </c>
      <c r="H288" s="1154">
        <f t="shared" si="162"/>
        <v>0</v>
      </c>
      <c r="I288" s="1154">
        <f t="shared" si="162"/>
        <v>0</v>
      </c>
      <c r="J288" s="1154">
        <f t="shared" si="162"/>
        <v>0</v>
      </c>
      <c r="K288" s="1154">
        <f t="shared" si="162"/>
        <v>0</v>
      </c>
      <c r="L288" s="1154">
        <f t="shared" si="162"/>
        <v>0</v>
      </c>
      <c r="M288" s="1154">
        <f t="shared" si="162"/>
        <v>0</v>
      </c>
      <c r="N288" s="1160">
        <f t="shared" si="162"/>
        <v>0</v>
      </c>
      <c r="O288" s="1161">
        <f t="shared" si="157"/>
        <v>0</v>
      </c>
    </row>
    <row r="289" spans="1:15" ht="13" x14ac:dyDescent="0.3">
      <c r="A289" s="1886" t="s">
        <v>368</v>
      </c>
      <c r="B289" s="1886"/>
      <c r="C289" s="1026">
        <f>O192+C277-C283</f>
        <v>0</v>
      </c>
      <c r="D289" s="1026">
        <f>C289+D277-D283</f>
        <v>0</v>
      </c>
      <c r="E289" s="1026">
        <f t="shared" ref="E289:M289" si="163">D289+E277-E283</f>
        <v>0</v>
      </c>
      <c r="F289" s="1026">
        <f t="shared" si="163"/>
        <v>0</v>
      </c>
      <c r="G289" s="1026">
        <f t="shared" si="163"/>
        <v>0</v>
      </c>
      <c r="H289" s="1026">
        <f t="shared" si="163"/>
        <v>0</v>
      </c>
      <c r="I289" s="1026">
        <f t="shared" si="163"/>
        <v>0</v>
      </c>
      <c r="J289" s="1026">
        <f t="shared" si="163"/>
        <v>0</v>
      </c>
      <c r="K289" s="1026">
        <f t="shared" si="163"/>
        <v>0</v>
      </c>
      <c r="L289" s="1026">
        <f t="shared" si="163"/>
        <v>0</v>
      </c>
      <c r="M289" s="1026">
        <f t="shared" si="163"/>
        <v>0</v>
      </c>
      <c r="N289" s="1026">
        <f>M289+N277-N283+N240-N246</f>
        <v>0</v>
      </c>
      <c r="O289" s="1026">
        <f>N289</f>
        <v>0</v>
      </c>
    </row>
  </sheetData>
  <mergeCells count="120">
    <mergeCell ref="A277:B277"/>
    <mergeCell ref="A283:B283"/>
    <mergeCell ref="A289:B289"/>
    <mergeCell ref="A228:B228"/>
    <mergeCell ref="A234:B234"/>
    <mergeCell ref="A240:B240"/>
    <mergeCell ref="A246:B246"/>
    <mergeCell ref="A252:B252"/>
    <mergeCell ref="A258:B258"/>
    <mergeCell ref="A264:B264"/>
    <mergeCell ref="A270:B270"/>
    <mergeCell ref="A271:B271"/>
    <mergeCell ref="A215:B215"/>
    <mergeCell ref="A216:B216"/>
    <mergeCell ref="A217:B217"/>
    <mergeCell ref="A218:B218"/>
    <mergeCell ref="A219:B219"/>
    <mergeCell ref="A220:B220"/>
    <mergeCell ref="A221:B221"/>
    <mergeCell ref="A223:C223"/>
    <mergeCell ref="A227:B227"/>
    <mergeCell ref="A206:B206"/>
    <mergeCell ref="A207:B207"/>
    <mergeCell ref="A208:B208"/>
    <mergeCell ref="A209:B209"/>
    <mergeCell ref="A210:B210"/>
    <mergeCell ref="A211:B211"/>
    <mergeCell ref="A212:B212"/>
    <mergeCell ref="A213:B213"/>
    <mergeCell ref="A214:B214"/>
    <mergeCell ref="A197:B197"/>
    <mergeCell ref="A198:B198"/>
    <mergeCell ref="A199:B199"/>
    <mergeCell ref="A200:B200"/>
    <mergeCell ref="A201:B201"/>
    <mergeCell ref="A202:B202"/>
    <mergeCell ref="A203:B203"/>
    <mergeCell ref="A204:B204"/>
    <mergeCell ref="A205:B205"/>
    <mergeCell ref="A155:B155"/>
    <mergeCell ref="A161:B161"/>
    <mergeCell ref="A167:B167"/>
    <mergeCell ref="A173:B173"/>
    <mergeCell ref="A174:B174"/>
    <mergeCell ref="A180:B180"/>
    <mergeCell ref="A186:B186"/>
    <mergeCell ref="A192:B192"/>
    <mergeCell ref="A195:B195"/>
    <mergeCell ref="A122:B122"/>
    <mergeCell ref="A123:B123"/>
    <mergeCell ref="A124:B124"/>
    <mergeCell ref="A126:C126"/>
    <mergeCell ref="A130:B130"/>
    <mergeCell ref="A131:B131"/>
    <mergeCell ref="A137:B137"/>
    <mergeCell ref="A143:B143"/>
    <mergeCell ref="A149:B149"/>
    <mergeCell ref="A113:B113"/>
    <mergeCell ref="A114:B114"/>
    <mergeCell ref="A115:B115"/>
    <mergeCell ref="A116:B116"/>
    <mergeCell ref="A117:B117"/>
    <mergeCell ref="A118:B118"/>
    <mergeCell ref="A119:B119"/>
    <mergeCell ref="A120:B120"/>
    <mergeCell ref="A121:B121"/>
    <mergeCell ref="A104:B104"/>
    <mergeCell ref="A105:B105"/>
    <mergeCell ref="A106:B106"/>
    <mergeCell ref="A107:B107"/>
    <mergeCell ref="A108:B108"/>
    <mergeCell ref="A109:B109"/>
    <mergeCell ref="A110:B110"/>
    <mergeCell ref="A111:B111"/>
    <mergeCell ref="A112:B112"/>
    <mergeCell ref="A77:B77"/>
    <mergeCell ref="A83:B83"/>
    <mergeCell ref="A89:B89"/>
    <mergeCell ref="A95:B95"/>
    <mergeCell ref="A98:B98"/>
    <mergeCell ref="A100:B100"/>
    <mergeCell ref="A101:B101"/>
    <mergeCell ref="A102:B102"/>
    <mergeCell ref="A103:B103"/>
    <mergeCell ref="A33:B33"/>
    <mergeCell ref="A34:B34"/>
    <mergeCell ref="A40:B40"/>
    <mergeCell ref="A46:B46"/>
    <mergeCell ref="A52:B52"/>
    <mergeCell ref="A58:B58"/>
    <mergeCell ref="A64:B64"/>
    <mergeCell ref="A70:B70"/>
    <mergeCell ref="A76:B76"/>
    <mergeCell ref="A20:B20"/>
    <mergeCell ref="A21:B21"/>
    <mergeCell ref="A22:B22"/>
    <mergeCell ref="A23:B23"/>
    <mergeCell ref="A24:B24"/>
    <mergeCell ref="A25:B25"/>
    <mergeCell ref="A26:B26"/>
    <mergeCell ref="A27:B27"/>
    <mergeCell ref="A29:C29"/>
    <mergeCell ref="A11:B11"/>
    <mergeCell ref="A12:B12"/>
    <mergeCell ref="A13:B13"/>
    <mergeCell ref="A14:B14"/>
    <mergeCell ref="A15:B15"/>
    <mergeCell ref="A16:B16"/>
    <mergeCell ref="A17:B17"/>
    <mergeCell ref="A18:B18"/>
    <mergeCell ref="A19:B19"/>
    <mergeCell ref="A1:B1"/>
    <mergeCell ref="A3:B3"/>
    <mergeCell ref="A4:B4"/>
    <mergeCell ref="A5:B5"/>
    <mergeCell ref="A6:B6"/>
    <mergeCell ref="A7:B7"/>
    <mergeCell ref="A8:B8"/>
    <mergeCell ref="A9:B9"/>
    <mergeCell ref="A10:B10"/>
  </mergeCells>
  <phoneticPr fontId="22" type="noConversion"/>
  <conditionalFormatting sqref="H14 H111 H208">
    <cfRule type="cellIs" dxfId="34" priority="1" stopIfTrue="1" operator="greaterThan">
      <formula>1</formula>
    </cfRule>
  </conditionalFormatting>
  <pageMargins left="0.74791666666666667" right="0.74791666666666667" top="0.98402777777777783" bottom="0.98402777777777783" header="0.51180555555555562" footer="0.51180555555555562"/>
  <pageSetup paperSize="9" scale="35" firstPageNumber="0" orientation="portrait" horizontalDpi="300" verticalDpi="300"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
    <pageSetUpPr fitToPage="1"/>
  </sheetPr>
  <dimension ref="A1:V62"/>
  <sheetViews>
    <sheetView workbookViewId="0">
      <selection activeCell="A18" sqref="A18"/>
    </sheetView>
  </sheetViews>
  <sheetFormatPr defaultColWidth="11.453125" defaultRowHeight="12.5" x14ac:dyDescent="0.25"/>
  <sheetData>
    <row r="1" spans="1:22" ht="13" x14ac:dyDescent="0.3">
      <c r="A1" s="1897" t="s">
        <v>381</v>
      </c>
      <c r="B1" s="1897"/>
      <c r="C1" s="1897"/>
      <c r="D1" s="1897"/>
      <c r="F1" s="1779" t="s">
        <v>382</v>
      </c>
      <c r="G1" s="1779"/>
      <c r="H1" s="1779"/>
      <c r="I1" s="1167" t="s">
        <v>298</v>
      </c>
      <c r="K1" s="1014" t="str">
        <f>ÍNDEX!D6</f>
        <v>GENER</v>
      </c>
      <c r="L1" s="1014" t="str">
        <f>ÍNDEX!E7</f>
        <v>FEBRER</v>
      </c>
      <c r="M1" s="1014" t="str">
        <f>ÍNDEX!F7</f>
        <v>MARÇ</v>
      </c>
      <c r="N1" s="1014" t="str">
        <f>ÍNDEX!G7</f>
        <v>ABRIL</v>
      </c>
      <c r="O1" s="1014" t="str">
        <f>ÍNDEX!H7</f>
        <v>MAIG</v>
      </c>
      <c r="P1" s="1014" t="str">
        <f>ÍNDEX!I7</f>
        <v>JUNY</v>
      </c>
      <c r="Q1" s="1014" t="str">
        <f>ÍNDEX!J7</f>
        <v>JULIOL</v>
      </c>
      <c r="R1" s="1014" t="str">
        <f>ÍNDEX!K7</f>
        <v>AGOST</v>
      </c>
      <c r="S1" s="1014" t="str">
        <f>ÍNDEX!L7</f>
        <v>SETEMBRE</v>
      </c>
      <c r="T1" s="1014" t="str">
        <f>ÍNDEX!M7</f>
        <v>OCTUBRE</v>
      </c>
      <c r="U1" s="1014" t="str">
        <f>ÍNDEX!N7</f>
        <v>NOVEMBRE</v>
      </c>
      <c r="V1" s="1014" t="str">
        <f>ÍNDEX!O7</f>
        <v>DESEMBRE</v>
      </c>
    </row>
    <row r="2" spans="1:22" ht="13" x14ac:dyDescent="0.3">
      <c r="K2" s="1014" t="str">
        <f>L1</f>
        <v>FEBRER</v>
      </c>
    </row>
    <row r="3" spans="1:22" ht="13" x14ac:dyDescent="0.3">
      <c r="A3" s="1898" t="s">
        <v>383</v>
      </c>
      <c r="B3" s="1898"/>
      <c r="C3" s="1168" t="s">
        <v>384</v>
      </c>
      <c r="D3" s="1169" t="s">
        <v>385</v>
      </c>
      <c r="E3" s="1169" t="s">
        <v>386</v>
      </c>
      <c r="F3" s="1169" t="s">
        <v>387</v>
      </c>
      <c r="G3" s="1169" t="s">
        <v>388</v>
      </c>
      <c r="H3" s="1169" t="s">
        <v>389</v>
      </c>
      <c r="I3" s="1170" t="s">
        <v>245</v>
      </c>
      <c r="K3" s="1014" t="str">
        <f>M1</f>
        <v>MARÇ</v>
      </c>
    </row>
    <row r="4" spans="1:22" ht="13" x14ac:dyDescent="0.3">
      <c r="A4" s="1899" t="s">
        <v>390</v>
      </c>
      <c r="B4" s="1899"/>
      <c r="C4" s="1171">
        <v>0</v>
      </c>
      <c r="D4" s="1172">
        <v>0</v>
      </c>
      <c r="E4" s="1173">
        <v>140</v>
      </c>
      <c r="F4" s="1174">
        <v>2.75E-2</v>
      </c>
      <c r="G4" s="1175">
        <f>IF(I1="SI",INVERSIONS!Z36,0)</f>
        <v>0</v>
      </c>
      <c r="H4" s="1176">
        <f>F4*G4+D4*E4</f>
        <v>0</v>
      </c>
      <c r="I4" s="1177">
        <f>IF(I$1="SI",H4+C4,0)</f>
        <v>0</v>
      </c>
      <c r="K4" s="1014" t="str">
        <f>N1</f>
        <v>ABRIL</v>
      </c>
    </row>
    <row r="5" spans="1:22" ht="13" x14ac:dyDescent="0.3">
      <c r="A5" s="1900" t="s">
        <v>391</v>
      </c>
      <c r="B5" s="1900"/>
      <c r="C5" s="1178">
        <v>0</v>
      </c>
      <c r="D5" s="1179"/>
      <c r="E5" s="1180"/>
      <c r="F5" s="1181">
        <v>2.75E-2</v>
      </c>
      <c r="G5" s="1182">
        <f>IF(I1="NO",INVERSIONS!Z36,0)</f>
        <v>0</v>
      </c>
      <c r="H5" s="1183">
        <f>F5*G5+D5*E5</f>
        <v>0</v>
      </c>
      <c r="I5" s="1184">
        <f>IF(I$1="NO",H5+C5,0)</f>
        <v>0</v>
      </c>
      <c r="K5" s="1014" t="str">
        <f>O1</f>
        <v>MAIG</v>
      </c>
    </row>
    <row r="6" spans="1:22" ht="13" x14ac:dyDescent="0.3">
      <c r="K6" s="1014" t="str">
        <f>P1</f>
        <v>JUNY</v>
      </c>
    </row>
    <row r="7" spans="1:22" ht="13" x14ac:dyDescent="0.3">
      <c r="K7" s="1014" t="str">
        <f>Q1</f>
        <v>JULIOL</v>
      </c>
    </row>
    <row r="8" spans="1:22" ht="13" x14ac:dyDescent="0.3">
      <c r="A8" s="1897" t="s">
        <v>392</v>
      </c>
      <c r="B8" s="1897"/>
      <c r="C8" s="1897"/>
      <c r="D8" s="1897"/>
      <c r="K8" s="1014" t="str">
        <f>R1</f>
        <v>AGOST</v>
      </c>
    </row>
    <row r="9" spans="1:22" ht="13" x14ac:dyDescent="0.3">
      <c r="K9" s="1014" t="str">
        <f>S1</f>
        <v>SETEMBRE</v>
      </c>
    </row>
    <row r="10" spans="1:22" ht="13" x14ac:dyDescent="0.3">
      <c r="B10" s="1185"/>
      <c r="C10" s="1186"/>
      <c r="D10" s="1186"/>
      <c r="E10" s="1186"/>
      <c r="F10" s="1187"/>
      <c r="K10" s="1014" t="str">
        <f>T1</f>
        <v>OCTUBRE</v>
      </c>
    </row>
    <row r="11" spans="1:22" ht="13" x14ac:dyDescent="0.3">
      <c r="B11" s="1188" t="s">
        <v>393</v>
      </c>
      <c r="C11" s="1189"/>
      <c r="D11" s="1189"/>
      <c r="E11" s="1189"/>
      <c r="F11" s="1190"/>
      <c r="K11" s="1014" t="str">
        <f>U1</f>
        <v>NOVEMBRE</v>
      </c>
    </row>
    <row r="12" spans="1:22" ht="13" x14ac:dyDescent="0.3">
      <c r="B12" s="1191" t="s">
        <v>394</v>
      </c>
      <c r="C12" s="1189"/>
      <c r="D12" s="1189"/>
      <c r="E12" s="1189"/>
      <c r="F12" s="1190"/>
      <c r="K12" s="1014" t="str">
        <f>V1</f>
        <v>DESEMBRE</v>
      </c>
    </row>
    <row r="13" spans="1:22" x14ac:dyDescent="0.25">
      <c r="B13" s="1192"/>
      <c r="C13" s="1193"/>
      <c r="D13" s="1193"/>
      <c r="E13" s="1193"/>
      <c r="F13" s="1194"/>
    </row>
    <row r="15" spans="1:22" ht="13" x14ac:dyDescent="0.3">
      <c r="D15" s="1195" t="s">
        <v>68</v>
      </c>
      <c r="E15" s="1196" t="s">
        <v>69</v>
      </c>
      <c r="F15" s="1197" t="s">
        <v>70</v>
      </c>
    </row>
    <row r="16" spans="1:22" ht="13" x14ac:dyDescent="0.3">
      <c r="B16" s="1901" t="s">
        <v>395</v>
      </c>
      <c r="C16" s="1901"/>
      <c r="D16" s="1171">
        <v>0</v>
      </c>
      <c r="E16" s="1176">
        <f>D16</f>
        <v>0</v>
      </c>
      <c r="F16" s="1198">
        <f>E16</f>
        <v>0</v>
      </c>
    </row>
    <row r="17" spans="1:15" ht="13" x14ac:dyDescent="0.3">
      <c r="B17" s="1902" t="s">
        <v>396</v>
      </c>
      <c r="C17" s="1902"/>
      <c r="D17" s="1199">
        <f>IF(OR(K1="GENER",K1="FEBRER",K1="MARÇ"),4,0)+IF(OR(K1="ABRIL",K1="MAIG",K1="JUNY"),3,0)+IF(OR(K1="JULIOL",K1="AGOST",K1="SETEMBRE"),2,0)+IF(OR(K1="OCTUBRE",K1="NOVEMBRE",K1="DESEMBRE"),1,0)</f>
        <v>4</v>
      </c>
      <c r="E17" s="1200"/>
      <c r="F17" s="1201"/>
    </row>
    <row r="18" spans="1:15" ht="13" x14ac:dyDescent="0.3">
      <c r="B18" s="1903" t="s">
        <v>397</v>
      </c>
      <c r="C18" s="1903"/>
      <c r="D18" s="1202">
        <f>D16*D17/4</f>
        <v>0</v>
      </c>
      <c r="E18" s="1183">
        <f>E16</f>
        <v>0</v>
      </c>
      <c r="F18" s="1203">
        <f>F16</f>
        <v>0</v>
      </c>
    </row>
    <row r="19" spans="1:15" ht="13" x14ac:dyDescent="0.3">
      <c r="E19" s="7"/>
      <c r="F19" s="7"/>
    </row>
    <row r="21" spans="1:15" ht="13" x14ac:dyDescent="0.3">
      <c r="A21" s="1897" t="s">
        <v>163</v>
      </c>
      <c r="B21" s="1897"/>
    </row>
    <row r="23" spans="1:15" ht="13" x14ac:dyDescent="0.3">
      <c r="A23" s="1858" t="s">
        <v>17</v>
      </c>
      <c r="B23" s="1858"/>
    </row>
    <row r="25" spans="1:15" ht="13" x14ac:dyDescent="0.3">
      <c r="C25" s="1204" t="str">
        <f>VARIABLES!B12</f>
        <v>GENER</v>
      </c>
      <c r="D25" s="1205" t="str">
        <f>VARIABLES!C12</f>
        <v>FEBRER</v>
      </c>
      <c r="E25" s="1205" t="str">
        <f>VARIABLES!D12</f>
        <v>MARÇ</v>
      </c>
      <c r="F25" s="1205" t="str">
        <f>VARIABLES!E12</f>
        <v>ABRIL</v>
      </c>
      <c r="G25" s="1205" t="str">
        <f>VARIABLES!F12</f>
        <v>MAIG</v>
      </c>
      <c r="H25" s="1205" t="str">
        <f>VARIABLES!G12</f>
        <v>JUNY</v>
      </c>
      <c r="I25" s="1205" t="str">
        <f>VARIABLES!H12</f>
        <v>JULIOL</v>
      </c>
      <c r="J25" s="1205" t="str">
        <f>VARIABLES!I12</f>
        <v>AGOST</v>
      </c>
      <c r="K25" s="1205" t="str">
        <f>VARIABLES!J12</f>
        <v>SETEMBRE</v>
      </c>
      <c r="L25" s="1205" t="str">
        <f>VARIABLES!K12</f>
        <v>OCTUBRE</v>
      </c>
      <c r="M25" s="1205" t="str">
        <f>VARIABLES!L12</f>
        <v>NOVEMBRE</v>
      </c>
      <c r="N25" s="720" t="str">
        <f>VARIABLES!M12</f>
        <v>DESEMBRE</v>
      </c>
      <c r="O25" s="1206" t="s">
        <v>245</v>
      </c>
    </row>
    <row r="26" spans="1:15" ht="13" x14ac:dyDescent="0.3">
      <c r="A26" s="1899" t="s">
        <v>398</v>
      </c>
      <c r="B26" s="1899"/>
      <c r="C26" s="1207">
        <f>VARIABLES!B39</f>
        <v>0</v>
      </c>
      <c r="D26" s="1208">
        <f>VARIABLES!C39</f>
        <v>0</v>
      </c>
      <c r="E26" s="1208">
        <f>VARIABLES!D39</f>
        <v>0</v>
      </c>
      <c r="F26" s="1208">
        <f>VARIABLES!E39</f>
        <v>0</v>
      </c>
      <c r="G26" s="1208">
        <f>VARIABLES!F39</f>
        <v>0</v>
      </c>
      <c r="H26" s="1208">
        <f>VARIABLES!G39</f>
        <v>0</v>
      </c>
      <c r="I26" s="1208">
        <f>VARIABLES!H39</f>
        <v>0</v>
      </c>
      <c r="J26" s="1208">
        <f>VARIABLES!I39</f>
        <v>0</v>
      </c>
      <c r="K26" s="1208">
        <f>VARIABLES!J39</f>
        <v>0</v>
      </c>
      <c r="L26" s="1208">
        <f>VARIABLES!K39</f>
        <v>0</v>
      </c>
      <c r="M26" s="1208">
        <f>VARIABLES!L39</f>
        <v>0</v>
      </c>
      <c r="N26" s="1209">
        <f>VARIABLES!M39</f>
        <v>0</v>
      </c>
      <c r="O26" s="1210">
        <f>SUM(C26:N26)</f>
        <v>0</v>
      </c>
    </row>
    <row r="27" spans="1:15" ht="13" x14ac:dyDescent="0.3">
      <c r="A27" s="1904" t="s">
        <v>399</v>
      </c>
      <c r="B27" s="1904"/>
      <c r="C27" s="786">
        <f>VARIABLES!B40</f>
        <v>0</v>
      </c>
      <c r="D27" s="794">
        <f>VARIABLES!C40</f>
        <v>0</v>
      </c>
      <c r="E27" s="794">
        <f>VARIABLES!D40</f>
        <v>0</v>
      </c>
      <c r="F27" s="794">
        <f>VARIABLES!E40</f>
        <v>0</v>
      </c>
      <c r="G27" s="794">
        <f>VARIABLES!F40</f>
        <v>0</v>
      </c>
      <c r="H27" s="794">
        <f>VARIABLES!G40</f>
        <v>0</v>
      </c>
      <c r="I27" s="794">
        <f>VARIABLES!H40</f>
        <v>0</v>
      </c>
      <c r="J27" s="794">
        <f>VARIABLES!I40</f>
        <v>0</v>
      </c>
      <c r="K27" s="794">
        <f>VARIABLES!J40</f>
        <v>0</v>
      </c>
      <c r="L27" s="794">
        <f>VARIABLES!K40</f>
        <v>0</v>
      </c>
      <c r="M27" s="794">
        <f>VARIABLES!L40</f>
        <v>0</v>
      </c>
      <c r="N27" s="739">
        <f>VARIABLES!M40</f>
        <v>0</v>
      </c>
      <c r="O27" s="1210">
        <f>SUM(C27:N27)</f>
        <v>0</v>
      </c>
    </row>
    <row r="28" spans="1:15" ht="13" x14ac:dyDescent="0.3">
      <c r="A28" s="1904" t="s">
        <v>207</v>
      </c>
      <c r="B28" s="1904"/>
      <c r="C28" s="786">
        <f>PERSONAL!C77</f>
        <v>0</v>
      </c>
      <c r="D28" s="794">
        <f>PERSONAL!D77</f>
        <v>0</v>
      </c>
      <c r="E28" s="794">
        <f>PERSONAL!E77</f>
        <v>0</v>
      </c>
      <c r="F28" s="794">
        <f>PERSONAL!F77</f>
        <v>0</v>
      </c>
      <c r="G28" s="794">
        <f>PERSONAL!G77</f>
        <v>0</v>
      </c>
      <c r="H28" s="794">
        <f>PERSONAL!H77</f>
        <v>0</v>
      </c>
      <c r="I28" s="794">
        <f>PERSONAL!I77</f>
        <v>0</v>
      </c>
      <c r="J28" s="794">
        <f>PERSONAL!J77</f>
        <v>0</v>
      </c>
      <c r="K28" s="794">
        <f>PERSONAL!K77</f>
        <v>0</v>
      </c>
      <c r="L28" s="794">
        <f>PERSONAL!L77</f>
        <v>0</v>
      </c>
      <c r="M28" s="794">
        <f>PERSONAL!M77</f>
        <v>0</v>
      </c>
      <c r="N28" s="739">
        <f>PERSONAL!N77</f>
        <v>0</v>
      </c>
      <c r="O28" s="1210">
        <f>SUM(C28:N28)</f>
        <v>0</v>
      </c>
    </row>
    <row r="29" spans="1:15" ht="13" x14ac:dyDescent="0.3">
      <c r="A29" s="1904" t="s">
        <v>400</v>
      </c>
      <c r="B29" s="1904"/>
      <c r="C29" s="786">
        <f>PROMOTORS!C56</f>
        <v>0</v>
      </c>
      <c r="D29" s="794">
        <f>PROMOTORS!D56</f>
        <v>0</v>
      </c>
      <c r="E29" s="794">
        <f>PROMOTORS!E56</f>
        <v>0</v>
      </c>
      <c r="F29" s="794">
        <f>PROMOTORS!F56</f>
        <v>0</v>
      </c>
      <c r="G29" s="794">
        <f>PROMOTORS!G56</f>
        <v>0</v>
      </c>
      <c r="H29" s="794">
        <f>PROMOTORS!H56</f>
        <v>0</v>
      </c>
      <c r="I29" s="794">
        <f>PROMOTORS!I56</f>
        <v>0</v>
      </c>
      <c r="J29" s="794">
        <f>PROMOTORS!J56</f>
        <v>0</v>
      </c>
      <c r="K29" s="794">
        <f>PROMOTORS!K56</f>
        <v>0</v>
      </c>
      <c r="L29" s="794">
        <f>PROMOTORS!L56</f>
        <v>0</v>
      </c>
      <c r="M29" s="794">
        <f>PROMOTORS!M56</f>
        <v>0</v>
      </c>
      <c r="N29" s="739">
        <f>PROMOTORS!N56</f>
        <v>0</v>
      </c>
      <c r="O29" s="1210">
        <f>SUM(C29:N29)</f>
        <v>0</v>
      </c>
    </row>
    <row r="30" spans="1:15" ht="13" x14ac:dyDescent="0.3">
      <c r="A30" s="1904" t="s">
        <v>401</v>
      </c>
      <c r="B30" s="1904"/>
      <c r="C30" s="786">
        <f t="shared" ref="C30:N30" si="0">SUM(C26:C29)</f>
        <v>0</v>
      </c>
      <c r="D30" s="794">
        <f t="shared" si="0"/>
        <v>0</v>
      </c>
      <c r="E30" s="794">
        <f t="shared" si="0"/>
        <v>0</v>
      </c>
      <c r="F30" s="794">
        <f t="shared" si="0"/>
        <v>0</v>
      </c>
      <c r="G30" s="794">
        <f t="shared" si="0"/>
        <v>0</v>
      </c>
      <c r="H30" s="794">
        <f t="shared" si="0"/>
        <v>0</v>
      </c>
      <c r="I30" s="794">
        <f t="shared" si="0"/>
        <v>0</v>
      </c>
      <c r="J30" s="794">
        <f t="shared" si="0"/>
        <v>0</v>
      </c>
      <c r="K30" s="794">
        <f t="shared" si="0"/>
        <v>0</v>
      </c>
      <c r="L30" s="794">
        <f t="shared" si="0"/>
        <v>0</v>
      </c>
      <c r="M30" s="794">
        <f t="shared" si="0"/>
        <v>0</v>
      </c>
      <c r="N30" s="739">
        <f t="shared" si="0"/>
        <v>0</v>
      </c>
      <c r="O30" s="1210">
        <f>SUM(C30:N30)</f>
        <v>0</v>
      </c>
    </row>
    <row r="31" spans="1:15" ht="13" x14ac:dyDescent="0.3">
      <c r="A31" s="1904" t="s">
        <v>63</v>
      </c>
      <c r="B31" s="1904"/>
      <c r="C31" s="786">
        <f t="shared" ref="C31:N31" si="1">C30+B31-C32</f>
        <v>0</v>
      </c>
      <c r="D31" s="794">
        <f t="shared" si="1"/>
        <v>0</v>
      </c>
      <c r="E31" s="794">
        <f t="shared" si="1"/>
        <v>0</v>
      </c>
      <c r="F31" s="794">
        <f t="shared" si="1"/>
        <v>0</v>
      </c>
      <c r="G31" s="794">
        <f t="shared" si="1"/>
        <v>0</v>
      </c>
      <c r="H31" s="794">
        <f t="shared" si="1"/>
        <v>0</v>
      </c>
      <c r="I31" s="794">
        <f t="shared" si="1"/>
        <v>0</v>
      </c>
      <c r="J31" s="794">
        <f t="shared" si="1"/>
        <v>0</v>
      </c>
      <c r="K31" s="794">
        <f t="shared" si="1"/>
        <v>0</v>
      </c>
      <c r="L31" s="794">
        <f t="shared" si="1"/>
        <v>0</v>
      </c>
      <c r="M31" s="794">
        <f t="shared" si="1"/>
        <v>0</v>
      </c>
      <c r="N31" s="739">
        <f t="shared" si="1"/>
        <v>0</v>
      </c>
      <c r="O31" s="1210">
        <f>N31</f>
        <v>0</v>
      </c>
    </row>
    <row r="32" spans="1:15" ht="13" x14ac:dyDescent="0.3">
      <c r="A32" s="1900" t="s">
        <v>159</v>
      </c>
      <c r="B32" s="1900"/>
      <c r="C32" s="789">
        <f t="shared" ref="C32:N32" si="2">IF(OR(B25="MARÇ",B25="JUNY",B25="SETEMBRE",B25="DESEMBRE"),B31,0)</f>
        <v>0</v>
      </c>
      <c r="D32" s="795">
        <f t="shared" si="2"/>
        <v>0</v>
      </c>
      <c r="E32" s="795">
        <f t="shared" si="2"/>
        <v>0</v>
      </c>
      <c r="F32" s="795">
        <f t="shared" si="2"/>
        <v>0</v>
      </c>
      <c r="G32" s="795">
        <f t="shared" si="2"/>
        <v>0</v>
      </c>
      <c r="H32" s="795">
        <f t="shared" si="2"/>
        <v>0</v>
      </c>
      <c r="I32" s="795">
        <f t="shared" si="2"/>
        <v>0</v>
      </c>
      <c r="J32" s="795">
        <f t="shared" si="2"/>
        <v>0</v>
      </c>
      <c r="K32" s="795">
        <f t="shared" si="2"/>
        <v>0</v>
      </c>
      <c r="L32" s="795">
        <f t="shared" si="2"/>
        <v>0</v>
      </c>
      <c r="M32" s="795">
        <f t="shared" si="2"/>
        <v>0</v>
      </c>
      <c r="N32" s="795">
        <f t="shared" si="2"/>
        <v>0</v>
      </c>
      <c r="O32" s="1211">
        <f>SUM(C32:N32)</f>
        <v>0</v>
      </c>
    </row>
    <row r="33" spans="1:15" x14ac:dyDescent="0.25">
      <c r="C33" s="12"/>
      <c r="D33" s="12"/>
      <c r="E33" s="12"/>
      <c r="F33" s="12"/>
      <c r="G33" s="12"/>
      <c r="H33" s="12"/>
      <c r="I33" s="12"/>
      <c r="J33" s="12"/>
      <c r="K33" s="12"/>
      <c r="L33" s="12"/>
      <c r="M33" s="12"/>
      <c r="N33" s="12"/>
      <c r="O33" s="12"/>
    </row>
    <row r="34" spans="1:15" ht="13" x14ac:dyDescent="0.3">
      <c r="A34" s="1858" t="s">
        <v>47</v>
      </c>
      <c r="B34" s="1858"/>
      <c r="C34" s="12"/>
      <c r="D34" s="12"/>
      <c r="E34" s="12"/>
      <c r="F34" s="12"/>
      <c r="G34" s="12"/>
      <c r="H34" s="12"/>
      <c r="I34" s="12"/>
      <c r="J34" s="12"/>
      <c r="K34" s="12"/>
      <c r="L34" s="12"/>
      <c r="M34" s="12"/>
      <c r="N34" s="12"/>
      <c r="O34" s="12"/>
    </row>
    <row r="35" spans="1:15" x14ac:dyDescent="0.25">
      <c r="C35" s="12"/>
      <c r="D35" s="12"/>
      <c r="E35" s="12"/>
      <c r="F35" s="12"/>
      <c r="G35" s="12"/>
      <c r="H35" s="12"/>
      <c r="I35" s="12"/>
      <c r="J35" s="12"/>
      <c r="K35" s="12"/>
      <c r="L35" s="12"/>
      <c r="M35" s="12"/>
      <c r="N35" s="12"/>
      <c r="O35" s="12"/>
    </row>
    <row r="36" spans="1:15" ht="13" x14ac:dyDescent="0.3">
      <c r="C36" s="1212" t="str">
        <f>C25</f>
        <v>GENER</v>
      </c>
      <c r="D36" s="1213" t="str">
        <f t="shared" ref="D36:N36" si="3">D25</f>
        <v>FEBRER</v>
      </c>
      <c r="E36" s="1213" t="str">
        <f t="shared" si="3"/>
        <v>MARÇ</v>
      </c>
      <c r="F36" s="1213" t="str">
        <f t="shared" si="3"/>
        <v>ABRIL</v>
      </c>
      <c r="G36" s="1213" t="str">
        <f t="shared" si="3"/>
        <v>MAIG</v>
      </c>
      <c r="H36" s="1213" t="str">
        <f t="shared" si="3"/>
        <v>JUNY</v>
      </c>
      <c r="I36" s="1213" t="str">
        <f t="shared" si="3"/>
        <v>JULIOL</v>
      </c>
      <c r="J36" s="1213" t="str">
        <f t="shared" si="3"/>
        <v>AGOST</v>
      </c>
      <c r="K36" s="1213" t="str">
        <f t="shared" si="3"/>
        <v>SETEMBRE</v>
      </c>
      <c r="L36" s="1213" t="str">
        <f t="shared" si="3"/>
        <v>OCTUBRE</v>
      </c>
      <c r="M36" s="1213" t="str">
        <f t="shared" si="3"/>
        <v>NOVEMBRE</v>
      </c>
      <c r="N36" s="764" t="str">
        <f t="shared" si="3"/>
        <v>DESEMBRE</v>
      </c>
      <c r="O36" s="1214" t="s">
        <v>245</v>
      </c>
    </row>
    <row r="37" spans="1:15" ht="13" x14ac:dyDescent="0.3">
      <c r="A37" s="1905" t="s">
        <v>398</v>
      </c>
      <c r="B37" s="1905"/>
      <c r="C37" s="1207">
        <f>VARIABLES!B101</f>
        <v>0</v>
      </c>
      <c r="D37" s="1208">
        <f>VARIABLES!C101</f>
        <v>0</v>
      </c>
      <c r="E37" s="1208">
        <f>VARIABLES!D101</f>
        <v>0</v>
      </c>
      <c r="F37" s="1208">
        <f>VARIABLES!E101</f>
        <v>0</v>
      </c>
      <c r="G37" s="1208">
        <f>VARIABLES!F101</f>
        <v>0</v>
      </c>
      <c r="H37" s="1208">
        <f>VARIABLES!G101</f>
        <v>0</v>
      </c>
      <c r="I37" s="1208">
        <f>VARIABLES!H101</f>
        <v>0</v>
      </c>
      <c r="J37" s="1208">
        <f>VARIABLES!I101</f>
        <v>0</v>
      </c>
      <c r="K37" s="1208">
        <f>VARIABLES!J101</f>
        <v>0</v>
      </c>
      <c r="L37" s="1208">
        <f>VARIABLES!K101</f>
        <v>0</v>
      </c>
      <c r="M37" s="1208">
        <f>VARIABLES!L101</f>
        <v>0</v>
      </c>
      <c r="N37" s="1209">
        <f>VARIABLES!M101</f>
        <v>0</v>
      </c>
      <c r="O37" s="1210">
        <f>SUM(C37:N37)</f>
        <v>0</v>
      </c>
    </row>
    <row r="38" spans="1:15" ht="13" x14ac:dyDescent="0.3">
      <c r="A38" s="1906" t="s">
        <v>399</v>
      </c>
      <c r="B38" s="1906"/>
      <c r="C38" s="786">
        <f>VARIABLES!B102</f>
        <v>0</v>
      </c>
      <c r="D38" s="794">
        <f>VARIABLES!C102</f>
        <v>0</v>
      </c>
      <c r="E38" s="794">
        <f>VARIABLES!D102</f>
        <v>0</v>
      </c>
      <c r="F38" s="794">
        <f>VARIABLES!E102</f>
        <v>0</v>
      </c>
      <c r="G38" s="794">
        <f>VARIABLES!F102</f>
        <v>0</v>
      </c>
      <c r="H38" s="794">
        <f>VARIABLES!G102</f>
        <v>0</v>
      </c>
      <c r="I38" s="794">
        <f>VARIABLES!H102</f>
        <v>0</v>
      </c>
      <c r="J38" s="794">
        <f>VARIABLES!I102</f>
        <v>0</v>
      </c>
      <c r="K38" s="794">
        <f>VARIABLES!J102</f>
        <v>0</v>
      </c>
      <c r="L38" s="794">
        <f>VARIABLES!K102</f>
        <v>0</v>
      </c>
      <c r="M38" s="794">
        <f>VARIABLES!L102</f>
        <v>0</v>
      </c>
      <c r="N38" s="739">
        <f>VARIABLES!M102</f>
        <v>0</v>
      </c>
      <c r="O38" s="1210">
        <f>SUM(C38:N38)</f>
        <v>0</v>
      </c>
    </row>
    <row r="39" spans="1:15" ht="13" x14ac:dyDescent="0.3">
      <c r="A39" s="1906" t="s">
        <v>207</v>
      </c>
      <c r="B39" s="1906"/>
      <c r="C39" s="786">
        <f>PERSONAL!C174</f>
        <v>0</v>
      </c>
      <c r="D39" s="794">
        <f>PERSONAL!D174</f>
        <v>0</v>
      </c>
      <c r="E39" s="794">
        <f>PERSONAL!E174</f>
        <v>0</v>
      </c>
      <c r="F39" s="794">
        <f>PERSONAL!F174</f>
        <v>0</v>
      </c>
      <c r="G39" s="794">
        <f>PERSONAL!G174</f>
        <v>0</v>
      </c>
      <c r="H39" s="794">
        <f>PERSONAL!H174</f>
        <v>0</v>
      </c>
      <c r="I39" s="794">
        <f>PERSONAL!I174</f>
        <v>0</v>
      </c>
      <c r="J39" s="794">
        <f>PERSONAL!J174</f>
        <v>0</v>
      </c>
      <c r="K39" s="794">
        <f>PERSONAL!K174</f>
        <v>0</v>
      </c>
      <c r="L39" s="794">
        <f>PERSONAL!L174</f>
        <v>0</v>
      </c>
      <c r="M39" s="794">
        <f>PERSONAL!M174</f>
        <v>0</v>
      </c>
      <c r="N39" s="739">
        <f>PERSONAL!N174</f>
        <v>0</v>
      </c>
      <c r="O39" s="1210">
        <f>SUM(C39:N39)</f>
        <v>0</v>
      </c>
    </row>
    <row r="40" spans="1:15" ht="13" x14ac:dyDescent="0.3">
      <c r="A40" s="1906" t="s">
        <v>400</v>
      </c>
      <c r="B40" s="1906"/>
      <c r="C40" s="786">
        <f>PROMOTORS!C157</f>
        <v>0</v>
      </c>
      <c r="D40" s="794">
        <f>PROMOTORS!D157</f>
        <v>0</v>
      </c>
      <c r="E40" s="794">
        <f>PROMOTORS!E157</f>
        <v>0</v>
      </c>
      <c r="F40" s="794">
        <f>PROMOTORS!F157</f>
        <v>0</v>
      </c>
      <c r="G40" s="794">
        <f>PROMOTORS!G157</f>
        <v>0</v>
      </c>
      <c r="H40" s="794">
        <f>PROMOTORS!H157</f>
        <v>0</v>
      </c>
      <c r="I40" s="794">
        <f>PROMOTORS!I157</f>
        <v>0</v>
      </c>
      <c r="J40" s="794">
        <f>PROMOTORS!J157</f>
        <v>0</v>
      </c>
      <c r="K40" s="794">
        <f>PROMOTORS!K157</f>
        <v>0</v>
      </c>
      <c r="L40" s="794">
        <f>PROMOTORS!L157</f>
        <v>0</v>
      </c>
      <c r="M40" s="794">
        <f>PROMOTORS!M157</f>
        <v>0</v>
      </c>
      <c r="N40" s="739">
        <f>PROMOTORS!N157</f>
        <v>0</v>
      </c>
      <c r="O40" s="1210">
        <f>SUM(C40:N40)</f>
        <v>0</v>
      </c>
    </row>
    <row r="41" spans="1:15" ht="13" x14ac:dyDescent="0.3">
      <c r="A41" s="1906" t="s">
        <v>401</v>
      </c>
      <c r="B41" s="1906"/>
      <c r="C41" s="786">
        <f t="shared" ref="C41:N41" si="4">SUM(C37:C40)</f>
        <v>0</v>
      </c>
      <c r="D41" s="794">
        <f t="shared" si="4"/>
        <v>0</v>
      </c>
      <c r="E41" s="794">
        <f t="shared" si="4"/>
        <v>0</v>
      </c>
      <c r="F41" s="794">
        <f t="shared" si="4"/>
        <v>0</v>
      </c>
      <c r="G41" s="794">
        <f t="shared" si="4"/>
        <v>0</v>
      </c>
      <c r="H41" s="794">
        <f t="shared" si="4"/>
        <v>0</v>
      </c>
      <c r="I41" s="794">
        <f t="shared" si="4"/>
        <v>0</v>
      </c>
      <c r="J41" s="794">
        <f t="shared" si="4"/>
        <v>0</v>
      </c>
      <c r="K41" s="794">
        <f t="shared" si="4"/>
        <v>0</v>
      </c>
      <c r="L41" s="794">
        <f t="shared" si="4"/>
        <v>0</v>
      </c>
      <c r="M41" s="794">
        <f t="shared" si="4"/>
        <v>0</v>
      </c>
      <c r="N41" s="739">
        <f t="shared" si="4"/>
        <v>0</v>
      </c>
      <c r="O41" s="1210">
        <f>SUM(C41:N41)</f>
        <v>0</v>
      </c>
    </row>
    <row r="42" spans="1:15" ht="13" x14ac:dyDescent="0.3">
      <c r="A42" s="1906" t="s">
        <v>63</v>
      </c>
      <c r="B42" s="1906"/>
      <c r="C42" s="786">
        <f>C41+B42-C43+$O31</f>
        <v>0</v>
      </c>
      <c r="D42" s="794">
        <f>D41+C42-D43</f>
        <v>0</v>
      </c>
      <c r="E42" s="794">
        <f>E41+D42-E43</f>
        <v>0</v>
      </c>
      <c r="F42" s="794">
        <f>F41+E42-F43</f>
        <v>0</v>
      </c>
      <c r="G42" s="794">
        <f t="shared" ref="G42:N42" si="5">G41+F42-G43</f>
        <v>0</v>
      </c>
      <c r="H42" s="794">
        <f t="shared" si="5"/>
        <v>0</v>
      </c>
      <c r="I42" s="794">
        <f t="shared" si="5"/>
        <v>0</v>
      </c>
      <c r="J42" s="794">
        <f t="shared" si="5"/>
        <v>0</v>
      </c>
      <c r="K42" s="794">
        <f t="shared" si="5"/>
        <v>0</v>
      </c>
      <c r="L42" s="794">
        <f t="shared" si="5"/>
        <v>0</v>
      </c>
      <c r="M42" s="794">
        <f t="shared" si="5"/>
        <v>0</v>
      </c>
      <c r="N42" s="739">
        <f t="shared" si="5"/>
        <v>0</v>
      </c>
      <c r="O42" s="1210">
        <f>N42</f>
        <v>0</v>
      </c>
    </row>
    <row r="43" spans="1:15" ht="13" x14ac:dyDescent="0.3">
      <c r="A43" s="1907" t="s">
        <v>159</v>
      </c>
      <c r="B43" s="1907"/>
      <c r="C43" s="789">
        <f>IF(OR(N25="MARÇ",N25="JUNY",N25="SETEMBRE",N25="DESEMBRE"),B42+$O31,0)</f>
        <v>0</v>
      </c>
      <c r="D43" s="795">
        <f t="shared" ref="D43:N43" si="6">IF(OR(C36="MARÇ",C36="JUNY",C36="SETEMBRE",C36="DESEMBRE"),C42,0)</f>
        <v>0</v>
      </c>
      <c r="E43" s="795">
        <f t="shared" si="6"/>
        <v>0</v>
      </c>
      <c r="F43" s="795">
        <f t="shared" si="6"/>
        <v>0</v>
      </c>
      <c r="G43" s="795">
        <f t="shared" si="6"/>
        <v>0</v>
      </c>
      <c r="H43" s="795">
        <f t="shared" si="6"/>
        <v>0</v>
      </c>
      <c r="I43" s="795">
        <f t="shared" si="6"/>
        <v>0</v>
      </c>
      <c r="J43" s="795">
        <f t="shared" si="6"/>
        <v>0</v>
      </c>
      <c r="K43" s="795">
        <f t="shared" si="6"/>
        <v>0</v>
      </c>
      <c r="L43" s="795">
        <f t="shared" si="6"/>
        <v>0</v>
      </c>
      <c r="M43" s="795">
        <f t="shared" si="6"/>
        <v>0</v>
      </c>
      <c r="N43" s="795">
        <f t="shared" si="6"/>
        <v>0</v>
      </c>
      <c r="O43" s="1211">
        <f>SUM(C43:N43)</f>
        <v>0</v>
      </c>
    </row>
    <row r="44" spans="1:15" x14ac:dyDescent="0.25">
      <c r="C44" s="12"/>
      <c r="D44" s="12"/>
      <c r="E44" s="12"/>
      <c r="F44" s="12"/>
      <c r="G44" s="12"/>
      <c r="H44" s="12"/>
      <c r="I44" s="12"/>
      <c r="J44" s="12"/>
      <c r="K44" s="12"/>
      <c r="L44" s="12"/>
      <c r="M44" s="12"/>
      <c r="N44" s="12"/>
      <c r="O44" s="12"/>
    </row>
    <row r="45" spans="1:15" ht="13" x14ac:dyDescent="0.3">
      <c r="A45" s="1799" t="s">
        <v>57</v>
      </c>
      <c r="B45" s="1799"/>
      <c r="C45" s="12"/>
      <c r="D45" s="12"/>
      <c r="E45" s="12"/>
      <c r="F45" s="12"/>
      <c r="G45" s="12"/>
      <c r="H45" s="12"/>
      <c r="I45" s="12"/>
      <c r="J45" s="12"/>
      <c r="K45" s="12"/>
      <c r="L45" s="12"/>
      <c r="M45" s="12"/>
      <c r="N45" s="12"/>
      <c r="O45" s="12"/>
    </row>
    <row r="46" spans="1:15" x14ac:dyDescent="0.25">
      <c r="C46" s="12"/>
      <c r="D46" s="12"/>
      <c r="E46" s="12"/>
      <c r="F46" s="12"/>
      <c r="G46" s="12"/>
      <c r="H46" s="12"/>
      <c r="I46" s="12"/>
      <c r="J46" s="12"/>
      <c r="K46" s="12"/>
      <c r="L46" s="12"/>
      <c r="M46" s="12"/>
      <c r="N46" s="12"/>
      <c r="O46" s="12"/>
    </row>
    <row r="47" spans="1:15" ht="13" x14ac:dyDescent="0.3">
      <c r="C47" s="1212" t="str">
        <f t="shared" ref="C47:N47" si="7">C36</f>
        <v>GENER</v>
      </c>
      <c r="D47" s="1213" t="str">
        <f t="shared" si="7"/>
        <v>FEBRER</v>
      </c>
      <c r="E47" s="1213" t="str">
        <f t="shared" si="7"/>
        <v>MARÇ</v>
      </c>
      <c r="F47" s="1213" t="str">
        <f t="shared" si="7"/>
        <v>ABRIL</v>
      </c>
      <c r="G47" s="1213" t="str">
        <f t="shared" si="7"/>
        <v>MAIG</v>
      </c>
      <c r="H47" s="1213" t="str">
        <f t="shared" si="7"/>
        <v>JUNY</v>
      </c>
      <c r="I47" s="1213" t="str">
        <f t="shared" si="7"/>
        <v>JULIOL</v>
      </c>
      <c r="J47" s="1213" t="str">
        <f t="shared" si="7"/>
        <v>AGOST</v>
      </c>
      <c r="K47" s="1213" t="str">
        <f t="shared" si="7"/>
        <v>SETEMBRE</v>
      </c>
      <c r="L47" s="1213" t="str">
        <f t="shared" si="7"/>
        <v>OCTUBRE</v>
      </c>
      <c r="M47" s="1213" t="str">
        <f t="shared" si="7"/>
        <v>NOVEMBRE</v>
      </c>
      <c r="N47" s="764" t="str">
        <f t="shared" si="7"/>
        <v>DESEMBRE</v>
      </c>
      <c r="O47" s="1214" t="s">
        <v>245</v>
      </c>
    </row>
    <row r="48" spans="1:15" ht="13" x14ac:dyDescent="0.3">
      <c r="A48" s="1905" t="s">
        <v>398</v>
      </c>
      <c r="B48" s="1905"/>
      <c r="C48" s="1207">
        <f>VARIABLES!B167</f>
        <v>0</v>
      </c>
      <c r="D48" s="1208">
        <f>VARIABLES!C167</f>
        <v>0</v>
      </c>
      <c r="E48" s="1208">
        <f>VARIABLES!D167</f>
        <v>0</v>
      </c>
      <c r="F48" s="1208">
        <f>VARIABLES!E167</f>
        <v>0</v>
      </c>
      <c r="G48" s="1208">
        <f>VARIABLES!F167</f>
        <v>0</v>
      </c>
      <c r="H48" s="1208">
        <f>VARIABLES!G167</f>
        <v>0</v>
      </c>
      <c r="I48" s="1208">
        <f>VARIABLES!H167</f>
        <v>0</v>
      </c>
      <c r="J48" s="1208">
        <f>VARIABLES!I167</f>
        <v>0</v>
      </c>
      <c r="K48" s="1208">
        <f>VARIABLES!J167</f>
        <v>0</v>
      </c>
      <c r="L48" s="1208">
        <f>VARIABLES!K167</f>
        <v>0</v>
      </c>
      <c r="M48" s="1208">
        <f>VARIABLES!L167</f>
        <v>0</v>
      </c>
      <c r="N48" s="1209">
        <f>VARIABLES!M167</f>
        <v>0</v>
      </c>
      <c r="O48" s="1210">
        <f>SUM(C48:N48)</f>
        <v>0</v>
      </c>
    </row>
    <row r="49" spans="1:15" ht="13" x14ac:dyDescent="0.3">
      <c r="A49" s="1906" t="s">
        <v>399</v>
      </c>
      <c r="B49" s="1906"/>
      <c r="C49" s="786">
        <f>VARIABLES!B168</f>
        <v>0</v>
      </c>
      <c r="D49" s="794">
        <f>VARIABLES!C168</f>
        <v>0</v>
      </c>
      <c r="E49" s="794">
        <f>VARIABLES!D168</f>
        <v>0</v>
      </c>
      <c r="F49" s="794">
        <f>VARIABLES!E168</f>
        <v>0</v>
      </c>
      <c r="G49" s="794">
        <f>VARIABLES!F168</f>
        <v>0</v>
      </c>
      <c r="H49" s="794">
        <f>VARIABLES!G168</f>
        <v>0</v>
      </c>
      <c r="I49" s="794">
        <f>VARIABLES!H168</f>
        <v>0</v>
      </c>
      <c r="J49" s="794">
        <f>VARIABLES!I168</f>
        <v>0</v>
      </c>
      <c r="K49" s="794">
        <f>VARIABLES!J168</f>
        <v>0</v>
      </c>
      <c r="L49" s="794">
        <f>VARIABLES!K168</f>
        <v>0</v>
      </c>
      <c r="M49" s="794">
        <f>VARIABLES!L168</f>
        <v>0</v>
      </c>
      <c r="N49" s="739">
        <f>VARIABLES!M168</f>
        <v>0</v>
      </c>
      <c r="O49" s="1210">
        <f>SUM(C49:N49)</f>
        <v>0</v>
      </c>
    </row>
    <row r="50" spans="1:15" ht="13" x14ac:dyDescent="0.3">
      <c r="A50" s="1906" t="s">
        <v>207</v>
      </c>
      <c r="B50" s="1906"/>
      <c r="C50" s="786">
        <f>PERSONAL!C271</f>
        <v>0</v>
      </c>
      <c r="D50" s="794">
        <f>PERSONAL!D271</f>
        <v>0</v>
      </c>
      <c r="E50" s="794">
        <f>PERSONAL!E271</f>
        <v>0</v>
      </c>
      <c r="F50" s="794">
        <f>PERSONAL!F271</f>
        <v>0</v>
      </c>
      <c r="G50" s="794">
        <f>PERSONAL!G271</f>
        <v>0</v>
      </c>
      <c r="H50" s="794">
        <f>PERSONAL!H271</f>
        <v>0</v>
      </c>
      <c r="I50" s="794">
        <f>PERSONAL!I271</f>
        <v>0</v>
      </c>
      <c r="J50" s="794">
        <f>PERSONAL!J271</f>
        <v>0</v>
      </c>
      <c r="K50" s="794">
        <f>PERSONAL!K271</f>
        <v>0</v>
      </c>
      <c r="L50" s="794">
        <f>PERSONAL!L271</f>
        <v>0</v>
      </c>
      <c r="M50" s="794">
        <f>PERSONAL!M271</f>
        <v>0</v>
      </c>
      <c r="N50" s="739">
        <f>PERSONAL!N271</f>
        <v>0</v>
      </c>
      <c r="O50" s="1210">
        <f>SUM(C50:N50)</f>
        <v>0</v>
      </c>
    </row>
    <row r="51" spans="1:15" ht="13" x14ac:dyDescent="0.3">
      <c r="A51" s="1906" t="s">
        <v>400</v>
      </c>
      <c r="B51" s="1906"/>
      <c r="C51" s="786">
        <f>PROMOTORS!C258</f>
        <v>0</v>
      </c>
      <c r="D51" s="794">
        <f>PROMOTORS!D258</f>
        <v>0</v>
      </c>
      <c r="E51" s="794">
        <f>PROMOTORS!E258</f>
        <v>0</v>
      </c>
      <c r="F51" s="794">
        <f>PROMOTORS!F258</f>
        <v>0</v>
      </c>
      <c r="G51" s="794">
        <f>PROMOTORS!G258</f>
        <v>0</v>
      </c>
      <c r="H51" s="794">
        <f>PROMOTORS!H258</f>
        <v>0</v>
      </c>
      <c r="I51" s="794">
        <f>PROMOTORS!I258</f>
        <v>0</v>
      </c>
      <c r="J51" s="794">
        <f>PROMOTORS!J258</f>
        <v>0</v>
      </c>
      <c r="K51" s="794">
        <f>PROMOTORS!K258</f>
        <v>0</v>
      </c>
      <c r="L51" s="794">
        <f>PROMOTORS!L258</f>
        <v>0</v>
      </c>
      <c r="M51" s="794">
        <f>PROMOTORS!M258</f>
        <v>0</v>
      </c>
      <c r="N51" s="739">
        <f>PROMOTORS!N258</f>
        <v>0</v>
      </c>
      <c r="O51" s="1210">
        <f>SUM(C51:N51)</f>
        <v>0</v>
      </c>
    </row>
    <row r="52" spans="1:15" ht="13" x14ac:dyDescent="0.3">
      <c r="A52" s="1906" t="s">
        <v>401</v>
      </c>
      <c r="B52" s="1906"/>
      <c r="C52" s="786">
        <f t="shared" ref="C52:N52" si="8">SUM(C48:C51)</f>
        <v>0</v>
      </c>
      <c r="D52" s="794">
        <f t="shared" si="8"/>
        <v>0</v>
      </c>
      <c r="E52" s="794">
        <f t="shared" si="8"/>
        <v>0</v>
      </c>
      <c r="F52" s="794">
        <f t="shared" si="8"/>
        <v>0</v>
      </c>
      <c r="G52" s="794">
        <f t="shared" si="8"/>
        <v>0</v>
      </c>
      <c r="H52" s="794">
        <f t="shared" si="8"/>
        <v>0</v>
      </c>
      <c r="I52" s="794">
        <f t="shared" si="8"/>
        <v>0</v>
      </c>
      <c r="J52" s="794">
        <f t="shared" si="8"/>
        <v>0</v>
      </c>
      <c r="K52" s="794">
        <f t="shared" si="8"/>
        <v>0</v>
      </c>
      <c r="L52" s="794">
        <f t="shared" si="8"/>
        <v>0</v>
      </c>
      <c r="M52" s="794">
        <f t="shared" si="8"/>
        <v>0</v>
      </c>
      <c r="N52" s="794">
        <f t="shared" si="8"/>
        <v>0</v>
      </c>
      <c r="O52" s="1210">
        <f>SUM(C52:N52)</f>
        <v>0</v>
      </c>
    </row>
    <row r="53" spans="1:15" ht="13" x14ac:dyDescent="0.3">
      <c r="A53" s="1906" t="s">
        <v>63</v>
      </c>
      <c r="B53" s="1906"/>
      <c r="C53" s="786">
        <f>C52+B53-C54+$O42</f>
        <v>0</v>
      </c>
      <c r="D53" s="794">
        <f>D52+C53-D54</f>
        <v>0</v>
      </c>
      <c r="E53" s="794">
        <f>E52+D53-E54</f>
        <v>0</v>
      </c>
      <c r="F53" s="794">
        <f>F52+E53-F54</f>
        <v>0</v>
      </c>
      <c r="G53" s="794">
        <f t="shared" ref="G53:N53" si="9">G52+F53-G54</f>
        <v>0</v>
      </c>
      <c r="H53" s="794">
        <f t="shared" si="9"/>
        <v>0</v>
      </c>
      <c r="I53" s="794">
        <f t="shared" si="9"/>
        <v>0</v>
      </c>
      <c r="J53" s="794">
        <f t="shared" si="9"/>
        <v>0</v>
      </c>
      <c r="K53" s="794">
        <f t="shared" si="9"/>
        <v>0</v>
      </c>
      <c r="L53" s="794">
        <f t="shared" si="9"/>
        <v>0</v>
      </c>
      <c r="M53" s="794">
        <f t="shared" si="9"/>
        <v>0</v>
      </c>
      <c r="N53" s="739">
        <f t="shared" si="9"/>
        <v>0</v>
      </c>
      <c r="O53" s="1210">
        <f>N53</f>
        <v>0</v>
      </c>
    </row>
    <row r="54" spans="1:15" ht="13" x14ac:dyDescent="0.3">
      <c r="A54" s="1907" t="s">
        <v>159</v>
      </c>
      <c r="B54" s="1907"/>
      <c r="C54" s="789">
        <f>IF(OR(N36="MARÇ",N36="JUNY",N36="SETEMBRE",N36="DESEMBRE"),B53+$O42,0)</f>
        <v>0</v>
      </c>
      <c r="D54" s="795">
        <f t="shared" ref="D54:N54" si="10">IF(OR(C47="MARÇ",C47="JUNY",C47="SETEMBRE",C47="DESEMBRE"),C53,0)</f>
        <v>0</v>
      </c>
      <c r="E54" s="795">
        <f t="shared" si="10"/>
        <v>0</v>
      </c>
      <c r="F54" s="795">
        <f t="shared" si="10"/>
        <v>0</v>
      </c>
      <c r="G54" s="795">
        <f t="shared" si="10"/>
        <v>0</v>
      </c>
      <c r="H54" s="795">
        <f t="shared" si="10"/>
        <v>0</v>
      </c>
      <c r="I54" s="795">
        <f t="shared" si="10"/>
        <v>0</v>
      </c>
      <c r="J54" s="795">
        <f t="shared" si="10"/>
        <v>0</v>
      </c>
      <c r="K54" s="795">
        <f t="shared" si="10"/>
        <v>0</v>
      </c>
      <c r="L54" s="795">
        <f t="shared" si="10"/>
        <v>0</v>
      </c>
      <c r="M54" s="795">
        <f t="shared" si="10"/>
        <v>0</v>
      </c>
      <c r="N54" s="795">
        <f t="shared" si="10"/>
        <v>0</v>
      </c>
      <c r="O54" s="1211">
        <f>SUM(C54:N54)</f>
        <v>0</v>
      </c>
    </row>
    <row r="55" spans="1:15" x14ac:dyDescent="0.25">
      <c r="C55" s="12"/>
      <c r="D55" s="12"/>
      <c r="E55" s="12"/>
      <c r="F55" s="12"/>
      <c r="G55" s="12"/>
      <c r="H55" s="12"/>
      <c r="I55" s="12"/>
      <c r="J55" s="12"/>
      <c r="K55" s="12"/>
      <c r="L55" s="12"/>
      <c r="M55" s="12"/>
      <c r="N55" s="12"/>
      <c r="O55" s="12"/>
    </row>
    <row r="56" spans="1:15" x14ac:dyDescent="0.25">
      <c r="C56" s="12"/>
      <c r="D56" s="12"/>
      <c r="E56" s="12"/>
      <c r="F56" s="12"/>
      <c r="G56" s="12"/>
      <c r="H56" s="12"/>
      <c r="I56" s="12"/>
      <c r="J56" s="12"/>
      <c r="K56" s="12"/>
      <c r="L56" s="12"/>
      <c r="M56" s="12"/>
      <c r="N56" s="12"/>
      <c r="O56" s="12"/>
    </row>
    <row r="57" spans="1:15" x14ac:dyDescent="0.25">
      <c r="C57" s="12"/>
      <c r="D57" s="12"/>
      <c r="E57" s="12"/>
      <c r="F57" s="12"/>
      <c r="G57" s="12"/>
      <c r="H57" s="12"/>
      <c r="I57" s="12"/>
      <c r="J57" s="12"/>
      <c r="K57" s="12"/>
      <c r="L57" s="12"/>
      <c r="M57" s="12"/>
      <c r="N57" s="12"/>
      <c r="O57" s="12"/>
    </row>
    <row r="58" spans="1:15" x14ac:dyDescent="0.25">
      <c r="C58" s="12"/>
      <c r="D58" s="12"/>
      <c r="E58" s="12"/>
      <c r="F58" s="12"/>
      <c r="G58" s="12"/>
      <c r="H58" s="12"/>
      <c r="I58" s="12"/>
      <c r="J58" s="12"/>
      <c r="K58" s="12"/>
      <c r="L58" s="12"/>
      <c r="M58" s="12"/>
      <c r="N58" s="12"/>
      <c r="O58" s="12"/>
    </row>
    <row r="59" spans="1:15" x14ac:dyDescent="0.25">
      <c r="C59" s="12"/>
      <c r="D59" s="12"/>
      <c r="E59" s="12"/>
      <c r="F59" s="12"/>
      <c r="G59" s="12"/>
      <c r="H59" s="12"/>
      <c r="I59" s="12"/>
      <c r="J59" s="12"/>
      <c r="K59" s="12"/>
      <c r="L59" s="12"/>
      <c r="M59" s="12"/>
      <c r="N59" s="12"/>
      <c r="O59" s="12"/>
    </row>
    <row r="60" spans="1:15" x14ac:dyDescent="0.25">
      <c r="C60" s="12"/>
      <c r="D60" s="12"/>
      <c r="E60" s="12"/>
      <c r="F60" s="12"/>
      <c r="G60" s="12"/>
      <c r="H60" s="12"/>
      <c r="I60" s="12"/>
      <c r="J60" s="12"/>
      <c r="K60" s="12"/>
      <c r="L60" s="12"/>
      <c r="M60" s="12"/>
      <c r="N60" s="12"/>
      <c r="O60" s="12"/>
    </row>
    <row r="61" spans="1:15" x14ac:dyDescent="0.25">
      <c r="C61" s="12"/>
      <c r="D61" s="12"/>
      <c r="E61" s="12"/>
      <c r="F61" s="12"/>
      <c r="G61" s="12"/>
      <c r="H61" s="12"/>
      <c r="I61" s="12"/>
      <c r="J61" s="12"/>
      <c r="K61" s="12"/>
      <c r="L61" s="12"/>
      <c r="M61" s="12"/>
      <c r="N61" s="12"/>
      <c r="O61" s="12"/>
    </row>
    <row r="62" spans="1:15" x14ac:dyDescent="0.25">
      <c r="C62" s="12"/>
      <c r="D62" s="12"/>
      <c r="E62" s="12"/>
      <c r="F62" s="12"/>
      <c r="G62" s="12"/>
      <c r="H62" s="12"/>
      <c r="I62" s="12"/>
      <c r="J62" s="12"/>
      <c r="K62" s="12"/>
      <c r="L62" s="12"/>
      <c r="M62" s="12"/>
      <c r="N62" s="12"/>
      <c r="O62" s="12"/>
    </row>
  </sheetData>
  <sheetProtection password="CC2F" sheet="1" objects="1" scenarios="1"/>
  <mergeCells count="34">
    <mergeCell ref="A43:B43"/>
    <mergeCell ref="A45:B45"/>
    <mergeCell ref="A48:B48"/>
    <mergeCell ref="A53:B53"/>
    <mergeCell ref="A54:B54"/>
    <mergeCell ref="A49:B49"/>
    <mergeCell ref="A50:B50"/>
    <mergeCell ref="A51:B51"/>
    <mergeCell ref="A52:B52"/>
    <mergeCell ref="A38:B38"/>
    <mergeCell ref="A39:B39"/>
    <mergeCell ref="A40:B40"/>
    <mergeCell ref="A41:B41"/>
    <mergeCell ref="A42:B42"/>
    <mergeCell ref="A30:B30"/>
    <mergeCell ref="A31:B31"/>
    <mergeCell ref="A32:B32"/>
    <mergeCell ref="A34:B34"/>
    <mergeCell ref="A37:B37"/>
    <mergeCell ref="A23:B23"/>
    <mergeCell ref="A26:B26"/>
    <mergeCell ref="A27:B27"/>
    <mergeCell ref="A28:B28"/>
    <mergeCell ref="A29:B29"/>
    <mergeCell ref="A8:D8"/>
    <mergeCell ref="B16:C16"/>
    <mergeCell ref="B17:C17"/>
    <mergeCell ref="B18:C18"/>
    <mergeCell ref="A21:B21"/>
    <mergeCell ref="A1:D1"/>
    <mergeCell ref="F1:H1"/>
    <mergeCell ref="A3:B3"/>
    <mergeCell ref="A4:B4"/>
    <mergeCell ref="A5:B5"/>
  </mergeCells>
  <phoneticPr fontId="22" type="noConversion"/>
  <conditionalFormatting sqref="I1">
    <cfRule type="cellIs" priority="1" stopIfTrue="1" operator="equal">
      <formula>"""OMPLENAR"""</formula>
    </cfRule>
  </conditionalFormatting>
  <pageMargins left="0.74791666666666667" right="0.74791666666666667" top="0.98402777777777783" bottom="0.98402777777777783" header="0.51180555555555562" footer="0.51180555555555562"/>
  <pageSetup paperSize="9" scale="53" firstPageNumber="0" orientation="landscape" horizontalDpi="300" verticalDpi="300"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6"/>
  <dimension ref="A1:P193"/>
  <sheetViews>
    <sheetView workbookViewId="0">
      <selection activeCell="A30" sqref="A30"/>
    </sheetView>
  </sheetViews>
  <sheetFormatPr defaultColWidth="11.453125" defaultRowHeight="13" x14ac:dyDescent="0.3"/>
  <cols>
    <col min="1" max="1" width="35.453125" style="7" customWidth="1"/>
    <col min="2" max="2" width="12.7265625" style="1215" customWidth="1"/>
    <col min="3" max="13" width="12.7265625" customWidth="1"/>
    <col min="14" max="14" width="12.7265625" style="7" customWidth="1"/>
    <col min="16" max="16" width="0" hidden="1" customWidth="1"/>
  </cols>
  <sheetData>
    <row r="1" spans="1:16" x14ac:dyDescent="0.3">
      <c r="A1" s="717" t="s">
        <v>17</v>
      </c>
      <c r="B1"/>
      <c r="P1" s="1216" t="str">
        <f>D$12</f>
        <v>MARÇ</v>
      </c>
    </row>
    <row r="2" spans="1:16" x14ac:dyDescent="0.3">
      <c r="A2" s="26"/>
      <c r="B2" s="1217"/>
      <c r="P2" s="1216" t="str">
        <f>E$12</f>
        <v>ABRIL</v>
      </c>
    </row>
    <row r="3" spans="1:16" s="90" customFormat="1" x14ac:dyDescent="0.3">
      <c r="B3" s="1218" t="s">
        <v>167</v>
      </c>
      <c r="C3" s="1219" t="s">
        <v>168</v>
      </c>
      <c r="N3" s="1220"/>
      <c r="P3" s="1216" t="str">
        <f>F$12</f>
        <v>MAIG</v>
      </c>
    </row>
    <row r="4" spans="1:16" s="90" customFormat="1" x14ac:dyDescent="0.3">
      <c r="A4" s="1221" t="s">
        <v>169</v>
      </c>
      <c r="B4" s="1222">
        <f>'Introducció dades'!C226</f>
        <v>0</v>
      </c>
      <c r="C4" s="1223">
        <f>'Introducció dades'!D226</f>
        <v>0</v>
      </c>
      <c r="E4"/>
      <c r="F4"/>
      <c r="N4" s="1220"/>
      <c r="P4" s="1216" t="str">
        <f>G$12</f>
        <v>JUNY</v>
      </c>
    </row>
    <row r="5" spans="1:16" s="90" customFormat="1" x14ac:dyDescent="0.3">
      <c r="A5" s="1224" t="s">
        <v>402</v>
      </c>
      <c r="B5" s="1222">
        <f>'Introducció dades'!C403</f>
        <v>0</v>
      </c>
      <c r="C5" s="1223">
        <f>'Introducció dades'!D403</f>
        <v>0</v>
      </c>
      <c r="E5" s="22" t="s">
        <v>89</v>
      </c>
      <c r="F5" s="22" t="s">
        <v>161</v>
      </c>
      <c r="J5" s="1654"/>
      <c r="K5" s="1654" t="s">
        <v>17</v>
      </c>
      <c r="L5" s="1654"/>
      <c r="M5" s="1654"/>
      <c r="N5" s="1220"/>
      <c r="P5" s="1216" t="str">
        <f>H$12</f>
        <v>JULIOL</v>
      </c>
    </row>
    <row r="6" spans="1:16" s="90" customFormat="1" x14ac:dyDescent="0.3">
      <c r="E6" s="1093" t="s">
        <v>59</v>
      </c>
      <c r="F6" s="1023">
        <f>'Introducció dades'!C219</f>
        <v>0.21</v>
      </c>
      <c r="J6" s="1657"/>
      <c r="K6" s="1655" t="s">
        <v>719</v>
      </c>
      <c r="L6" s="1657"/>
      <c r="M6" s="1655"/>
      <c r="N6" s="1220"/>
      <c r="P6" s="1216" t="str">
        <f>I$12</f>
        <v>AGOST</v>
      </c>
    </row>
    <row r="7" spans="1:16" s="90" customFormat="1" x14ac:dyDescent="0.3">
      <c r="A7" s="1225" t="s">
        <v>170</v>
      </c>
      <c r="B7" s="1226"/>
      <c r="E7" s="22" t="s">
        <v>403</v>
      </c>
      <c r="F7" s="22" t="s">
        <v>161</v>
      </c>
      <c r="J7" s="1657"/>
      <c r="K7" s="1655" t="s">
        <v>720</v>
      </c>
      <c r="L7" s="1657"/>
      <c r="M7" s="1656">
        <f>+INVERSIONS!H10</f>
        <v>0</v>
      </c>
      <c r="N7" s="1220"/>
      <c r="P7" s="1216" t="str">
        <f>J$12</f>
        <v>SETEMBRE</v>
      </c>
    </row>
    <row r="8" spans="1:16" s="90" customFormat="1" x14ac:dyDescent="0.3">
      <c r="A8" s="1227" t="s">
        <v>171</v>
      </c>
      <c r="B8" s="1228">
        <f>'Introducció dades'!C228</f>
        <v>0</v>
      </c>
      <c r="E8" s="1229" t="s">
        <v>398</v>
      </c>
      <c r="F8" s="1023">
        <f>'Introducció dades'!C221</f>
        <v>0.21</v>
      </c>
      <c r="G8" s="1230" t="s">
        <v>404</v>
      </c>
      <c r="H8" s="1231">
        <f>+Fiscalitat!$H$24</f>
        <v>0.2</v>
      </c>
      <c r="N8" s="1220"/>
      <c r="P8" s="1216" t="str">
        <f>K$12</f>
        <v>OCTUBRE</v>
      </c>
    </row>
    <row r="9" spans="1:16" s="90" customFormat="1" x14ac:dyDescent="0.3">
      <c r="A9" s="1224" t="s">
        <v>172</v>
      </c>
      <c r="B9" s="1232">
        <f>'Introducció dades'!C229</f>
        <v>0</v>
      </c>
      <c r="E9" s="1229" t="s">
        <v>405</v>
      </c>
      <c r="F9" s="1023">
        <f>'Introducció dades'!C222</f>
        <v>0.21</v>
      </c>
      <c r="G9" s="1230" t="s">
        <v>406</v>
      </c>
      <c r="H9" s="1231">
        <f>+Fiscalitat!G30</f>
        <v>0.18</v>
      </c>
      <c r="N9" s="1220"/>
      <c r="P9" s="1216" t="str">
        <f>L$12</f>
        <v>NOVEMBRE</v>
      </c>
    </row>
    <row r="10" spans="1:16" s="90" customFormat="1" x14ac:dyDescent="0.3">
      <c r="A10" s="1233" t="s">
        <v>407</v>
      </c>
      <c r="B10" s="1232">
        <f>'Introducció dades'!C230</f>
        <v>0</v>
      </c>
      <c r="N10" s="1220"/>
      <c r="P10" s="1216" t="str">
        <f>M$12</f>
        <v>DESEMBRE</v>
      </c>
    </row>
    <row r="11" spans="1:16" x14ac:dyDescent="0.3">
      <c r="P11" s="1234" t="str">
        <f>N$12</f>
        <v>TOTAL</v>
      </c>
    </row>
    <row r="12" spans="1:16" s="1215" customFormat="1" x14ac:dyDescent="0.3">
      <c r="A12"/>
      <c r="B12" s="1235" t="str">
        <f>ÍNDEX!D6</f>
        <v>GENER</v>
      </c>
      <c r="C12" s="1235" t="str">
        <f>ÍNDEX!E7</f>
        <v>FEBRER</v>
      </c>
      <c r="D12" s="1235" t="str">
        <f>ÍNDEX!F7</f>
        <v>MARÇ</v>
      </c>
      <c r="E12" s="1235" t="str">
        <f>ÍNDEX!G7</f>
        <v>ABRIL</v>
      </c>
      <c r="F12" s="1235" t="str">
        <f>ÍNDEX!H7</f>
        <v>MAIG</v>
      </c>
      <c r="G12" s="1235" t="str">
        <f>ÍNDEX!I7</f>
        <v>JUNY</v>
      </c>
      <c r="H12" s="1235" t="str">
        <f>ÍNDEX!J7</f>
        <v>JULIOL</v>
      </c>
      <c r="I12" s="1235" t="str">
        <f>ÍNDEX!K7</f>
        <v>AGOST</v>
      </c>
      <c r="J12" s="1235" t="str">
        <f>ÍNDEX!L7</f>
        <v>SETEMBRE</v>
      </c>
      <c r="K12" s="1235" t="str">
        <f>ÍNDEX!M7</f>
        <v>OCTUBRE</v>
      </c>
      <c r="L12" s="1235" t="str">
        <f>ÍNDEX!N7</f>
        <v>NOVEMBRE</v>
      </c>
      <c r="M12" s="1235" t="str">
        <f>ÍNDEX!O7</f>
        <v>DESEMBRE</v>
      </c>
      <c r="N12" s="1236" t="s">
        <v>245</v>
      </c>
    </row>
    <row r="13" spans="1:16" x14ac:dyDescent="0.3">
      <c r="A13" s="141" t="s">
        <v>408</v>
      </c>
      <c r="B13" s="1237">
        <f>'INGRESSOS _ COMPRES'!C32</f>
        <v>0</v>
      </c>
      <c r="C13" s="1237">
        <f>'INGRESSOS _ COMPRES'!D32</f>
        <v>0</v>
      </c>
      <c r="D13" s="1237">
        <f>'INGRESSOS _ COMPRES'!E32</f>
        <v>0</v>
      </c>
      <c r="E13" s="1237">
        <f>'INGRESSOS _ COMPRES'!F32</f>
        <v>0</v>
      </c>
      <c r="F13" s="1237">
        <f>'INGRESSOS _ COMPRES'!G32</f>
        <v>0</v>
      </c>
      <c r="G13" s="1237">
        <f>'INGRESSOS _ COMPRES'!H32</f>
        <v>0</v>
      </c>
      <c r="H13" s="1237">
        <f>'INGRESSOS _ COMPRES'!I32</f>
        <v>0</v>
      </c>
      <c r="I13" s="1237">
        <f>'INGRESSOS _ COMPRES'!J32</f>
        <v>0</v>
      </c>
      <c r="J13" s="1237">
        <f>'INGRESSOS _ COMPRES'!K32</f>
        <v>0</v>
      </c>
      <c r="K13" s="1237">
        <f>'INGRESSOS _ COMPRES'!L32</f>
        <v>0</v>
      </c>
      <c r="L13" s="1237">
        <f>'INGRESSOS _ COMPRES'!M32</f>
        <v>0</v>
      </c>
      <c r="M13" s="1237">
        <f>'INGRESSOS _ COMPRES'!N32</f>
        <v>0</v>
      </c>
      <c r="N13" s="1237">
        <f>SUM(B13:M13)</f>
        <v>0</v>
      </c>
    </row>
    <row r="14" spans="1:16" s="7" customFormat="1" x14ac:dyDescent="0.3">
      <c r="A14" s="141" t="s">
        <v>409</v>
      </c>
      <c r="B14" s="1237">
        <f>'INGRESSOS _ COMPRES'!C64</f>
        <v>0</v>
      </c>
      <c r="C14" s="1237">
        <f>'INGRESSOS _ COMPRES'!D64</f>
        <v>0</v>
      </c>
      <c r="D14" s="1237">
        <f>'INGRESSOS _ COMPRES'!E64</f>
        <v>0</v>
      </c>
      <c r="E14" s="1237">
        <f>'INGRESSOS _ COMPRES'!F64</f>
        <v>0</v>
      </c>
      <c r="F14" s="1237">
        <f>'INGRESSOS _ COMPRES'!G64</f>
        <v>0</v>
      </c>
      <c r="G14" s="1237">
        <f>'INGRESSOS _ COMPRES'!H64</f>
        <v>0</v>
      </c>
      <c r="H14" s="1237">
        <f>'INGRESSOS _ COMPRES'!I64</f>
        <v>0</v>
      </c>
      <c r="I14" s="1237">
        <f>'INGRESSOS _ COMPRES'!J64</f>
        <v>0</v>
      </c>
      <c r="J14" s="1237">
        <f>'INGRESSOS _ COMPRES'!K64</f>
        <v>0</v>
      </c>
      <c r="K14" s="1237">
        <f>'INGRESSOS _ COMPRES'!L64</f>
        <v>0</v>
      </c>
      <c r="L14" s="1237">
        <f>'INGRESSOS _ COMPRES'!M64</f>
        <v>0</v>
      </c>
      <c r="M14" s="1237">
        <f>'INGRESSOS _ COMPRES'!N64</f>
        <v>0</v>
      </c>
      <c r="N14" s="1237">
        <f t="shared" ref="N14:N35" si="0">SUM(B14:M14)</f>
        <v>0</v>
      </c>
    </row>
    <row r="15" spans="1:16" x14ac:dyDescent="0.3">
      <c r="A15" s="1238" t="s">
        <v>410</v>
      </c>
      <c r="B15" s="1239">
        <f>SUM(B16:B25)+B31+M7</f>
        <v>0</v>
      </c>
      <c r="C15" s="1239">
        <f t="shared" ref="C15:M15" si="1">SUM(C16:C25)+C31</f>
        <v>0</v>
      </c>
      <c r="D15" s="1239">
        <f t="shared" si="1"/>
        <v>0</v>
      </c>
      <c r="E15" s="1239">
        <f t="shared" si="1"/>
        <v>0</v>
      </c>
      <c r="F15" s="1239">
        <f t="shared" si="1"/>
        <v>0</v>
      </c>
      <c r="G15" s="1239">
        <f t="shared" si="1"/>
        <v>0</v>
      </c>
      <c r="H15" s="1239">
        <f t="shared" si="1"/>
        <v>0</v>
      </c>
      <c r="I15" s="1239">
        <f t="shared" si="1"/>
        <v>0</v>
      </c>
      <c r="J15" s="1239">
        <f t="shared" si="1"/>
        <v>0</v>
      </c>
      <c r="K15" s="1239">
        <f t="shared" si="1"/>
        <v>0</v>
      </c>
      <c r="L15" s="1239">
        <f t="shared" si="1"/>
        <v>0</v>
      </c>
      <c r="M15" s="1239">
        <f t="shared" si="1"/>
        <v>0</v>
      </c>
      <c r="N15" s="1240">
        <f t="shared" si="0"/>
        <v>0</v>
      </c>
    </row>
    <row r="16" spans="1:16" s="964" customFormat="1" ht="11.5" x14ac:dyDescent="0.25">
      <c r="A16" s="1241" t="s">
        <v>398</v>
      </c>
      <c r="B16" s="1242">
        <f>IF(OR(Fiscalitat!$H$21="a",Fiscalitat!$H$21="B",Fiscalitat!$H$21="D"),'Introducció dades'!C233*(1+$F$6),'Introducció dades'!C233)</f>
        <v>0</v>
      </c>
      <c r="C16" s="1242">
        <f>IF(OR(Fiscalitat!$H$21="a",Fiscalitat!$H$21="B",Fiscalitat!$H$21="D"),'Introducció dades'!D233*(1+$F$6),'Introducció dades'!D233)</f>
        <v>0</v>
      </c>
      <c r="D16" s="1242">
        <f>IF(OR(Fiscalitat!$H$21="a",Fiscalitat!$H$21="B",Fiscalitat!$H$21="D"),'Introducció dades'!E233*(1+$F$6),'Introducció dades'!E233)</f>
        <v>0</v>
      </c>
      <c r="E16" s="1242">
        <f>IF(OR(Fiscalitat!$H$21="a",Fiscalitat!$H$21="B",Fiscalitat!$H$21="D"),'Introducció dades'!F233*(1+$F$6),'Introducció dades'!F233)</f>
        <v>0</v>
      </c>
      <c r="F16" s="1242">
        <f>IF(OR(Fiscalitat!$H$21="a",Fiscalitat!$H$21="B",Fiscalitat!$H$21="D"),'Introducció dades'!G233*(1+$F$6),'Introducció dades'!G233)</f>
        <v>0</v>
      </c>
      <c r="G16" s="1242">
        <f>IF(OR(Fiscalitat!$H$21="a",Fiscalitat!$H$21="B",Fiscalitat!$H$21="D"),'Introducció dades'!H233*(1+$F$6),'Introducció dades'!H233)</f>
        <v>0</v>
      </c>
      <c r="H16" s="1242">
        <f>IF(OR(Fiscalitat!$H$21="a",Fiscalitat!$H$21="B",Fiscalitat!$H$21="D"),'Introducció dades'!I233*(1+$F$6),'Introducció dades'!I233)</f>
        <v>0</v>
      </c>
      <c r="I16" s="1242">
        <f>IF(OR(Fiscalitat!$H$21="a",Fiscalitat!$H$21="B",Fiscalitat!$H$21="D"),'Introducció dades'!J233*(1+$F$6),'Introducció dades'!J233)</f>
        <v>0</v>
      </c>
      <c r="J16" s="1242">
        <f>IF(OR(Fiscalitat!$H$21="a",Fiscalitat!$H$21="B",Fiscalitat!$H$21="D"),'Introducció dades'!K233*(1+$F$6),'Introducció dades'!K233)</f>
        <v>0</v>
      </c>
      <c r="K16" s="1242">
        <f>IF(OR(Fiscalitat!$H$21="a",Fiscalitat!$H$21="B",Fiscalitat!$H$21="D"),'Introducció dades'!L233*(1+$F$6),'Introducció dades'!L233)</f>
        <v>0</v>
      </c>
      <c r="L16" s="1242">
        <f>IF(OR(Fiscalitat!$H$21="a",Fiscalitat!$H$21="B",Fiscalitat!$H$21="D"),'Introducció dades'!M233*(1+$F$6),'Introducció dades'!M233)</f>
        <v>0</v>
      </c>
      <c r="M16" s="1242">
        <f>IF(OR(Fiscalitat!$H$21="a",Fiscalitat!$H$21="B",Fiscalitat!$H$21="D"),'Introducció dades'!N233*(1+$F$6),'Introducció dades'!N233)</f>
        <v>0</v>
      </c>
      <c r="N16" s="1243">
        <f t="shared" si="0"/>
        <v>0</v>
      </c>
    </row>
    <row r="17" spans="1:14" s="964" customFormat="1" ht="11.5" x14ac:dyDescent="0.25">
      <c r="A17" s="1241" t="s">
        <v>717</v>
      </c>
      <c r="B17" s="1242">
        <f>+LEASING!$G16</f>
        <v>0</v>
      </c>
      <c r="C17" s="1242">
        <f>+LEASING!$G17</f>
        <v>0</v>
      </c>
      <c r="D17" s="1242">
        <f>+LEASING!$G18</f>
        <v>0</v>
      </c>
      <c r="E17" s="1242">
        <f>+LEASING!$G19</f>
        <v>0</v>
      </c>
      <c r="F17" s="1242">
        <f>+LEASING!$G20</f>
        <v>0</v>
      </c>
      <c r="G17" s="1242">
        <f>+LEASING!$G21</f>
        <v>0</v>
      </c>
      <c r="H17" s="1242">
        <f>+LEASING!$G22</f>
        <v>0</v>
      </c>
      <c r="I17" s="1242">
        <f>+LEASING!$G23</f>
        <v>0</v>
      </c>
      <c r="J17" s="1242">
        <f>+LEASING!$G24</f>
        <v>0</v>
      </c>
      <c r="K17" s="1242">
        <f>+LEASING!$G25</f>
        <v>0</v>
      </c>
      <c r="L17" s="1242">
        <f>+LEASING!$G26</f>
        <v>0</v>
      </c>
      <c r="M17" s="1242">
        <f>+LEASING!$G27</f>
        <v>0</v>
      </c>
      <c r="N17" s="1243">
        <f t="shared" si="0"/>
        <v>0</v>
      </c>
    </row>
    <row r="18" spans="1:14" s="964" customFormat="1" ht="11.5" x14ac:dyDescent="0.25">
      <c r="A18" s="1244" t="s">
        <v>175</v>
      </c>
      <c r="B18" s="1242">
        <f>IF(OR(Fiscalitat!$H$21="a",Fiscalitat!$H$21="B",Fiscalitat!$H$21="D"),'Introducció dades'!C234*(1+$F$6),'Introducció dades'!C234)</f>
        <v>0</v>
      </c>
      <c r="C18" s="1242">
        <f>IF(OR(Fiscalitat!$H$21="a",Fiscalitat!$H$21="B",Fiscalitat!$H$21="D"),'Introducció dades'!D234*(1+$F$6),'Introducció dades'!D234)</f>
        <v>0</v>
      </c>
      <c r="D18" s="1242">
        <f>IF(OR(Fiscalitat!$H$21="a",Fiscalitat!$H$21="B",Fiscalitat!$H$21="D"),'Introducció dades'!E234*(1+$F$6),'Introducció dades'!E234)</f>
        <v>0</v>
      </c>
      <c r="E18" s="1242">
        <f>IF(OR(Fiscalitat!$H$21="a",Fiscalitat!$H$21="B",Fiscalitat!$H$21="D"),'Introducció dades'!F234*(1+$F$6),'Introducció dades'!F234)</f>
        <v>0</v>
      </c>
      <c r="F18" s="1242">
        <f>IF(OR(Fiscalitat!$H$21="a",Fiscalitat!$H$21="B",Fiscalitat!$H$21="D"),'Introducció dades'!G234*(1+$F$6),'Introducció dades'!G234)</f>
        <v>0</v>
      </c>
      <c r="G18" s="1242">
        <f>IF(OR(Fiscalitat!$H$21="a",Fiscalitat!$H$21="B",Fiscalitat!$H$21="D"),'Introducció dades'!H234*(1+$F$6),'Introducció dades'!H234)</f>
        <v>0</v>
      </c>
      <c r="H18" s="1242">
        <f>IF(OR(Fiscalitat!$H$21="a",Fiscalitat!$H$21="B",Fiscalitat!$H$21="D"),'Introducció dades'!I234*(1+$F$6),'Introducció dades'!I234)</f>
        <v>0</v>
      </c>
      <c r="I18" s="1242">
        <f>IF(OR(Fiscalitat!$H$21="a",Fiscalitat!$H$21="B",Fiscalitat!$H$21="D"),'Introducció dades'!J234*(1+$F$6),'Introducció dades'!J234)</f>
        <v>0</v>
      </c>
      <c r="J18" s="1242">
        <f>IF(OR(Fiscalitat!$H$21="a",Fiscalitat!$H$21="B",Fiscalitat!$H$21="D"),'Introducció dades'!K234*(1+$F$6),'Introducció dades'!K234)</f>
        <v>0</v>
      </c>
      <c r="K18" s="1242">
        <f>IF(OR(Fiscalitat!$H$21="a",Fiscalitat!$H$21="B",Fiscalitat!$H$21="D"),'Introducció dades'!L234*(1+$F$6),'Introducció dades'!L234)</f>
        <v>0</v>
      </c>
      <c r="L18" s="1242">
        <f>IF(OR(Fiscalitat!$H$21="a",Fiscalitat!$H$21="B",Fiscalitat!$H$21="D"),'Introducció dades'!M234*(1+$F$6),'Introducció dades'!M234)</f>
        <v>0</v>
      </c>
      <c r="M18" s="1242">
        <f>IF(OR(Fiscalitat!$H$21="a",Fiscalitat!$H$21="B",Fiscalitat!$H$21="D"),'Introducció dades'!N234*(1+$F$6),'Introducció dades'!N234)</f>
        <v>0</v>
      </c>
      <c r="N18" s="1243">
        <f t="shared" si="0"/>
        <v>0</v>
      </c>
    </row>
    <row r="19" spans="1:14" s="964" customFormat="1" ht="11.5" x14ac:dyDescent="0.25">
      <c r="A19" s="1244" t="s">
        <v>399</v>
      </c>
      <c r="B19" s="1242">
        <f>IF(OR(Fiscalitat!$H$21="a",Fiscalitat!$H$21="B",Fiscalitat!$H$21="D"),'Introducció dades'!C235*(1+$F$6),'Introducció dades'!C235)</f>
        <v>0</v>
      </c>
      <c r="C19" s="1242">
        <f>IF(OR(Fiscalitat!$H$21="a",Fiscalitat!$H$21="B",Fiscalitat!$H$21="D"),'Introducció dades'!D235*(1+$F$6),'Introducció dades'!D235)</f>
        <v>0</v>
      </c>
      <c r="D19" s="1242">
        <f>IF(OR(Fiscalitat!$H$21="a",Fiscalitat!$H$21="B",Fiscalitat!$H$21="D"),'Introducció dades'!E235*(1+$F$6),'Introducció dades'!E235)</f>
        <v>0</v>
      </c>
      <c r="E19" s="1242">
        <f>IF(OR(Fiscalitat!$H$21="a",Fiscalitat!$H$21="B",Fiscalitat!$H$21="D"),'Introducció dades'!F235*(1+$F$6),'Introducció dades'!F235)</f>
        <v>0</v>
      </c>
      <c r="F19" s="1242">
        <f>IF(OR(Fiscalitat!$H$21="a",Fiscalitat!$H$21="B",Fiscalitat!$H$21="D"),'Introducció dades'!G235*(1+$F$6),'Introducció dades'!G235)</f>
        <v>0</v>
      </c>
      <c r="G19" s="1242">
        <f>IF(OR(Fiscalitat!$H$21="a",Fiscalitat!$H$21="B",Fiscalitat!$H$21="D"),'Introducció dades'!H235*(1+$F$6),'Introducció dades'!H235)</f>
        <v>0</v>
      </c>
      <c r="H19" s="1242">
        <f>IF(OR(Fiscalitat!$H$21="a",Fiscalitat!$H$21="B",Fiscalitat!$H$21="D"),'Introducció dades'!I235*(1+$F$6),'Introducció dades'!I235)</f>
        <v>0</v>
      </c>
      <c r="I19" s="1242">
        <f>IF(OR(Fiscalitat!$H$21="a",Fiscalitat!$H$21="B",Fiscalitat!$H$21="D"),'Introducció dades'!J235*(1+$F$6),'Introducció dades'!J235)</f>
        <v>0</v>
      </c>
      <c r="J19" s="1242">
        <f>IF(OR(Fiscalitat!$H$21="a",Fiscalitat!$H$21="B",Fiscalitat!$H$21="D"),'Introducció dades'!K235*(1+$F$6),'Introducció dades'!K235)</f>
        <v>0</v>
      </c>
      <c r="K19" s="1242">
        <f>IF(OR(Fiscalitat!$H$21="a",Fiscalitat!$H$21="B",Fiscalitat!$H$21="D"),'Introducció dades'!L235*(1+$F$6),'Introducció dades'!L235)</f>
        <v>0</v>
      </c>
      <c r="L19" s="1242">
        <f>IF(OR(Fiscalitat!$H$21="a",Fiscalitat!$H$21="B",Fiscalitat!$H$21="D"),'Introducció dades'!M235*(1+$F$6),'Introducció dades'!M235)</f>
        <v>0</v>
      </c>
      <c r="M19" s="1242">
        <f>IF(OR(Fiscalitat!$H$21="a",Fiscalitat!$H$21="B",Fiscalitat!$H$21="D"),'Introducció dades'!N235*(1+$F$6),'Introducció dades'!N235)</f>
        <v>0</v>
      </c>
      <c r="N19" s="1243">
        <f t="shared" si="0"/>
        <v>0</v>
      </c>
    </row>
    <row r="20" spans="1:14" s="964" customFormat="1" ht="11.5" x14ac:dyDescent="0.25">
      <c r="A20" s="1244" t="s">
        <v>411</v>
      </c>
      <c r="B20" s="1245">
        <f>B13*$B4*$C4</f>
        <v>0</v>
      </c>
      <c r="C20" s="1245">
        <f t="shared" ref="C20:M20" si="2">C13*$B4*$C4</f>
        <v>0</v>
      </c>
      <c r="D20" s="1245">
        <f t="shared" si="2"/>
        <v>0</v>
      </c>
      <c r="E20" s="1245">
        <f t="shared" si="2"/>
        <v>0</v>
      </c>
      <c r="F20" s="1245">
        <f t="shared" si="2"/>
        <v>0</v>
      </c>
      <c r="G20" s="1245">
        <f t="shared" si="2"/>
        <v>0</v>
      </c>
      <c r="H20" s="1245">
        <f t="shared" si="2"/>
        <v>0</v>
      </c>
      <c r="I20" s="1245">
        <f t="shared" si="2"/>
        <v>0</v>
      </c>
      <c r="J20" s="1245">
        <f t="shared" si="2"/>
        <v>0</v>
      </c>
      <c r="K20" s="1245">
        <f t="shared" si="2"/>
        <v>0</v>
      </c>
      <c r="L20" s="1245">
        <f t="shared" si="2"/>
        <v>0</v>
      </c>
      <c r="M20" s="1245">
        <f t="shared" si="2"/>
        <v>0</v>
      </c>
      <c r="N20" s="1243">
        <f t="shared" si="0"/>
        <v>0</v>
      </c>
    </row>
    <row r="21" spans="1:14" s="964" customFormat="1" ht="11.5" x14ac:dyDescent="0.25">
      <c r="A21" s="1244" t="s">
        <v>177</v>
      </c>
      <c r="B21" s="1242">
        <f>IF(OR(Fiscalitat!$H$21="a",Fiscalitat!$H$21="B",Fiscalitat!$H$21="D"),'Introducció dades'!C236*(1+$F$6),'Introducció dades'!C236)</f>
        <v>0</v>
      </c>
      <c r="C21" s="1242">
        <f>IF(OR(Fiscalitat!$H$21="a",Fiscalitat!$H$21="B",Fiscalitat!$H$21="D"),'Introducció dades'!D236*(1+$F$6),'Introducció dades'!D236)</f>
        <v>0</v>
      </c>
      <c r="D21" s="1242">
        <f>IF(OR(Fiscalitat!$H$21="a",Fiscalitat!$H$21="B",Fiscalitat!$H$21="D"),'Introducció dades'!E236*(1+$F$6),'Introducció dades'!E236)</f>
        <v>0</v>
      </c>
      <c r="E21" s="1242">
        <f>IF(OR(Fiscalitat!$H$21="a",Fiscalitat!$H$21="B",Fiscalitat!$H$21="D"),'Introducció dades'!F236*(1+$F$6),'Introducció dades'!F236)</f>
        <v>0</v>
      </c>
      <c r="F21" s="1242">
        <f>IF(OR(Fiscalitat!$H$21="a",Fiscalitat!$H$21="B",Fiscalitat!$H$21="D"),'Introducció dades'!G236*(1+$F$6),'Introducció dades'!G236)</f>
        <v>0</v>
      </c>
      <c r="G21" s="1242">
        <f>IF(OR(Fiscalitat!$H$21="a",Fiscalitat!$H$21="B",Fiscalitat!$H$21="D"),'Introducció dades'!H236*(1+$F$6),'Introducció dades'!H236)</f>
        <v>0</v>
      </c>
      <c r="H21" s="1242">
        <f>IF(OR(Fiscalitat!$H$21="a",Fiscalitat!$H$21="B",Fiscalitat!$H$21="D"),'Introducció dades'!I236*(1+$F$6),'Introducció dades'!I236)</f>
        <v>0</v>
      </c>
      <c r="I21" s="1242">
        <f>IF(OR(Fiscalitat!$H$21="a",Fiscalitat!$H$21="B",Fiscalitat!$H$21="D"),'Introducció dades'!J236*(1+$F$6),'Introducció dades'!J236)</f>
        <v>0</v>
      </c>
      <c r="J21" s="1242">
        <f>IF(OR(Fiscalitat!$H$21="a",Fiscalitat!$H$21="B",Fiscalitat!$H$21="D"),'Introducció dades'!K236*(1+$F$6),'Introducció dades'!K236)</f>
        <v>0</v>
      </c>
      <c r="K21" s="1242">
        <f>IF(OR(Fiscalitat!$H$21="a",Fiscalitat!$H$21="B",Fiscalitat!$H$21="D"),'Introducció dades'!L236*(1+$F$6),'Introducció dades'!L236)</f>
        <v>0</v>
      </c>
      <c r="L21" s="1242">
        <f>IF(OR(Fiscalitat!$H$21="a",Fiscalitat!$H$21="B",Fiscalitat!$H$21="D"),'Introducció dades'!M236*(1+$F$6),'Introducció dades'!M236)</f>
        <v>0</v>
      </c>
      <c r="M21" s="1242">
        <f>IF(OR(Fiscalitat!$H$21="a",Fiscalitat!$H$21="B",Fiscalitat!$H$21="D"),'Introducció dades'!N236*(1+$F$6),'Introducció dades'!N236)</f>
        <v>0</v>
      </c>
      <c r="N21" s="1243">
        <f t="shared" si="0"/>
        <v>0</v>
      </c>
    </row>
    <row r="22" spans="1:14" s="964" customFormat="1" ht="11.5" x14ac:dyDescent="0.25">
      <c r="A22" s="1244" t="s">
        <v>412</v>
      </c>
      <c r="B22" s="1242">
        <f>IF(OR(Fiscalitat!$H$21="a",Fiscalitat!$H$21="B",Fiscalitat!$H$21="D"),'Introducció dades'!C237*(1+$F$6),'Introducció dades'!C237)</f>
        <v>0</v>
      </c>
      <c r="C22" s="1242">
        <f>IF(OR(Fiscalitat!$H$21="a",Fiscalitat!$H$21="B",Fiscalitat!$H$21="D"),'Introducció dades'!D237*(1+$F$6),'Introducció dades'!D237)</f>
        <v>0</v>
      </c>
      <c r="D22" s="1242">
        <f>IF(OR(Fiscalitat!$H$21="a",Fiscalitat!$H$21="B",Fiscalitat!$H$21="D"),'Introducció dades'!E237*(1+$F$6),'Introducció dades'!E237)</f>
        <v>0</v>
      </c>
      <c r="E22" s="1242">
        <f>IF(OR(Fiscalitat!$H$21="a",Fiscalitat!$H$21="B",Fiscalitat!$H$21="D"),'Introducció dades'!F237*(1+$F$6),'Introducció dades'!F237)</f>
        <v>0</v>
      </c>
      <c r="F22" s="1242">
        <f>IF(OR(Fiscalitat!$H$21="a",Fiscalitat!$H$21="B",Fiscalitat!$H$21="D"),'Introducció dades'!G237*(1+$F$6),'Introducció dades'!G237)</f>
        <v>0</v>
      </c>
      <c r="G22" s="1242">
        <f>IF(OR(Fiscalitat!$H$21="a",Fiscalitat!$H$21="B",Fiscalitat!$H$21="D"),'Introducció dades'!H237*(1+$F$6),'Introducció dades'!H237)</f>
        <v>0</v>
      </c>
      <c r="H22" s="1242">
        <f>IF(OR(Fiscalitat!$H$21="a",Fiscalitat!$H$21="B",Fiscalitat!$H$21="D"),'Introducció dades'!I237*(1+$F$6),'Introducció dades'!I237)</f>
        <v>0</v>
      </c>
      <c r="I22" s="1242">
        <f>IF(OR(Fiscalitat!$H$21="a",Fiscalitat!$H$21="B",Fiscalitat!$H$21="D"),'Introducció dades'!J237*(1+$F$6),'Introducció dades'!J237)</f>
        <v>0</v>
      </c>
      <c r="J22" s="1242">
        <f>IF(OR(Fiscalitat!$H$21="a",Fiscalitat!$H$21="B",Fiscalitat!$H$21="D"),'Introducció dades'!K237*(1+$F$6),'Introducció dades'!K237)</f>
        <v>0</v>
      </c>
      <c r="K22" s="1242">
        <f>IF(OR(Fiscalitat!$H$21="a",Fiscalitat!$H$21="B",Fiscalitat!$H$21="D"),'Introducció dades'!L237*(1+$F$6),'Introducció dades'!L237)</f>
        <v>0</v>
      </c>
      <c r="L22" s="1242">
        <f>IF(OR(Fiscalitat!$H$21="a",Fiscalitat!$H$21="B",Fiscalitat!$H$21="D"),'Introducció dades'!M237*(1+$F$6),'Introducció dades'!M237)</f>
        <v>0</v>
      </c>
      <c r="M22" s="1242">
        <f>IF(OR(Fiscalitat!$H$21="a",Fiscalitat!$H$21="B",Fiscalitat!$H$21="D"),'Introducció dades'!N237*(1+$F$6),'Introducció dades'!N237)</f>
        <v>0</v>
      </c>
      <c r="N22" s="1243">
        <f t="shared" si="0"/>
        <v>0</v>
      </c>
    </row>
    <row r="23" spans="1:14" s="964" customFormat="1" ht="11.5" x14ac:dyDescent="0.25">
      <c r="A23" s="1244" t="s">
        <v>413</v>
      </c>
      <c r="B23" s="1245">
        <f>B13*$B5*$C5</f>
        <v>0</v>
      </c>
      <c r="C23" s="1245">
        <f t="shared" ref="C23:M23" si="3">C13*$B5*$C5</f>
        <v>0</v>
      </c>
      <c r="D23" s="1245">
        <f t="shared" si="3"/>
        <v>0</v>
      </c>
      <c r="E23" s="1245">
        <f t="shared" si="3"/>
        <v>0</v>
      </c>
      <c r="F23" s="1245">
        <f t="shared" si="3"/>
        <v>0</v>
      </c>
      <c r="G23" s="1245">
        <f t="shared" si="3"/>
        <v>0</v>
      </c>
      <c r="H23" s="1245">
        <f t="shared" si="3"/>
        <v>0</v>
      </c>
      <c r="I23" s="1245">
        <f t="shared" si="3"/>
        <v>0</v>
      </c>
      <c r="J23" s="1245">
        <f t="shared" si="3"/>
        <v>0</v>
      </c>
      <c r="K23" s="1245">
        <f t="shared" si="3"/>
        <v>0</v>
      </c>
      <c r="L23" s="1245">
        <f t="shared" si="3"/>
        <v>0</v>
      </c>
      <c r="M23" s="1245">
        <f t="shared" si="3"/>
        <v>0</v>
      </c>
      <c r="N23" s="1243">
        <f t="shared" si="0"/>
        <v>0</v>
      </c>
    </row>
    <row r="24" spans="1:14" s="964" customFormat="1" ht="11.5" x14ac:dyDescent="0.25">
      <c r="A24" s="1244" t="s">
        <v>170</v>
      </c>
      <c r="B24" s="1245">
        <f>IF(OR(Fiscalitat!$H$21="a",Fiscalitat!$H$21="B",Fiscalitat!$H$21="D"),B13*$B9+$B8*(1+$F$6),B13*$B9+$B8)</f>
        <v>0</v>
      </c>
      <c r="C24" s="1245">
        <f>IF(OR(Fiscalitat!$H$21="a",Fiscalitat!$H$21="B",Fiscalitat!$H$21="D"),C13*$B9+$B8*(1+$F$6),C13*$B9+$B8)</f>
        <v>0</v>
      </c>
      <c r="D24" s="1245">
        <f>IF(OR(Fiscalitat!$H$21="a",Fiscalitat!$H$21="B",Fiscalitat!$H$21="D"),D13*$B9+$B8*(1+$F$6),D13*$B9+$B8)</f>
        <v>0</v>
      </c>
      <c r="E24" s="1245">
        <f>IF(OR(Fiscalitat!$H$21="a",Fiscalitat!$H$21="B",Fiscalitat!$H$21="D"),E13*$B9+$B8*(1+$F$6),E13*$B9+$B8)</f>
        <v>0</v>
      </c>
      <c r="F24" s="1245">
        <f>IF(OR(Fiscalitat!$H$21="a",Fiscalitat!$H$21="B",Fiscalitat!$H$21="D"),F13*$B9+$B8*(1+$F$6),F13*$B9+$B8)</f>
        <v>0</v>
      </c>
      <c r="G24" s="1245">
        <f>IF(OR(Fiscalitat!$H$21="a",Fiscalitat!$H$21="B",Fiscalitat!$H$21="D"),G13*$B9+$B8*(1+$F$6),G13*$B9+$B8)</f>
        <v>0</v>
      </c>
      <c r="H24" s="1245">
        <f>IF(OR(Fiscalitat!$H$21="a",Fiscalitat!$H$21="B",Fiscalitat!$H$21="D"),H13*$B9+$B8*(1+$F$6),H13*$B9+$B8)</f>
        <v>0</v>
      </c>
      <c r="I24" s="1245">
        <f>IF(OR(Fiscalitat!$H$21="a",Fiscalitat!$H$21="B",Fiscalitat!$H$21="D"),I13*$B9+$B8*(1+$F$6),I13*$B9+$B8)</f>
        <v>0</v>
      </c>
      <c r="J24" s="1245">
        <f>IF(OR(Fiscalitat!$H$21="a",Fiscalitat!$H$21="B",Fiscalitat!$H$21="D"),J13*$B9+$B8*(1+$F$6),J13*$B9+$B8)</f>
        <v>0</v>
      </c>
      <c r="K24" s="1245">
        <f>IF(OR(Fiscalitat!$H$21="a",Fiscalitat!$H$21="B",Fiscalitat!$H$21="D"),K13*$B9+$B8*(1+$F$6),K13*$B9+$B8)</f>
        <v>0</v>
      </c>
      <c r="L24" s="1245">
        <f>IF(OR(Fiscalitat!$H$21="a",Fiscalitat!$H$21="B",Fiscalitat!$H$21="D"),L13*$B9+$B8*(1+$F$6),L13*$B9+$B8)</f>
        <v>0</v>
      </c>
      <c r="M24" s="1245">
        <f>IF(OR(Fiscalitat!$H$21="a",Fiscalitat!$H$21="B",Fiscalitat!$H$21="D"),M13*$B9+$B8*(1+$F$6),M13*$B9+$B8)</f>
        <v>0</v>
      </c>
      <c r="N24" s="1243">
        <f t="shared" si="0"/>
        <v>0</v>
      </c>
    </row>
    <row r="25" spans="1:14" s="964" customFormat="1" ht="11.5" x14ac:dyDescent="0.25">
      <c r="A25" s="1244" t="s">
        <v>179</v>
      </c>
      <c r="B25" s="1246">
        <f>SUM(B26:B30)</f>
        <v>0</v>
      </c>
      <c r="C25" s="1246">
        <f>SUM(C26:C30)</f>
        <v>0</v>
      </c>
      <c r="D25" s="1246">
        <f t="shared" ref="D25:M25" si="4">SUM(D26:D30)</f>
        <v>0</v>
      </c>
      <c r="E25" s="1246">
        <f t="shared" si="4"/>
        <v>0</v>
      </c>
      <c r="F25" s="1246">
        <f t="shared" si="4"/>
        <v>0</v>
      </c>
      <c r="G25" s="1246">
        <f t="shared" si="4"/>
        <v>0</v>
      </c>
      <c r="H25" s="1246">
        <f t="shared" si="4"/>
        <v>0</v>
      </c>
      <c r="I25" s="1246">
        <f t="shared" si="4"/>
        <v>0</v>
      </c>
      <c r="J25" s="1246">
        <f t="shared" si="4"/>
        <v>0</v>
      </c>
      <c r="K25" s="1246">
        <f t="shared" si="4"/>
        <v>0</v>
      </c>
      <c r="L25" s="1246">
        <f t="shared" si="4"/>
        <v>0</v>
      </c>
      <c r="M25" s="1246">
        <f t="shared" si="4"/>
        <v>0</v>
      </c>
      <c r="N25" s="1243">
        <f t="shared" si="0"/>
        <v>0</v>
      </c>
    </row>
    <row r="26" spans="1:14" s="964" customFormat="1" ht="11.5" x14ac:dyDescent="0.25">
      <c r="A26" s="1244" t="s">
        <v>180</v>
      </c>
      <c r="B26" s="1242">
        <f>IF(OR(Fiscalitat!$H$21="a",Fiscalitat!$H$21="B",Fiscalitat!$H$21="D"),'Introducció dades'!C239*(1+$F$6),'Introducció dades'!C239)</f>
        <v>0</v>
      </c>
      <c r="C26" s="1242">
        <f>IF(OR(Fiscalitat!$H$21="a",Fiscalitat!$H$21="B",Fiscalitat!$H$21="D"),'Introducció dades'!D239*(1+$F$6),'Introducció dades'!D239)</f>
        <v>0</v>
      </c>
      <c r="D26" s="1242">
        <f>IF(OR(Fiscalitat!$H$21="a",Fiscalitat!$H$21="B",Fiscalitat!$H$21="D"),'Introducció dades'!E239*(1+$F$6),'Introducció dades'!E239)</f>
        <v>0</v>
      </c>
      <c r="E26" s="1242">
        <f>IF(OR(Fiscalitat!$H$21="a",Fiscalitat!$H$21="B",Fiscalitat!$H$21="D"),'Introducció dades'!F239*(1+$F$6),'Introducció dades'!F239)</f>
        <v>0</v>
      </c>
      <c r="F26" s="1242">
        <f>IF(OR(Fiscalitat!$H$21="a",Fiscalitat!$H$21="B",Fiscalitat!$H$21="D"),'Introducció dades'!G239*(1+$F$6),'Introducció dades'!G239)</f>
        <v>0</v>
      </c>
      <c r="G26" s="1242">
        <f>IF(OR(Fiscalitat!$H$21="a",Fiscalitat!$H$21="B",Fiscalitat!$H$21="D"),'Introducció dades'!H239*(1+$F$6),'Introducció dades'!H239)</f>
        <v>0</v>
      </c>
      <c r="H26" s="1242">
        <f>IF(OR(Fiscalitat!$H$21="a",Fiscalitat!$H$21="B",Fiscalitat!$H$21="D"),'Introducció dades'!I239*(1+$F$6),'Introducció dades'!I239)</f>
        <v>0</v>
      </c>
      <c r="I26" s="1242">
        <f>IF(OR(Fiscalitat!$H$21="a",Fiscalitat!$H$21="B",Fiscalitat!$H$21="D"),'Introducció dades'!J239*(1+$F$6),'Introducció dades'!J239)</f>
        <v>0</v>
      </c>
      <c r="J26" s="1242">
        <f>IF(OR(Fiscalitat!$H$21="a",Fiscalitat!$H$21="B",Fiscalitat!$H$21="D"),'Introducció dades'!K239*(1+$F$6),'Introducció dades'!K239)</f>
        <v>0</v>
      </c>
      <c r="K26" s="1242">
        <f>IF(OR(Fiscalitat!$H$21="a",Fiscalitat!$H$21="B",Fiscalitat!$H$21="D"),'Introducció dades'!L239*(1+$F$6),'Introducció dades'!L239)</f>
        <v>0</v>
      </c>
      <c r="L26" s="1242">
        <f>IF(OR(Fiscalitat!$H$21="a",Fiscalitat!$H$21="B",Fiscalitat!$H$21="D"),'Introducció dades'!M239*(1+$F$6),'Introducció dades'!M239)</f>
        <v>0</v>
      </c>
      <c r="M26" s="1242">
        <f>IF(OR(Fiscalitat!$H$21="a",Fiscalitat!$H$21="B",Fiscalitat!$H$21="D"),'Introducció dades'!N239*(1+$F$6),'Introducció dades'!N239)</f>
        <v>0</v>
      </c>
      <c r="N26" s="1243">
        <f t="shared" si="0"/>
        <v>0</v>
      </c>
    </row>
    <row r="27" spans="1:14" s="964" customFormat="1" ht="11.5" x14ac:dyDescent="0.25">
      <c r="A27" s="1244" t="s">
        <v>181</v>
      </c>
      <c r="B27" s="1242">
        <f>IF(OR(Fiscalitat!$H$21="a",Fiscalitat!$H$21="B",Fiscalitat!$H$21="D"),'Introducció dades'!C240*(1+$F$6),'Introducció dades'!C240)</f>
        <v>0</v>
      </c>
      <c r="C27" s="1242">
        <f>IF(OR(Fiscalitat!$H$21="a",Fiscalitat!$H$21="B",Fiscalitat!$H$21="D"),'Introducció dades'!D240*(1+$F$6),'Introducció dades'!D240)</f>
        <v>0</v>
      </c>
      <c r="D27" s="1242">
        <f>IF(OR(Fiscalitat!$H$21="a",Fiscalitat!$H$21="B",Fiscalitat!$H$21="D"),'Introducció dades'!E240*(1+$F$6),'Introducció dades'!E240)</f>
        <v>0</v>
      </c>
      <c r="E27" s="1242">
        <f>IF(OR(Fiscalitat!$H$21="a",Fiscalitat!$H$21="B",Fiscalitat!$H$21="D"),'Introducció dades'!F240*(1+$F$6),'Introducció dades'!F240)</f>
        <v>0</v>
      </c>
      <c r="F27" s="1242">
        <f>IF(OR(Fiscalitat!$H$21="a",Fiscalitat!$H$21="B",Fiscalitat!$H$21="D"),'Introducció dades'!G240*(1+$F$6),'Introducció dades'!G240)</f>
        <v>0</v>
      </c>
      <c r="G27" s="1242">
        <f>IF(OR(Fiscalitat!$H$21="a",Fiscalitat!$H$21="B",Fiscalitat!$H$21="D"),'Introducció dades'!H240*(1+$F$6),'Introducció dades'!H240)</f>
        <v>0</v>
      </c>
      <c r="H27" s="1242">
        <f>IF(OR(Fiscalitat!$H$21="a",Fiscalitat!$H$21="B",Fiscalitat!$H$21="D"),'Introducció dades'!I240*(1+$F$6),'Introducció dades'!I240)</f>
        <v>0</v>
      </c>
      <c r="I27" s="1242">
        <f>IF(OR(Fiscalitat!$H$21="a",Fiscalitat!$H$21="B",Fiscalitat!$H$21="D"),'Introducció dades'!J240*(1+$F$6),'Introducció dades'!J240)</f>
        <v>0</v>
      </c>
      <c r="J27" s="1242">
        <f>IF(OR(Fiscalitat!$H$21="a",Fiscalitat!$H$21="B",Fiscalitat!$H$21="D"),'Introducció dades'!K240*(1+$F$6),'Introducció dades'!K240)</f>
        <v>0</v>
      </c>
      <c r="K27" s="1242">
        <f>IF(OR(Fiscalitat!$H$21="a",Fiscalitat!$H$21="B",Fiscalitat!$H$21="D"),'Introducció dades'!L240*(1+$F$6),'Introducció dades'!L240)</f>
        <v>0</v>
      </c>
      <c r="L27" s="1242">
        <f>IF(OR(Fiscalitat!$H$21="a",Fiscalitat!$H$21="B",Fiscalitat!$H$21="D"),'Introducció dades'!M240*(1+$F$6),'Introducció dades'!M240)</f>
        <v>0</v>
      </c>
      <c r="M27" s="1242">
        <f>IF(OR(Fiscalitat!$H$21="a",Fiscalitat!$H$21="B",Fiscalitat!$H$21="D"),'Introducció dades'!N240*(1+$F$6),'Introducció dades'!N240)</f>
        <v>0</v>
      </c>
      <c r="N27" s="1243">
        <f t="shared" si="0"/>
        <v>0</v>
      </c>
    </row>
    <row r="28" spans="1:14" s="964" customFormat="1" ht="11.5" x14ac:dyDescent="0.25">
      <c r="A28" s="1244" t="s">
        <v>182</v>
      </c>
      <c r="B28" s="1242">
        <f>IF(OR(Fiscalitat!$H$21="a",Fiscalitat!$H$21="B",Fiscalitat!$H$21="D"),'Introducció dades'!C241*(1+$F$6),'Introducció dades'!C241)</f>
        <v>0</v>
      </c>
      <c r="C28" s="1242">
        <f>IF(OR(Fiscalitat!$H$21="a",Fiscalitat!$H$21="B",Fiscalitat!$H$21="D"),'Introducció dades'!D241*(1+$F$6),'Introducció dades'!D241)</f>
        <v>0</v>
      </c>
      <c r="D28" s="1242">
        <f>IF(OR(Fiscalitat!$H$21="a",Fiscalitat!$H$21="B",Fiscalitat!$H$21="D"),'Introducció dades'!E241*(1+$F$6),'Introducció dades'!E241)</f>
        <v>0</v>
      </c>
      <c r="E28" s="1242">
        <f>IF(OR(Fiscalitat!$H$21="a",Fiscalitat!$H$21="B",Fiscalitat!$H$21="D"),'Introducció dades'!F241*(1+$F$6),'Introducció dades'!F241)</f>
        <v>0</v>
      </c>
      <c r="F28" s="1242">
        <f>IF(OR(Fiscalitat!$H$21="a",Fiscalitat!$H$21="B",Fiscalitat!$H$21="D"),'Introducció dades'!G241*(1+$F$6),'Introducció dades'!G241)</f>
        <v>0</v>
      </c>
      <c r="G28" s="1242">
        <f>IF(OR(Fiscalitat!$H$21="a",Fiscalitat!$H$21="B",Fiscalitat!$H$21="D"),'Introducció dades'!H241*(1+$F$6),'Introducció dades'!H241)</f>
        <v>0</v>
      </c>
      <c r="H28" s="1242">
        <f>IF(OR(Fiscalitat!$H$21="a",Fiscalitat!$H$21="B",Fiscalitat!$H$21="D"),'Introducció dades'!I241*(1+$F$6),'Introducció dades'!I241)</f>
        <v>0</v>
      </c>
      <c r="I28" s="1242">
        <f>IF(OR(Fiscalitat!$H$21="a",Fiscalitat!$H$21="B",Fiscalitat!$H$21="D"),'Introducció dades'!J241*(1+$F$6),'Introducció dades'!J241)</f>
        <v>0</v>
      </c>
      <c r="J28" s="1242">
        <f>IF(OR(Fiscalitat!$H$21="a",Fiscalitat!$H$21="B",Fiscalitat!$H$21="D"),'Introducció dades'!K241*(1+$F$6),'Introducció dades'!K241)</f>
        <v>0</v>
      </c>
      <c r="K28" s="1242">
        <f>IF(OR(Fiscalitat!$H$21="a",Fiscalitat!$H$21="B",Fiscalitat!$H$21="D"),'Introducció dades'!L241*(1+$F$6),'Introducció dades'!L241)</f>
        <v>0</v>
      </c>
      <c r="L28" s="1242">
        <f>IF(OR(Fiscalitat!$H$21="a",Fiscalitat!$H$21="B",Fiscalitat!$H$21="D"),'Introducció dades'!M241*(1+$F$6),'Introducció dades'!M241)</f>
        <v>0</v>
      </c>
      <c r="M28" s="1242">
        <f>IF(OR(Fiscalitat!$H$21="a",Fiscalitat!$H$21="B",Fiscalitat!$H$21="D"),'Introducció dades'!N241*(1+$F$6),'Introducció dades'!N241)</f>
        <v>0</v>
      </c>
      <c r="N28" s="1243">
        <f t="shared" si="0"/>
        <v>0</v>
      </c>
    </row>
    <row r="29" spans="1:14" s="964" customFormat="1" ht="11.5" x14ac:dyDescent="0.25">
      <c r="A29" s="1244" t="s">
        <v>183</v>
      </c>
      <c r="B29" s="1242">
        <f>IF(OR(Fiscalitat!$H$21="a",Fiscalitat!$H$21="B",Fiscalitat!$H$21="D"),'Introducció dades'!C242*(1+$F$6),'Introducció dades'!C242)</f>
        <v>0</v>
      </c>
      <c r="C29" s="1242">
        <f>IF(OR(Fiscalitat!$H$21="a",Fiscalitat!$H$21="B",Fiscalitat!$H$21="D"),'Introducció dades'!D242*(1+$F$6),'Introducció dades'!D242)</f>
        <v>0</v>
      </c>
      <c r="D29" s="1242">
        <f>IF(OR(Fiscalitat!$H$21="a",Fiscalitat!$H$21="B",Fiscalitat!$H$21="D"),'Introducció dades'!E242*(1+$F$6),'Introducció dades'!E242)</f>
        <v>0</v>
      </c>
      <c r="E29" s="1242">
        <f>IF(OR(Fiscalitat!$H$21="a",Fiscalitat!$H$21="B",Fiscalitat!$H$21="D"),'Introducció dades'!F242*(1+$F$6),'Introducció dades'!F242)</f>
        <v>0</v>
      </c>
      <c r="F29" s="1242">
        <f>IF(OR(Fiscalitat!$H$21="a",Fiscalitat!$H$21="B",Fiscalitat!$H$21="D"),'Introducció dades'!G242*(1+$F$6),'Introducció dades'!G242)</f>
        <v>0</v>
      </c>
      <c r="G29" s="1242">
        <f>IF(OR(Fiscalitat!$H$21="a",Fiscalitat!$H$21="B",Fiscalitat!$H$21="D"),'Introducció dades'!H242*(1+$F$6),'Introducció dades'!H242)</f>
        <v>0</v>
      </c>
      <c r="H29" s="1242">
        <f>IF(OR(Fiscalitat!$H$21="a",Fiscalitat!$H$21="B",Fiscalitat!$H$21="D"),'Introducció dades'!I242*(1+$F$6),'Introducció dades'!I242)</f>
        <v>0</v>
      </c>
      <c r="I29" s="1242">
        <f>IF(OR(Fiscalitat!$H$21="a",Fiscalitat!$H$21="B",Fiscalitat!$H$21="D"),'Introducció dades'!J242*(1+$F$6),'Introducció dades'!J242)</f>
        <v>0</v>
      </c>
      <c r="J29" s="1242">
        <f>IF(OR(Fiscalitat!$H$21="a",Fiscalitat!$H$21="B",Fiscalitat!$H$21="D"),'Introducció dades'!K242*(1+$F$6),'Introducció dades'!K242)</f>
        <v>0</v>
      </c>
      <c r="K29" s="1242">
        <f>IF(OR(Fiscalitat!$H$21="a",Fiscalitat!$H$21="B",Fiscalitat!$H$21="D"),'Introducció dades'!L242*(1+$F$6),'Introducció dades'!L242)</f>
        <v>0</v>
      </c>
      <c r="L29" s="1242">
        <f>IF(OR(Fiscalitat!$H$21="a",Fiscalitat!$H$21="B",Fiscalitat!$H$21="D"),'Introducció dades'!M242*(1+$F$6),'Introducció dades'!M242)</f>
        <v>0</v>
      </c>
      <c r="M29" s="1242">
        <f>IF(OR(Fiscalitat!$H$21="a",Fiscalitat!$H$21="B",Fiscalitat!$H$21="D"),'Introducció dades'!N242*(1+$F$6),'Introducció dades'!N242)</f>
        <v>0</v>
      </c>
      <c r="N29" s="1243">
        <f t="shared" si="0"/>
        <v>0</v>
      </c>
    </row>
    <row r="30" spans="1:14" s="964" customFormat="1" ht="11.5" x14ac:dyDescent="0.25">
      <c r="A30" s="1244" t="s">
        <v>184</v>
      </c>
      <c r="B30" s="1242">
        <f>IF(OR(Fiscalitat!$H$21="a",Fiscalitat!$H$21="B",Fiscalitat!$H$21="D"),'Introducció dades'!C243*(1+$F$6),'Introducció dades'!C243)</f>
        <v>0</v>
      </c>
      <c r="C30" s="1242">
        <f>IF(OR(Fiscalitat!$H$21="a",Fiscalitat!$H$21="B",Fiscalitat!$H$21="D"),'Introducció dades'!D243*(1+$F$6),'Introducció dades'!D243)</f>
        <v>0</v>
      </c>
      <c r="D30" s="1242">
        <f>IF(OR(Fiscalitat!$H$21="a",Fiscalitat!$H$21="B",Fiscalitat!$H$21="D"),'Introducció dades'!E243*(1+$F$6),'Introducció dades'!E243)</f>
        <v>0</v>
      </c>
      <c r="E30" s="1242">
        <f>IF(OR(Fiscalitat!$H$21="a",Fiscalitat!$H$21="B",Fiscalitat!$H$21="D"),'Introducció dades'!F243*(1+$F$6),'Introducció dades'!F243)</f>
        <v>0</v>
      </c>
      <c r="F30" s="1242">
        <f>IF(OR(Fiscalitat!$H$21="a",Fiscalitat!$H$21="B",Fiscalitat!$H$21="D"),'Introducció dades'!G243*(1+$F$6),'Introducció dades'!G243)</f>
        <v>0</v>
      </c>
      <c r="G30" s="1242">
        <f>IF(OR(Fiscalitat!$H$21="a",Fiscalitat!$H$21="B",Fiscalitat!$H$21="D"),'Introducció dades'!H243*(1+$F$6),'Introducció dades'!H243)</f>
        <v>0</v>
      </c>
      <c r="H30" s="1242">
        <f>IF(OR(Fiscalitat!$H$21="a",Fiscalitat!$H$21="B",Fiscalitat!$H$21="D"),'Introducció dades'!I243*(1+$F$6),'Introducció dades'!I243)</f>
        <v>0</v>
      </c>
      <c r="I30" s="1242">
        <f>IF(OR(Fiscalitat!$H$21="a",Fiscalitat!$H$21="B",Fiscalitat!$H$21="D"),'Introducció dades'!J243*(1+$F$6),'Introducció dades'!J243)</f>
        <v>0</v>
      </c>
      <c r="J30" s="1242">
        <f>IF(OR(Fiscalitat!$H$21="a",Fiscalitat!$H$21="B",Fiscalitat!$H$21="D"),'Introducció dades'!K243*(1+$F$6),'Introducció dades'!K243)</f>
        <v>0</v>
      </c>
      <c r="K30" s="1242">
        <f>IF(OR(Fiscalitat!$H$21="a",Fiscalitat!$H$21="B",Fiscalitat!$H$21="D"),'Introducció dades'!L243*(1+$F$6),'Introducció dades'!L243)</f>
        <v>0</v>
      </c>
      <c r="L30" s="1242">
        <f>IF(OR(Fiscalitat!$H$21="a",Fiscalitat!$H$21="B",Fiscalitat!$H$21="D"),'Introducció dades'!M243*(1+$F$6),'Introducció dades'!M243)</f>
        <v>0</v>
      </c>
      <c r="M30" s="1242">
        <f>IF(OR(Fiscalitat!$H$21="a",Fiscalitat!$H$21="B",Fiscalitat!$H$21="D"),'Introducció dades'!N243*(1+$F$6),'Introducció dades'!N243)</f>
        <v>0</v>
      </c>
      <c r="N30" s="1243">
        <f t="shared" si="0"/>
        <v>0</v>
      </c>
    </row>
    <row r="31" spans="1:14" s="964" customFormat="1" ht="11.5" x14ac:dyDescent="0.25">
      <c r="A31" s="1244" t="s">
        <v>185</v>
      </c>
      <c r="B31" s="1246">
        <f>SUM(B32:B35)</f>
        <v>0</v>
      </c>
      <c r="C31" s="1246">
        <f>SUM(C32:C35)</f>
        <v>0</v>
      </c>
      <c r="D31" s="1246">
        <f t="shared" ref="D31:M31" si="5">SUM(D32:D35)</f>
        <v>0</v>
      </c>
      <c r="E31" s="1246">
        <f t="shared" si="5"/>
        <v>0</v>
      </c>
      <c r="F31" s="1246">
        <f t="shared" si="5"/>
        <v>0</v>
      </c>
      <c r="G31" s="1246">
        <f t="shared" si="5"/>
        <v>0</v>
      </c>
      <c r="H31" s="1246">
        <f t="shared" si="5"/>
        <v>0</v>
      </c>
      <c r="I31" s="1246">
        <f t="shared" si="5"/>
        <v>0</v>
      </c>
      <c r="J31" s="1246">
        <f t="shared" si="5"/>
        <v>0</v>
      </c>
      <c r="K31" s="1246">
        <f t="shared" si="5"/>
        <v>0</v>
      </c>
      <c r="L31" s="1246">
        <f t="shared" si="5"/>
        <v>0</v>
      </c>
      <c r="M31" s="1246">
        <f t="shared" si="5"/>
        <v>0</v>
      </c>
      <c r="N31" s="1243">
        <f t="shared" si="0"/>
        <v>0</v>
      </c>
    </row>
    <row r="32" spans="1:14" s="964" customFormat="1" ht="11.5" x14ac:dyDescent="0.25">
      <c r="A32" s="1244" t="s">
        <v>186</v>
      </c>
      <c r="B32" s="1242">
        <f>IF(OR(Fiscalitat!$H$21="a",Fiscalitat!$H$21="B",Fiscalitat!$H$21="D"),'Introducció dades'!C245*(1+$F$6),'Introducció dades'!C245)</f>
        <v>0</v>
      </c>
      <c r="C32" s="1242">
        <f>IF(OR(Fiscalitat!$H$21="a",Fiscalitat!$H$21="B",Fiscalitat!$H$21="D"),'Introducció dades'!D245*(1+$F$6),'Introducció dades'!D245)</f>
        <v>0</v>
      </c>
      <c r="D32" s="1242">
        <f>IF(OR(Fiscalitat!$H$21="a",Fiscalitat!$H$21="B",Fiscalitat!$H$21="D"),'Introducció dades'!E245*(1+$F$6),'Introducció dades'!E245)</f>
        <v>0</v>
      </c>
      <c r="E32" s="1242">
        <f>IF(OR(Fiscalitat!$H$21="a",Fiscalitat!$H$21="B",Fiscalitat!$H$21="D"),'Introducció dades'!F245*(1+$F$6),'Introducció dades'!F245)</f>
        <v>0</v>
      </c>
      <c r="F32" s="1242">
        <f>IF(OR(Fiscalitat!$H$21="a",Fiscalitat!$H$21="B",Fiscalitat!$H$21="D"),'Introducció dades'!G245*(1+$F$6),'Introducció dades'!G245)</f>
        <v>0</v>
      </c>
      <c r="G32" s="1242">
        <f>IF(OR(Fiscalitat!$H$21="a",Fiscalitat!$H$21="B",Fiscalitat!$H$21="D"),'Introducció dades'!H245*(1+$F$6),'Introducció dades'!H245)</f>
        <v>0</v>
      </c>
      <c r="H32" s="1242">
        <f>IF(OR(Fiscalitat!$H$21="a",Fiscalitat!$H$21="B",Fiscalitat!$H$21="D"),'Introducció dades'!I245*(1+$F$6),'Introducció dades'!I245)</f>
        <v>0</v>
      </c>
      <c r="I32" s="1242">
        <f>IF(OR(Fiscalitat!$H$21="a",Fiscalitat!$H$21="B",Fiscalitat!$H$21="D"),'Introducció dades'!J245*(1+$F$6),'Introducció dades'!J245)</f>
        <v>0</v>
      </c>
      <c r="J32" s="1242">
        <f>IF(OR(Fiscalitat!$H$21="a",Fiscalitat!$H$21="B",Fiscalitat!$H$21="D"),'Introducció dades'!K245*(1+$F$6),'Introducció dades'!K245)</f>
        <v>0</v>
      </c>
      <c r="K32" s="1242">
        <f>IF(OR(Fiscalitat!$H$21="a",Fiscalitat!$H$21="B",Fiscalitat!$H$21="D"),'Introducció dades'!L245*(1+$F$6),'Introducció dades'!L245)</f>
        <v>0</v>
      </c>
      <c r="L32" s="1242">
        <f>IF(OR(Fiscalitat!$H$21="a",Fiscalitat!$H$21="B",Fiscalitat!$H$21="D"),'Introducció dades'!M245*(1+$F$6),'Introducció dades'!M245)</f>
        <v>0</v>
      </c>
      <c r="M32" s="1242">
        <f>IF(OR(Fiscalitat!$H$21="a",Fiscalitat!$H$21="B",Fiscalitat!$H$21="D"),'Introducció dades'!N245*(1+$F$6),'Introducció dades'!N245)</f>
        <v>0</v>
      </c>
      <c r="N32" s="1243">
        <f t="shared" si="0"/>
        <v>0</v>
      </c>
    </row>
    <row r="33" spans="1:14" s="964" customFormat="1" ht="11.5" x14ac:dyDescent="0.25">
      <c r="A33" s="1244" t="s">
        <v>187</v>
      </c>
      <c r="B33" s="1242">
        <f>IF(OR(Fiscalitat!$H$21="a",Fiscalitat!$H$21="B",Fiscalitat!$H$21="D"),'Introducció dades'!C246*(1+$F$6),'Introducció dades'!C246)</f>
        <v>0</v>
      </c>
      <c r="C33" s="1242">
        <f>IF(OR(Fiscalitat!$H$21="a",Fiscalitat!$H$21="B",Fiscalitat!$H$21="D"),'Introducció dades'!D246*(1+$F$6),'Introducció dades'!D246)</f>
        <v>0</v>
      </c>
      <c r="D33" s="1242">
        <f>IF(OR(Fiscalitat!$H$21="a",Fiscalitat!$H$21="B",Fiscalitat!$H$21="D"),'Introducció dades'!E246*(1+$F$6),'Introducció dades'!E246)</f>
        <v>0</v>
      </c>
      <c r="E33" s="1242">
        <f>IF(OR(Fiscalitat!$H$21="a",Fiscalitat!$H$21="B",Fiscalitat!$H$21="D"),'Introducció dades'!F246*(1+$F$6),'Introducció dades'!F246)</f>
        <v>0</v>
      </c>
      <c r="F33" s="1242">
        <f>IF(OR(Fiscalitat!$H$21="a",Fiscalitat!$H$21="B",Fiscalitat!$H$21="D"),'Introducció dades'!G246*(1+$F$6),'Introducció dades'!G246)</f>
        <v>0</v>
      </c>
      <c r="G33" s="1242">
        <f>IF(OR(Fiscalitat!$H$21="a",Fiscalitat!$H$21="B",Fiscalitat!$H$21="D"),'Introducció dades'!H246*(1+$F$6),'Introducció dades'!H246)</f>
        <v>0</v>
      </c>
      <c r="H33" s="1242">
        <f>IF(OR(Fiscalitat!$H$21="a",Fiscalitat!$H$21="B",Fiscalitat!$H$21="D"),'Introducció dades'!I246*(1+$F$6),'Introducció dades'!I246)</f>
        <v>0</v>
      </c>
      <c r="I33" s="1242">
        <f>IF(OR(Fiscalitat!$H$21="a",Fiscalitat!$H$21="B",Fiscalitat!$H$21="D"),'Introducció dades'!J246*(1+$F$6),'Introducció dades'!J246)</f>
        <v>0</v>
      </c>
      <c r="J33" s="1242">
        <f>IF(OR(Fiscalitat!$H$21="a",Fiscalitat!$H$21="B",Fiscalitat!$H$21="D"),'Introducció dades'!K246*(1+$F$6),'Introducció dades'!K246)</f>
        <v>0</v>
      </c>
      <c r="K33" s="1242">
        <f>IF(OR(Fiscalitat!$H$21="a",Fiscalitat!$H$21="B",Fiscalitat!$H$21="D"),'Introducció dades'!L246*(1+$F$6),'Introducció dades'!L246)</f>
        <v>0</v>
      </c>
      <c r="L33" s="1242">
        <f>IF(OR(Fiscalitat!$H$21="a",Fiscalitat!$H$21="B",Fiscalitat!$H$21="D"),'Introducció dades'!M246*(1+$F$6),'Introducció dades'!M246)</f>
        <v>0</v>
      </c>
      <c r="M33" s="1242">
        <f>IF(OR(Fiscalitat!$H$21="a",Fiscalitat!$H$21="B",Fiscalitat!$H$21="D"),'Introducció dades'!N246*(1+$F$6),'Introducció dades'!N246)</f>
        <v>0</v>
      </c>
      <c r="N33" s="1243">
        <f t="shared" si="0"/>
        <v>0</v>
      </c>
    </row>
    <row r="34" spans="1:14" s="964" customFormat="1" ht="11.5" x14ac:dyDescent="0.25">
      <c r="A34" s="1244" t="s">
        <v>188</v>
      </c>
      <c r="B34" s="1242">
        <f>IF(OR(Fiscalitat!$H$21="a",Fiscalitat!$H$21="B",Fiscalitat!$H$21="D"),'Introducció dades'!C247*(1+$F$6),'Introducció dades'!C247)</f>
        <v>0</v>
      </c>
      <c r="C34" s="1242">
        <f>IF(OR(Fiscalitat!$H$21="a",Fiscalitat!$H$21="B",Fiscalitat!$H$21="D"),'Introducció dades'!D247*(1+$F$6),'Introducció dades'!D247)</f>
        <v>0</v>
      </c>
      <c r="D34" s="1242">
        <f>IF(OR(Fiscalitat!$H$21="a",Fiscalitat!$H$21="B",Fiscalitat!$H$21="D"),'Introducció dades'!E247*(1+$F$6),'Introducció dades'!E247)</f>
        <v>0</v>
      </c>
      <c r="E34" s="1242">
        <f>IF(OR(Fiscalitat!$H$21="a",Fiscalitat!$H$21="B",Fiscalitat!$H$21="D"),'Introducció dades'!F247*(1+$F$6),'Introducció dades'!F247)</f>
        <v>0</v>
      </c>
      <c r="F34" s="1242">
        <f>IF(OR(Fiscalitat!$H$21="a",Fiscalitat!$H$21="B",Fiscalitat!$H$21="D"),'Introducció dades'!G247*(1+$F$6),'Introducció dades'!G247)</f>
        <v>0</v>
      </c>
      <c r="G34" s="1242">
        <f>IF(OR(Fiscalitat!$H$21="a",Fiscalitat!$H$21="B",Fiscalitat!$H$21="D"),'Introducció dades'!H247*(1+$F$6),'Introducció dades'!H247)</f>
        <v>0</v>
      </c>
      <c r="H34" s="1242">
        <f>IF(OR(Fiscalitat!$H$21="a",Fiscalitat!$H$21="B",Fiscalitat!$H$21="D"),'Introducció dades'!I247*(1+$F$6),'Introducció dades'!I247)</f>
        <v>0</v>
      </c>
      <c r="I34" s="1242">
        <f>IF(OR(Fiscalitat!$H$21="a",Fiscalitat!$H$21="B",Fiscalitat!$H$21="D"),'Introducció dades'!J247*(1+$F$6),'Introducció dades'!J247)</f>
        <v>0</v>
      </c>
      <c r="J34" s="1242">
        <f>IF(OR(Fiscalitat!$H$21="a",Fiscalitat!$H$21="B",Fiscalitat!$H$21="D"),'Introducció dades'!K247*(1+$F$6),'Introducció dades'!K247)</f>
        <v>0</v>
      </c>
      <c r="K34" s="1242">
        <f>IF(OR(Fiscalitat!$H$21="a",Fiscalitat!$H$21="B",Fiscalitat!$H$21="D"),'Introducció dades'!L247*(1+$F$6),'Introducció dades'!L247)</f>
        <v>0</v>
      </c>
      <c r="L34" s="1242">
        <f>IF(OR(Fiscalitat!$H$21="a",Fiscalitat!$H$21="B",Fiscalitat!$H$21="D"),'Introducció dades'!M247*(1+$F$6),'Introducció dades'!M247)</f>
        <v>0</v>
      </c>
      <c r="M34" s="1242">
        <f>IF(OR(Fiscalitat!$H$21="a",Fiscalitat!$H$21="B",Fiscalitat!$H$21="D"),'Introducció dades'!N247*(1+$F$6),'Introducció dades'!N247)</f>
        <v>0</v>
      </c>
      <c r="N34" s="1243">
        <f t="shared" si="0"/>
        <v>0</v>
      </c>
    </row>
    <row r="35" spans="1:14" s="964" customFormat="1" ht="11.5" x14ac:dyDescent="0.25">
      <c r="A35" s="1247" t="s">
        <v>189</v>
      </c>
      <c r="B35" s="1242">
        <f>IF(OR(Fiscalitat!$H$21="a",Fiscalitat!$H$21="B",Fiscalitat!$H$21="D"),'Introducció dades'!C248*(1+$F$6),'Introducció dades'!C248)</f>
        <v>0</v>
      </c>
      <c r="C35" s="1242">
        <f>IF(OR(Fiscalitat!$H$21="a",Fiscalitat!$H$21="B",Fiscalitat!$H$21="D"),'Introducció dades'!D248*(1+$F$6),'Introducció dades'!D248)</f>
        <v>0</v>
      </c>
      <c r="D35" s="1242">
        <f>IF(OR(Fiscalitat!$H$21="a",Fiscalitat!$H$21="B",Fiscalitat!$H$21="D"),'Introducció dades'!E248*(1+$F$6),'Introducció dades'!E248)</f>
        <v>0</v>
      </c>
      <c r="E35" s="1242">
        <f>IF(OR(Fiscalitat!$H$21="a",Fiscalitat!$H$21="B",Fiscalitat!$H$21="D"),'Introducció dades'!F248*(1+$F$6),'Introducció dades'!F248)</f>
        <v>0</v>
      </c>
      <c r="F35" s="1242">
        <f>IF(OR(Fiscalitat!$H$21="a",Fiscalitat!$H$21="B",Fiscalitat!$H$21="D"),'Introducció dades'!G248*(1+$F$6),'Introducció dades'!G248)</f>
        <v>0</v>
      </c>
      <c r="G35" s="1242">
        <f>IF(OR(Fiscalitat!$H$21="a",Fiscalitat!$H$21="B",Fiscalitat!$H$21="D"),'Introducció dades'!H248*(1+$F$6),'Introducció dades'!H248)</f>
        <v>0</v>
      </c>
      <c r="H35" s="1242">
        <f>IF(OR(Fiscalitat!$H$21="a",Fiscalitat!$H$21="B",Fiscalitat!$H$21="D"),'Introducció dades'!I248*(1+$F$6),'Introducció dades'!I248)</f>
        <v>0</v>
      </c>
      <c r="I35" s="1242">
        <f>IF(OR(Fiscalitat!$H$21="a",Fiscalitat!$H$21="B",Fiscalitat!$H$21="D"),'Introducció dades'!J248*(1+$F$6),'Introducció dades'!J248)</f>
        <v>0</v>
      </c>
      <c r="J35" s="1242">
        <f>IF(OR(Fiscalitat!$H$21="a",Fiscalitat!$H$21="B",Fiscalitat!$H$21="D"),'Introducció dades'!K248*(1+$F$6),'Introducció dades'!K248)</f>
        <v>0</v>
      </c>
      <c r="K35" s="1242">
        <f>IF(OR(Fiscalitat!$H$21="a",Fiscalitat!$H$21="B",Fiscalitat!$H$21="D"),'Introducció dades'!L248*(1+$F$6),'Introducció dades'!L248)</f>
        <v>0</v>
      </c>
      <c r="L35" s="1242">
        <f>IF(OR(Fiscalitat!$H$21="a",Fiscalitat!$H$21="B",Fiscalitat!$H$21="D"),'Introducció dades'!M248*(1+$F$6),'Introducció dades'!M248)</f>
        <v>0</v>
      </c>
      <c r="M35" s="1242">
        <f>IF(OR(Fiscalitat!$H$21="a",Fiscalitat!$H$21="B",Fiscalitat!$H$21="D"),'Introducció dades'!N248*(1+$F$6),'Introducció dades'!N248)</f>
        <v>0</v>
      </c>
      <c r="N35" s="1248">
        <f t="shared" si="0"/>
        <v>0</v>
      </c>
    </row>
    <row r="36" spans="1:14" x14ac:dyDescent="0.3">
      <c r="B36" s="1249"/>
      <c r="C36" s="12"/>
      <c r="D36" s="12"/>
      <c r="E36" s="12"/>
      <c r="F36" s="12"/>
      <c r="G36" s="12"/>
      <c r="H36" s="12"/>
      <c r="I36" s="12"/>
      <c r="J36" s="12"/>
      <c r="K36" s="12"/>
      <c r="L36" s="12"/>
      <c r="M36" s="12"/>
      <c r="N36" s="18"/>
    </row>
    <row r="37" spans="1:14" ht="12.5" x14ac:dyDescent="0.25">
      <c r="A37"/>
      <c r="B37" s="12"/>
      <c r="C37" s="12"/>
      <c r="D37" s="12"/>
      <c r="E37" s="12"/>
      <c r="F37" s="12"/>
      <c r="G37" s="12"/>
      <c r="H37" s="12"/>
      <c r="I37" s="12"/>
      <c r="J37" s="12"/>
      <c r="K37" s="12"/>
      <c r="L37" s="12"/>
      <c r="M37" s="12"/>
      <c r="N37" s="12"/>
    </row>
    <row r="38" spans="1:14" x14ac:dyDescent="0.3">
      <c r="A38" s="1250" t="s">
        <v>163</v>
      </c>
      <c r="B38" s="1251" t="str">
        <f>B12</f>
        <v>GENER</v>
      </c>
      <c r="C38" s="1252" t="str">
        <f t="shared" ref="C38:M38" si="6">C12</f>
        <v>FEBRER</v>
      </c>
      <c r="D38" s="1252" t="str">
        <f t="shared" si="6"/>
        <v>MARÇ</v>
      </c>
      <c r="E38" s="1252" t="str">
        <f t="shared" si="6"/>
        <v>ABRIL</v>
      </c>
      <c r="F38" s="1252" t="str">
        <f t="shared" si="6"/>
        <v>MAIG</v>
      </c>
      <c r="G38" s="1252" t="str">
        <f t="shared" si="6"/>
        <v>JUNY</v>
      </c>
      <c r="H38" s="1252" t="str">
        <f t="shared" si="6"/>
        <v>JULIOL</v>
      </c>
      <c r="I38" s="1252" t="str">
        <f t="shared" si="6"/>
        <v>AGOST</v>
      </c>
      <c r="J38" s="1252" t="str">
        <f t="shared" si="6"/>
        <v>SETEMBRE</v>
      </c>
      <c r="K38" s="1252" t="str">
        <f t="shared" si="6"/>
        <v>OCTUBRE</v>
      </c>
      <c r="L38" s="1252" t="str">
        <f t="shared" si="6"/>
        <v>NOVEMBRE</v>
      </c>
      <c r="M38" s="1253" t="str">
        <f t="shared" si="6"/>
        <v>DESEMBRE</v>
      </c>
      <c r="N38" s="1254" t="s">
        <v>245</v>
      </c>
    </row>
    <row r="39" spans="1:14" x14ac:dyDescent="0.3">
      <c r="A39" s="1255" t="s">
        <v>398</v>
      </c>
      <c r="B39" s="1256">
        <f t="shared" ref="B39:M39" si="7">B16*$F8</f>
        <v>0</v>
      </c>
      <c r="C39" s="1257">
        <f t="shared" si="7"/>
        <v>0</v>
      </c>
      <c r="D39" s="1257">
        <f t="shared" si="7"/>
        <v>0</v>
      </c>
      <c r="E39" s="1257">
        <f t="shared" si="7"/>
        <v>0</v>
      </c>
      <c r="F39" s="1257">
        <f t="shared" si="7"/>
        <v>0</v>
      </c>
      <c r="G39" s="1257">
        <f t="shared" si="7"/>
        <v>0</v>
      </c>
      <c r="H39" s="1257">
        <f t="shared" si="7"/>
        <v>0</v>
      </c>
      <c r="I39" s="1257">
        <f t="shared" si="7"/>
        <v>0</v>
      </c>
      <c r="J39" s="1257">
        <f t="shared" si="7"/>
        <v>0</v>
      </c>
      <c r="K39" s="1257">
        <f t="shared" si="7"/>
        <v>0</v>
      </c>
      <c r="L39" s="1257">
        <f t="shared" si="7"/>
        <v>0</v>
      </c>
      <c r="M39" s="1258">
        <f t="shared" si="7"/>
        <v>0</v>
      </c>
      <c r="N39" s="1259">
        <f>SUM(B39:M39)</f>
        <v>0</v>
      </c>
    </row>
    <row r="40" spans="1:14" x14ac:dyDescent="0.3">
      <c r="A40" s="1260" t="s">
        <v>399</v>
      </c>
      <c r="B40" s="1261">
        <f t="shared" ref="B40:M40" si="8">B19*$F9</f>
        <v>0</v>
      </c>
      <c r="C40" s="1262">
        <f t="shared" si="8"/>
        <v>0</v>
      </c>
      <c r="D40" s="1262">
        <f t="shared" si="8"/>
        <v>0</v>
      </c>
      <c r="E40" s="1262">
        <f t="shared" si="8"/>
        <v>0</v>
      </c>
      <c r="F40" s="1262">
        <f t="shared" si="8"/>
        <v>0</v>
      </c>
      <c r="G40" s="1262">
        <f t="shared" si="8"/>
        <v>0</v>
      </c>
      <c r="H40" s="1262">
        <f t="shared" si="8"/>
        <v>0</v>
      </c>
      <c r="I40" s="1262">
        <f t="shared" si="8"/>
        <v>0</v>
      </c>
      <c r="J40" s="1262">
        <f t="shared" si="8"/>
        <v>0</v>
      </c>
      <c r="K40" s="1262">
        <f t="shared" si="8"/>
        <v>0</v>
      </c>
      <c r="L40" s="1262">
        <f t="shared" si="8"/>
        <v>0</v>
      </c>
      <c r="M40" s="1263">
        <f t="shared" si="8"/>
        <v>0</v>
      </c>
      <c r="N40" s="1264">
        <f>SUM(B40:M40)</f>
        <v>0</v>
      </c>
    </row>
    <row r="41" spans="1:14" x14ac:dyDescent="0.3">
      <c r="A41" s="9"/>
      <c r="B41" s="12"/>
      <c r="C41" s="12"/>
      <c r="D41" s="12"/>
      <c r="E41" s="12"/>
      <c r="F41" s="12"/>
      <c r="G41" s="12"/>
      <c r="H41" s="12"/>
      <c r="I41" s="12"/>
      <c r="J41" s="12"/>
      <c r="K41" s="12"/>
      <c r="L41" s="12"/>
      <c r="M41" s="12"/>
      <c r="N41" s="18"/>
    </row>
    <row r="42" spans="1:14" ht="12.5" x14ac:dyDescent="0.25">
      <c r="A42"/>
      <c r="B42" s="12"/>
      <c r="C42" s="12"/>
      <c r="D42" s="12"/>
      <c r="E42" s="12"/>
      <c r="F42" s="12"/>
      <c r="G42" s="12"/>
      <c r="H42" s="12"/>
      <c r="I42" s="12"/>
      <c r="J42" s="12"/>
      <c r="K42" s="12"/>
      <c r="L42" s="12"/>
      <c r="M42" s="12"/>
      <c r="N42" s="12"/>
    </row>
    <row r="43" spans="1:14" x14ac:dyDescent="0.3">
      <c r="A43" s="1265" t="s">
        <v>414</v>
      </c>
      <c r="B43" s="1266" t="str">
        <f t="shared" ref="B43:M43" si="9">B38</f>
        <v>GENER</v>
      </c>
      <c r="C43" s="1266" t="str">
        <f t="shared" si="9"/>
        <v>FEBRER</v>
      </c>
      <c r="D43" s="1266" t="str">
        <f t="shared" si="9"/>
        <v>MARÇ</v>
      </c>
      <c r="E43" s="1266" t="str">
        <f t="shared" si="9"/>
        <v>ABRIL</v>
      </c>
      <c r="F43" s="1266" t="str">
        <f t="shared" si="9"/>
        <v>MAIG</v>
      </c>
      <c r="G43" s="1266" t="str">
        <f t="shared" si="9"/>
        <v>JUNY</v>
      </c>
      <c r="H43" s="1266" t="str">
        <f t="shared" si="9"/>
        <v>JULIOL</v>
      </c>
      <c r="I43" s="1266" t="str">
        <f t="shared" si="9"/>
        <v>AGOST</v>
      </c>
      <c r="J43" s="1266" t="str">
        <f t="shared" si="9"/>
        <v>SETEMBRE</v>
      </c>
      <c r="K43" s="1266" t="str">
        <f t="shared" si="9"/>
        <v>OCTUBRE</v>
      </c>
      <c r="L43" s="1266" t="str">
        <f t="shared" si="9"/>
        <v>NOVEMBRE</v>
      </c>
      <c r="M43" s="1266" t="str">
        <f t="shared" si="9"/>
        <v>DESEMBRE</v>
      </c>
      <c r="N43" s="1266" t="s">
        <v>245</v>
      </c>
    </row>
    <row r="44" spans="1:14" x14ac:dyDescent="0.3">
      <c r="A44" s="108" t="s">
        <v>415</v>
      </c>
      <c r="B44" s="794">
        <f>MERCADERIES!DC24+SERVEIS!CB24</f>
        <v>0</v>
      </c>
      <c r="C44" s="794">
        <f>MERCADERIES!DD24+SERVEIS!CC24</f>
        <v>0</v>
      </c>
      <c r="D44" s="794">
        <f>MERCADERIES!DE24+SERVEIS!CD24</f>
        <v>0</v>
      </c>
      <c r="E44" s="794">
        <f>MERCADERIES!DF24+SERVEIS!CE24</f>
        <v>0</v>
      </c>
      <c r="F44" s="794">
        <f>MERCADERIES!DG24+SERVEIS!CF24</f>
        <v>0</v>
      </c>
      <c r="G44" s="794">
        <f>MERCADERIES!DH24+SERVEIS!CG24</f>
        <v>0</v>
      </c>
      <c r="H44" s="794">
        <f>MERCADERIES!DI24+SERVEIS!CH24</f>
        <v>0</v>
      </c>
      <c r="I44" s="794">
        <f>MERCADERIES!DJ24+SERVEIS!CI24</f>
        <v>0</v>
      </c>
      <c r="J44" s="794">
        <f>MERCADERIES!DK24+SERVEIS!CJ24</f>
        <v>0</v>
      </c>
      <c r="K44" s="794">
        <f>MERCADERIES!DL24+SERVEIS!CK24</f>
        <v>0</v>
      </c>
      <c r="L44" s="794">
        <f>MERCADERIES!DM24+SERVEIS!CL24</f>
        <v>0</v>
      </c>
      <c r="M44" s="794">
        <f>MERCADERIES!DN24+SERVEIS!CM24</f>
        <v>0</v>
      </c>
      <c r="N44" s="15">
        <f>SUM(B44:M44)</f>
        <v>0</v>
      </c>
    </row>
    <row r="45" spans="1:14" x14ac:dyDescent="0.3">
      <c r="A45" s="108" t="s">
        <v>416</v>
      </c>
      <c r="B45" s="794">
        <f>MERCADERIES!DC27+SERVEIS!CB26+IF(OR(Fiscalitat!$H$21="a",Fiscalitat!$H$21="B",Fiscalitat!$H$21="D"),0,('Introducció dades'!C11-('Introducció dades'!C11/(1+'Introducció dades'!I11))))</f>
        <v>0</v>
      </c>
      <c r="C45" s="794">
        <f>MERCADERIES!DD27+SERVEIS!CC26</f>
        <v>0</v>
      </c>
      <c r="D45" s="794">
        <f>MERCADERIES!DE27+SERVEIS!CD26</f>
        <v>0</v>
      </c>
      <c r="E45" s="794">
        <f>MERCADERIES!DF27+SERVEIS!CE26</f>
        <v>0</v>
      </c>
      <c r="F45" s="794">
        <f>MERCADERIES!DG27+SERVEIS!CF26</f>
        <v>0</v>
      </c>
      <c r="G45" s="794">
        <f>MERCADERIES!DH27+SERVEIS!CG26</f>
        <v>0</v>
      </c>
      <c r="H45" s="794">
        <f>MERCADERIES!DI27+SERVEIS!CH26</f>
        <v>0</v>
      </c>
      <c r="I45" s="794">
        <f>MERCADERIES!DJ27+SERVEIS!CI26</f>
        <v>0</v>
      </c>
      <c r="J45" s="794">
        <f>MERCADERIES!DK27+SERVEIS!CJ26</f>
        <v>0</v>
      </c>
      <c r="K45" s="794">
        <f>MERCADERIES!DL27+SERVEIS!CK26</f>
        <v>0</v>
      </c>
      <c r="L45" s="794">
        <f>MERCADERIES!DM27+SERVEIS!CL26</f>
        <v>0</v>
      </c>
      <c r="M45" s="794">
        <f>MERCADERIES!DN27+SERVEIS!CM26</f>
        <v>0</v>
      </c>
      <c r="N45" s="15">
        <f>SUM(B45:M45)</f>
        <v>0</v>
      </c>
    </row>
    <row r="46" spans="1:14" x14ac:dyDescent="0.3">
      <c r="A46" s="108" t="s">
        <v>417</v>
      </c>
      <c r="B46" s="794">
        <f>(B16+B18+B19+B20+B21+B24+B25+B31)*$F6+LEASING!BS14</f>
        <v>0</v>
      </c>
      <c r="C46" s="794">
        <f>(C16+C18+C19+C20+C21+C24+C25+C31)*$F6+LEASING!BT14</f>
        <v>0</v>
      </c>
      <c r="D46" s="794">
        <f>(D16+D18+D19+D20+D21+D24+D25+D31)*$F6+LEASING!BU14</f>
        <v>0</v>
      </c>
      <c r="E46" s="794">
        <f>(E16+E18+E19+E20+E21+E24+E25+E31)*$F6+LEASING!BV14</f>
        <v>0</v>
      </c>
      <c r="F46" s="794">
        <f>(F16+F18+F19+F20+F21+F24+F25+F31)*$F6+LEASING!BW14</f>
        <v>0</v>
      </c>
      <c r="G46" s="794">
        <f>(G16+G18+G19+G20+G21+G24+G25+G31)*$F6+LEASING!BX14</f>
        <v>0</v>
      </c>
      <c r="H46" s="794">
        <f>(H16+H18+H19+H20+H21+H24+H25+H31)*$F6+LEASING!BY14</f>
        <v>0</v>
      </c>
      <c r="I46" s="794">
        <f>(I16+I18+I19+I20+I21+I24+I25+I31)*$F6+LEASING!BZ14</f>
        <v>0</v>
      </c>
      <c r="J46" s="794">
        <f>(J16+J18+J19+J20+J21+J24+J25+J31)*$F6+LEASING!CA14</f>
        <v>0</v>
      </c>
      <c r="K46" s="794">
        <f>(K16+K18+K19+K20+K21+K24+K25+K31)*$F6+LEASING!CB14</f>
        <v>0</v>
      </c>
      <c r="L46" s="794">
        <f>(L16+L18+L19+L20+L21+L24+L25+L31)*$F6+LEASING!CC14</f>
        <v>0</v>
      </c>
      <c r="M46" s="794">
        <f>(M16+M18+M19+M20+M21+M24+M25+M31)*$F6+LEASING!CD14</f>
        <v>0</v>
      </c>
      <c r="N46" s="15">
        <f>SUM(B46:M46)</f>
        <v>0</v>
      </c>
    </row>
    <row r="47" spans="1:14" x14ac:dyDescent="0.3">
      <c r="A47" s="108" t="s">
        <v>418</v>
      </c>
      <c r="B47" s="794">
        <f>INVERSIONS!B45-INVERSIONS!C45</f>
        <v>0</v>
      </c>
      <c r="C47" s="794">
        <f>INVERSIONS!D45-INVERSIONS!E45</f>
        <v>0</v>
      </c>
      <c r="D47" s="794">
        <f>INVERSIONS!F45-INVERSIONS!G45</f>
        <v>0</v>
      </c>
      <c r="E47" s="794">
        <f>INVERSIONS!H45-INVERSIONS!I45</f>
        <v>0</v>
      </c>
      <c r="F47" s="794">
        <f>INVERSIONS!J45-INVERSIONS!K45</f>
        <v>0</v>
      </c>
      <c r="G47" s="794">
        <f>INVERSIONS!L45-INVERSIONS!M45</f>
        <v>0</v>
      </c>
      <c r="H47" s="794">
        <f>INVERSIONS!N45-INVERSIONS!O45</f>
        <v>0</v>
      </c>
      <c r="I47" s="794">
        <f>INVERSIONS!P45-INVERSIONS!Q45</f>
        <v>0</v>
      </c>
      <c r="J47" s="794">
        <f>INVERSIONS!R45-INVERSIONS!S45</f>
        <v>0</v>
      </c>
      <c r="K47" s="794">
        <f>INVERSIONS!T45-INVERSIONS!U45</f>
        <v>0</v>
      </c>
      <c r="L47" s="794">
        <f>INVERSIONS!V45-INVERSIONS!W45</f>
        <v>0</v>
      </c>
      <c r="M47" s="794">
        <f>INVERSIONS!X45-INVERSIONS!Y45</f>
        <v>0</v>
      </c>
      <c r="N47" s="15">
        <f>SUM(B47:M47)</f>
        <v>0</v>
      </c>
    </row>
    <row r="48" spans="1:14" x14ac:dyDescent="0.3">
      <c r="A48" s="1267" t="s">
        <v>419</v>
      </c>
      <c r="B48" s="1268">
        <f>IF(Fiscalitat!$H$21="A",HLOOKUP(B56,Fiscalitat!$E$14:$P$15,2,FALSE),IF(OR(B43="MARÇ",B43="JUNY",B43="SETEMBRE",B43="DESEMBRE"),SUM(A44:B44)-SUM(A45:B45)-SUM(A46:B46)-SUM(A47:B47),0))</f>
        <v>0</v>
      </c>
      <c r="C48" s="1268">
        <f>IF(Fiscalitat!$H$21="A",HLOOKUP(C56,Fiscalitat!$E$14:$P$15,2,FALSE),IF(OR(C43="MARÇ",C43="JUNY",C43="SETEMBRE",C43="DESEMBRE"),SUM(B44:C44)-SUM(B45:C45)-SUM(B46:C46)-SUM(B47:C47),0))</f>
        <v>0</v>
      </c>
      <c r="D48" s="1268">
        <f>IF(Fiscalitat!$H$21="A",HLOOKUP(D56,Fiscalitat!$E$14:$P$15,2,FALSE),IF(OR(D43="MARÇ",D43="JUNY",D43="SETEMBRE",D43="DESEMBRE"),SUM(B44:D44)-SUM(B45:D45)-SUM(B46:D46)-SUM(B47:D47),0))</f>
        <v>0</v>
      </c>
      <c r="E48" s="1268">
        <f>IF(Fiscalitat!$H$21="A",HLOOKUP(E56,Fiscalitat!$E$14:$P$15,2,FALSE),IF(OR(E43="MARÇ",E43="JUNY",E43="SETEMBRE",E43="DESEMBRE"),SUM(C44:E44)-SUM(C45:E45)-SUM(C46:E46)-SUM(C47:E47),0))</f>
        <v>0</v>
      </c>
      <c r="F48" s="1268">
        <f>IF(Fiscalitat!$H$21="A",HLOOKUP(F56,Fiscalitat!$E$14:$P$15,2,FALSE),IF(OR(F43="MARÇ",F43="JUNY",F43="SETEMBRE",F43="DESEMBRE"),SUM(D44:F44)-SUM(D45:F45)-SUM(D46:F46)-SUM(D47:F47),0))</f>
        <v>0</v>
      </c>
      <c r="G48" s="1268">
        <f>IF(Fiscalitat!$H$21="A",HLOOKUP(G56,Fiscalitat!$E$14:$P$15,2,FALSE),IF(OR(G43="MARÇ",G43="JUNY",G43="SETEMBRE",G43="DESEMBRE"),SUM(E44:G44)-SUM(E45:G45)-SUM(E46:G46)-SUM(E47:G47),0))</f>
        <v>0</v>
      </c>
      <c r="H48" s="1268">
        <f>IF(Fiscalitat!$H$21="A",HLOOKUP(H56,Fiscalitat!$E$14:$P$15,2,FALSE),IF(OR(H43="MARÇ",H43="JUNY",H43="SETEMBRE",H43="DESEMBRE"),SUM(F44:H44)-SUM(F45:H45)-SUM(F46:H46)-SUM(F47:H47),0))</f>
        <v>0</v>
      </c>
      <c r="I48" s="1268">
        <f>IF(Fiscalitat!$H$21="A",HLOOKUP(I56,Fiscalitat!$E$14:$P$15,2,FALSE),IF(OR(I43="MARÇ",I43="JUNY",I43="SETEMBRE",I43="DESEMBRE"),SUM(G44:I44)-SUM(G45:I45)-SUM(G46:I46)-SUM(G47:I47),0))</f>
        <v>0</v>
      </c>
      <c r="J48" s="1268">
        <f>IF(Fiscalitat!$H$21="A",HLOOKUP(J56,Fiscalitat!$E$14:$P$15,2,FALSE),IF(OR(J43="MARÇ",J43="JUNY",J43="SETEMBRE",J43="DESEMBRE"),SUM(H44:J44)-SUM(H45:J45)-SUM(H46:J46)-SUM(H47:J47),0))</f>
        <v>0</v>
      </c>
      <c r="K48" s="1268">
        <f>IF(Fiscalitat!$H$21="A",HLOOKUP(K56,Fiscalitat!$E$14:$P$15,2,FALSE),IF(OR(K43="MARÇ",K43="JUNY",K43="SETEMBRE",K43="DESEMBRE"),SUM(I44:K44)-SUM(I45:K45)-SUM(I46:K46)-SUM(I47:K47),0))</f>
        <v>0</v>
      </c>
      <c r="L48" s="1268">
        <f>IF(Fiscalitat!$H$21="A",HLOOKUP(L56,Fiscalitat!$E$14:$P$15,2,FALSE),IF(OR(L43="MARÇ",L43="JUNY",L43="SETEMBRE",L43="DESEMBRE"),SUM(J44:L44)-SUM(J45:L45)-SUM(J46:L46)-SUM(J47:L47),0))</f>
        <v>0</v>
      </c>
      <c r="M48" s="1268">
        <f>IF(Fiscalitat!$H$21="A",HLOOKUP(M56,Fiscalitat!$E$14:$P$15,2,FALSE),IF(OR(M43="MARÇ",M43="JUNY",M43="SETEMBRE",M43="DESEMBRE"),SUM(K44:M44)-SUM(K45:M45)-SUM(K46:M46)-SUM(K47:M47),0))</f>
        <v>0</v>
      </c>
      <c r="N48" s="1268">
        <f>IF(OR(Fiscalitat!$H$21="A",Fiscalitat!$H$21="B"),SUM(B48:M48),N44-N45-N46-N47)</f>
        <v>0</v>
      </c>
    </row>
    <row r="49" spans="1:14" x14ac:dyDescent="0.3">
      <c r="A49" s="108" t="s">
        <v>420</v>
      </c>
      <c r="B49" s="794">
        <f>IF(B48&gt;0,B48,0)</f>
        <v>0</v>
      </c>
      <c r="C49" s="794">
        <f>IF(C48&gt;0,C48,0)</f>
        <v>0</v>
      </c>
      <c r="D49" s="794">
        <f>IF(D48&gt;0,D48,0)</f>
        <v>0</v>
      </c>
      <c r="E49" s="794">
        <f t="shared" ref="E49:M49" si="10">IF(AND(E48&gt;0,B50&lt;E48),E48-B50,0)</f>
        <v>0</v>
      </c>
      <c r="F49" s="794">
        <f t="shared" si="10"/>
        <v>0</v>
      </c>
      <c r="G49" s="794">
        <f t="shared" si="10"/>
        <v>0</v>
      </c>
      <c r="H49" s="794">
        <f t="shared" si="10"/>
        <v>0</v>
      </c>
      <c r="I49" s="794">
        <f t="shared" si="10"/>
        <v>0</v>
      </c>
      <c r="J49" s="794">
        <f t="shared" si="10"/>
        <v>0</v>
      </c>
      <c r="K49" s="794">
        <f t="shared" si="10"/>
        <v>0</v>
      </c>
      <c r="L49" s="794">
        <f t="shared" si="10"/>
        <v>0</v>
      </c>
      <c r="M49" s="794">
        <f t="shared" si="10"/>
        <v>0</v>
      </c>
      <c r="N49" s="15">
        <f>SUM(B49:L49)</f>
        <v>0</v>
      </c>
    </row>
    <row r="50" spans="1:14" x14ac:dyDescent="0.3">
      <c r="A50" s="108" t="s">
        <v>421</v>
      </c>
      <c r="B50" s="794">
        <f>IF(B48&lt;0,-B48,0)</f>
        <v>0</v>
      </c>
      <c r="C50" s="794">
        <f>IF(C48&lt;0,-C48,0)</f>
        <v>0</v>
      </c>
      <c r="D50" s="794">
        <f>IF(D48&lt;0,-D48,0)</f>
        <v>0</v>
      </c>
      <c r="E50" s="794">
        <f t="shared" ref="E50:M50" si="11">IF(OR(E48&lt;0,B50&gt;E48),B50-E48,0)</f>
        <v>0</v>
      </c>
      <c r="F50" s="794">
        <f>IF(OR(F48&lt;0,C50&gt;F48),C50-F48,0)</f>
        <v>0</v>
      </c>
      <c r="G50" s="794">
        <f t="shared" si="11"/>
        <v>0</v>
      </c>
      <c r="H50" s="794">
        <f t="shared" si="11"/>
        <v>0</v>
      </c>
      <c r="I50" s="794">
        <f t="shared" si="11"/>
        <v>0</v>
      </c>
      <c r="J50" s="794">
        <f t="shared" si="11"/>
        <v>0</v>
      </c>
      <c r="K50" s="794">
        <f t="shared" si="11"/>
        <v>0</v>
      </c>
      <c r="L50" s="794">
        <f t="shared" si="11"/>
        <v>0</v>
      </c>
      <c r="M50" s="794">
        <f t="shared" si="11"/>
        <v>0</v>
      </c>
      <c r="N50" s="1269"/>
    </row>
    <row r="51" spans="1:14" x14ac:dyDescent="0.3">
      <c r="A51" s="108" t="s">
        <v>422</v>
      </c>
      <c r="B51" s="794">
        <f>TRESORERIA!C15</f>
        <v>0</v>
      </c>
      <c r="C51" s="794">
        <f>TRESORERIA!D15</f>
        <v>0</v>
      </c>
      <c r="D51" s="794">
        <f>TRESORERIA!E15</f>
        <v>0</v>
      </c>
      <c r="E51" s="794">
        <f>TRESORERIA!F15</f>
        <v>0</v>
      </c>
      <c r="F51" s="794">
        <f>TRESORERIA!G15</f>
        <v>0</v>
      </c>
      <c r="G51" s="794">
        <f>TRESORERIA!H15</f>
        <v>0</v>
      </c>
      <c r="H51" s="794">
        <f>TRESORERIA!I15</f>
        <v>0</v>
      </c>
      <c r="I51" s="794">
        <f>TRESORERIA!J15</f>
        <v>0</v>
      </c>
      <c r="J51" s="794">
        <f>TRESORERIA!K15</f>
        <v>0</v>
      </c>
      <c r="K51" s="794">
        <f>TRESORERIA!L15</f>
        <v>0</v>
      </c>
      <c r="L51" s="794">
        <f>TRESORERIA!M15</f>
        <v>0</v>
      </c>
      <c r="M51" s="794">
        <f>TRESORERIA!N15</f>
        <v>0</v>
      </c>
      <c r="N51" s="15">
        <f>SUM(B51:M51)</f>
        <v>0</v>
      </c>
    </row>
    <row r="52" spans="1:14" x14ac:dyDescent="0.3">
      <c r="A52" s="108" t="s">
        <v>423</v>
      </c>
      <c r="B52" s="794">
        <f>TRESORERIA!C53</f>
        <v>0</v>
      </c>
      <c r="C52" s="794">
        <f>TRESORERIA!D53</f>
        <v>0</v>
      </c>
      <c r="D52" s="794">
        <f>TRESORERIA!E53</f>
        <v>0</v>
      </c>
      <c r="E52" s="794">
        <f>TRESORERIA!F53</f>
        <v>0</v>
      </c>
      <c r="F52" s="794">
        <f>TRESORERIA!G53</f>
        <v>0</v>
      </c>
      <c r="G52" s="794">
        <f>TRESORERIA!H53</f>
        <v>0</v>
      </c>
      <c r="H52" s="794">
        <f>TRESORERIA!I53</f>
        <v>0</v>
      </c>
      <c r="I52" s="794">
        <f>TRESORERIA!J53</f>
        <v>0</v>
      </c>
      <c r="J52" s="794">
        <f>TRESORERIA!K53</f>
        <v>0</v>
      </c>
      <c r="K52" s="794">
        <f>TRESORERIA!L53</f>
        <v>0</v>
      </c>
      <c r="L52" s="794">
        <f>TRESORERIA!M53</f>
        <v>0</v>
      </c>
      <c r="M52" s="794">
        <f>TRESORERIA!N53</f>
        <v>0</v>
      </c>
      <c r="N52" s="15">
        <f>SUM(B52:M52)</f>
        <v>0</v>
      </c>
    </row>
    <row r="53" spans="1:14" ht="12.5" x14ac:dyDescent="0.25">
      <c r="A53"/>
      <c r="B53" s="12"/>
      <c r="C53" s="12"/>
      <c r="D53" s="12"/>
      <c r="E53" s="12"/>
      <c r="F53" s="12"/>
      <c r="G53" s="12"/>
      <c r="H53" s="12"/>
      <c r="I53" s="12"/>
      <c r="J53" s="12"/>
      <c r="K53" s="12"/>
      <c r="L53" s="1908" t="s">
        <v>424</v>
      </c>
      <c r="M53" s="1908"/>
      <c r="N53" s="1101">
        <f>IF(N48&gt;0,N48-N49,0)</f>
        <v>0</v>
      </c>
    </row>
    <row r="54" spans="1:14" ht="12.5" x14ac:dyDescent="0.25">
      <c r="A54"/>
      <c r="B54" s="12"/>
      <c r="C54" s="12"/>
      <c r="D54" s="12"/>
      <c r="E54" s="12"/>
      <c r="F54" s="12"/>
      <c r="G54" s="12"/>
      <c r="H54" s="12"/>
      <c r="I54" s="12"/>
      <c r="J54" s="12"/>
      <c r="K54" s="12"/>
      <c r="L54" s="1908" t="s">
        <v>425</v>
      </c>
      <c r="M54" s="1908"/>
      <c r="N54" s="1101">
        <f>IF(N48&lt;0,-N48,0)</f>
        <v>0</v>
      </c>
    </row>
    <row r="55" spans="1:14" ht="12.5" x14ac:dyDescent="0.25">
      <c r="A55"/>
      <c r="B55" s="12"/>
      <c r="C55" s="12"/>
      <c r="D55" s="12"/>
      <c r="E55" s="12"/>
      <c r="F55" s="12"/>
      <c r="G55" s="12"/>
      <c r="H55" s="12"/>
      <c r="I55" s="12"/>
      <c r="J55" s="12"/>
      <c r="K55" s="12"/>
      <c r="N55"/>
    </row>
    <row r="56" spans="1:14" x14ac:dyDescent="0.3">
      <c r="A56" s="28" t="s">
        <v>426</v>
      </c>
      <c r="B56" s="1045" t="str">
        <f>+B12</f>
        <v>GENER</v>
      </c>
      <c r="C56" s="1045" t="str">
        <f t="shared" ref="C56:M56" si="12">+C12</f>
        <v>FEBRER</v>
      </c>
      <c r="D56" s="1045" t="str">
        <f t="shared" si="12"/>
        <v>MARÇ</v>
      </c>
      <c r="E56" s="1045" t="str">
        <f t="shared" si="12"/>
        <v>ABRIL</v>
      </c>
      <c r="F56" s="1045" t="str">
        <f t="shared" si="12"/>
        <v>MAIG</v>
      </c>
      <c r="G56" s="1045" t="str">
        <f t="shared" si="12"/>
        <v>JUNY</v>
      </c>
      <c r="H56" s="1045" t="str">
        <f t="shared" si="12"/>
        <v>JULIOL</v>
      </c>
      <c r="I56" s="1045" t="str">
        <f t="shared" si="12"/>
        <v>AGOST</v>
      </c>
      <c r="J56" s="1045" t="str">
        <f t="shared" si="12"/>
        <v>SETEMBRE</v>
      </c>
      <c r="K56" s="1045" t="str">
        <f t="shared" si="12"/>
        <v>OCTUBRE</v>
      </c>
      <c r="L56" s="1045" t="str">
        <f t="shared" si="12"/>
        <v>NOVEMBRE</v>
      </c>
      <c r="M56" s="1045" t="str">
        <f t="shared" si="12"/>
        <v>DESEMBRE</v>
      </c>
      <c r="N56" s="1045" t="s">
        <v>245</v>
      </c>
    </row>
    <row r="57" spans="1:14" ht="12" customHeight="1" x14ac:dyDescent="0.3">
      <c r="A57" s="23" t="s">
        <v>427</v>
      </c>
      <c r="B57" s="1022">
        <f>+'Resultats per mesos'!C10</f>
        <v>0</v>
      </c>
      <c r="C57" s="1022">
        <f>+'Resultats per mesos'!D10</f>
        <v>0</v>
      </c>
      <c r="D57" s="1022">
        <f>+'Resultats per mesos'!E10</f>
        <v>0</v>
      </c>
      <c r="E57" s="1022">
        <f>+'Resultats per mesos'!F10</f>
        <v>0</v>
      </c>
      <c r="F57" s="1022">
        <f>+'Resultats per mesos'!G10</f>
        <v>0</v>
      </c>
      <c r="G57" s="1022">
        <f>+'Resultats per mesos'!H10</f>
        <v>0</v>
      </c>
      <c r="H57" s="1022">
        <f>+'Resultats per mesos'!C33</f>
        <v>0</v>
      </c>
      <c r="I57" s="1022">
        <f>+'Resultats per mesos'!D33</f>
        <v>0</v>
      </c>
      <c r="J57" s="1022">
        <f>+'Resultats per mesos'!E33</f>
        <v>0</v>
      </c>
      <c r="K57" s="1022">
        <f>+'Resultats per mesos'!F33</f>
        <v>0</v>
      </c>
      <c r="L57" s="1022">
        <f>+'Resultats per mesos'!G33</f>
        <v>0</v>
      </c>
      <c r="M57" s="1022">
        <f>+'Resultats per mesos'!H33</f>
        <v>0</v>
      </c>
      <c r="N57" s="29">
        <f>SUM(B57:M57)</f>
        <v>0</v>
      </c>
    </row>
    <row r="58" spans="1:14" x14ac:dyDescent="0.3">
      <c r="A58" s="23" t="s">
        <v>428</v>
      </c>
      <c r="B58" s="1022">
        <f>+'Resultats per mesos'!C12+'Resultats per mesos'!C13+'Resultats per mesos'!C15+'Resultats per mesos'!C16+'Resultats per mesos'!C21+'Resultats per mesos'!C18+'Resultats per mesos'!C19</f>
        <v>0</v>
      </c>
      <c r="C58" s="1022">
        <f>+'Resultats per mesos'!D12+'Resultats per mesos'!D13+'Resultats per mesos'!D15+'Resultats per mesos'!D16+'Resultats per mesos'!D21+'Resultats per mesos'!D18+'Resultats per mesos'!D19</f>
        <v>0</v>
      </c>
      <c r="D58" s="1022">
        <f>+'Resultats per mesos'!E12+'Resultats per mesos'!E13+'Resultats per mesos'!E15+'Resultats per mesos'!E16+'Resultats per mesos'!E21+'Resultats per mesos'!E18+'Resultats per mesos'!E19</f>
        <v>0</v>
      </c>
      <c r="E58" s="1022">
        <f>+'Resultats per mesos'!F12+'Resultats per mesos'!F13+'Resultats per mesos'!F15+'Resultats per mesos'!F16+'Resultats per mesos'!F21+'Resultats per mesos'!F18+'Resultats per mesos'!F19</f>
        <v>0</v>
      </c>
      <c r="F58" s="1022">
        <f>+'Resultats per mesos'!G12+'Resultats per mesos'!G13+'Resultats per mesos'!G15+'Resultats per mesos'!G16+'Resultats per mesos'!G21+'Resultats per mesos'!G18+'Resultats per mesos'!G19</f>
        <v>0</v>
      </c>
      <c r="G58" s="1022">
        <f>+'Resultats per mesos'!H12+'Resultats per mesos'!H13+'Resultats per mesos'!H15+'Resultats per mesos'!H16+'Resultats per mesos'!H21+'Resultats per mesos'!H18+'Resultats per mesos'!H19</f>
        <v>0</v>
      </c>
      <c r="H58" s="1022">
        <f>+'Resultats per mesos'!C35+'Resultats per mesos'!C36+'Resultats per mesos'!C38+'Resultats per mesos'!C39+'Resultats per mesos'!C41+'Resultats per mesos'!C44+'Resultats per mesos'!C42</f>
        <v>0</v>
      </c>
      <c r="I58" s="1022">
        <f>+'Resultats per mesos'!D35+'Resultats per mesos'!D36+'Resultats per mesos'!D38+'Resultats per mesos'!D39+'Resultats per mesos'!D41+'Resultats per mesos'!D44+'Resultats per mesos'!D42</f>
        <v>0</v>
      </c>
      <c r="J58" s="1022">
        <f>+'Resultats per mesos'!E35+'Resultats per mesos'!E36+'Resultats per mesos'!E38+'Resultats per mesos'!E39+'Resultats per mesos'!E41+'Resultats per mesos'!E44+'Resultats per mesos'!E42</f>
        <v>0</v>
      </c>
      <c r="K58" s="1022">
        <f>+'Resultats per mesos'!F35+'Resultats per mesos'!F36+'Resultats per mesos'!F38+'Resultats per mesos'!F39+'Resultats per mesos'!F41+'Resultats per mesos'!F44+'Resultats per mesos'!F42</f>
        <v>0</v>
      </c>
      <c r="L58" s="1022">
        <f>+'Resultats per mesos'!G35+'Resultats per mesos'!G36+'Resultats per mesos'!G38+'Resultats per mesos'!G39+'Resultats per mesos'!G41+'Resultats per mesos'!G44+'Resultats per mesos'!G42</f>
        <v>0</v>
      </c>
      <c r="M58" s="1022">
        <f>+'Resultats per mesos'!H35+'Resultats per mesos'!H36+'Resultats per mesos'!H38+'Resultats per mesos'!H39+'Resultats per mesos'!H41+'Resultats per mesos'!H44+'Resultats per mesos'!H42</f>
        <v>0</v>
      </c>
      <c r="N58" s="29">
        <f>SUM(B58:M58)</f>
        <v>0</v>
      </c>
    </row>
    <row r="59" spans="1:14" x14ac:dyDescent="0.3">
      <c r="A59" s="23" t="s">
        <v>429</v>
      </c>
      <c r="B59" s="29">
        <f>IF(Fiscalitat!$H$21="e",0,+IF(OR(Fiscalitat!$H$21="A",Fiscalitat!$H$21="B"),HLOOKUP(B56,Fiscalitat!$E$9:$P$10,2,FALSE),IF(OR(A56="MARÇ",A56="JUNY",A56="SETEMBRE",A56="DESEMBRE"),SUM(A57:B57)-SUM(A58:B58),0)*$H$8))</f>
        <v>0</v>
      </c>
      <c r="C59" s="29">
        <f>IF(Fiscalitat!$H$21="e",0,IF(OR(Fiscalitat!$H$21="A",Fiscalitat!$H$21="B"),HLOOKUP(C56,Fiscalitat!$E$9:$P$10,2,FALSE),IF(OR(B56="MARÇ",B56="JUNY",B56="SETEMBRE",B56="DESEMBRE"),SUM(A57:B57)-SUM(A58:B58),0)*$H$8))</f>
        <v>0</v>
      </c>
      <c r="D59" s="29">
        <f>IF(Fiscalitat!$H$21="e",0,IF(OR(Fiscalitat!$H$21="A",Fiscalitat!$H$21="B"),HLOOKUP(D56,Fiscalitat!$E$9:$P$10,2,FALSE),IF(OR(C56="MARÇ",C56="JUNY",C56="SETEMBRE",C56="DESEMBRE"),SUM(A57:C57)-SUM(A58:C58),0)*$H$8))</f>
        <v>0</v>
      </c>
      <c r="E59" s="29">
        <f>IF(Fiscalitat!$H$21="e",0,IF(OR(Fiscalitat!$H$21="A",Fiscalitat!$H$21="B"),HLOOKUP(E56,Fiscalitat!$E$9:$P$10,2,FALSE),IF(OR(D56="MARÇ",D56="JUNY",D56="SETEMBRE",D56="DESEMBRE"),SUM(B57:D57)-SUM(B58:D58),0)*$H$8))</f>
        <v>0</v>
      </c>
      <c r="F59" s="29">
        <f>IF(Fiscalitat!$H$21="e",0,IF(OR(Fiscalitat!$H$21="A",Fiscalitat!$H$21="B"),HLOOKUP(F56,Fiscalitat!$E$9:$P$10,2,FALSE),IF(OR(E56="MARÇ",E56="JUNY",E56="SETEMBRE",E56="DESEMBRE"),SUM(C57:E57)-SUM(C58:E58),0)*$H$8))</f>
        <v>0</v>
      </c>
      <c r="G59" s="29">
        <f>IF(Fiscalitat!$H$21="e",0,IF(OR(Fiscalitat!$H$21="A",Fiscalitat!$H$21="B"),HLOOKUP(G56,Fiscalitat!$E$9:$P$10,2,FALSE),IF(OR(F56="MARÇ",F56="JUNY",F56="SETEMBRE",F56="DESEMBRE"),SUM(D57:F57)-SUM(D58:F58),0)*$H$8))</f>
        <v>0</v>
      </c>
      <c r="H59" s="29">
        <f>IF(Fiscalitat!$H$21="e",0,IF(OR(Fiscalitat!$H$21="A",Fiscalitat!$H$21="B"),HLOOKUP(H56,Fiscalitat!$E$9:$P$10,2,FALSE),IF(OR(G56="MARÇ",G56="JUNY",G56="SETEMBRE",G56="DESEMBRE"),SUM(E57:G57)-SUM(E58:G58),0)*$H$8))</f>
        <v>0</v>
      </c>
      <c r="I59" s="29">
        <f>IF(Fiscalitat!$H$21="e",0,IF(OR(Fiscalitat!$H$21="A",Fiscalitat!$H$21="B"),HLOOKUP(I56,Fiscalitat!$E$9:$P$10,2,FALSE),IF(OR(H56="MARÇ",H56="JUNY",H56="SETEMBRE",H56="DESEMBRE"),SUM(F57:H57)-SUM(F58:H58),0)*$H$8))</f>
        <v>0</v>
      </c>
      <c r="J59" s="29">
        <f>IF(Fiscalitat!$H$21="e",0,IF(OR(Fiscalitat!$H$21="A",Fiscalitat!$H$21="B"),HLOOKUP(J56,Fiscalitat!$E$9:$P$10,2,FALSE),IF(OR(I56="MARÇ",I56="JUNY",I56="SETEMBRE",I56="DESEMBRE"),SUM(G57:I57)-SUM(G58:I58),0)*$H$8))</f>
        <v>0</v>
      </c>
      <c r="K59" s="29">
        <f>IF(Fiscalitat!$H$21="e",0,IF(OR(Fiscalitat!$H$21="A",Fiscalitat!$H$21="B"),HLOOKUP(K56,Fiscalitat!$E$9:$P$10,2,FALSE),IF(OR(J56="MARÇ",J56="JUNY",J56="SETEMBRE",J56="DESEMBRE"),SUM(H57:J57)-SUM(H58:J58),0)*$H$8))</f>
        <v>0</v>
      </c>
      <c r="L59" s="29">
        <f>IF(Fiscalitat!$H$21="e",0,IF(OR(Fiscalitat!$H$21="A",Fiscalitat!$H$21="B"),HLOOKUP(L56,Fiscalitat!$E$9:$P$10,2,FALSE),IF(OR(K56="MARÇ",K56="JUNY",K56="SETEMBRE",K56="DESEMBRE"),SUM(I57:K57)-SUM(I58:K58),0)*$H$8))</f>
        <v>0</v>
      </c>
      <c r="M59" s="29">
        <f>IF(Fiscalitat!$H$21="e",0,IF(OR(Fiscalitat!$H$21="A",Fiscalitat!$H$21="B"),HLOOKUP(M56,Fiscalitat!$E$9:$P$10,2,FALSE),IF(OR(L56="MARÇ",L56="JUNY",L56="SETEMBRE",L56="DESEMBRE"),SUM(J57:L57)-SUM(J58:L58),0)*$H$8))</f>
        <v>0</v>
      </c>
      <c r="N59" s="29">
        <f>IF(Fiscalitat!$H$21="e",IF((N57-N58)&lt;0,0,((N57-N58)*$H$8)),IF(OR(Fiscalitat!$H$21="A",Fiscalitat!$H$21="B"),SUM(B59:M59),IF(((N57-N58)&lt;0),0,((N57-N58)*$H$8))))</f>
        <v>0</v>
      </c>
    </row>
    <row r="60" spans="1:14" x14ac:dyDescent="0.3">
      <c r="A60" s="23" t="s">
        <v>430</v>
      </c>
      <c r="B60" s="1022">
        <f>IF(B59&gt;0,B59,0)</f>
        <v>0</v>
      </c>
      <c r="C60" s="1022">
        <f>IF(C59&gt;0,C59,0)</f>
        <v>0</v>
      </c>
      <c r="D60" s="1022">
        <f>IF(D59&gt;0,D59,0)</f>
        <v>0</v>
      </c>
      <c r="E60" s="1022">
        <f t="shared" ref="E60:M60" si="13">IF(AND(E59&gt;0,B61&lt;E59),E59-B61,0)</f>
        <v>0</v>
      </c>
      <c r="F60" s="1022">
        <f t="shared" si="13"/>
        <v>0</v>
      </c>
      <c r="G60" s="1022">
        <f t="shared" si="13"/>
        <v>0</v>
      </c>
      <c r="H60" s="1022">
        <f t="shared" si="13"/>
        <v>0</v>
      </c>
      <c r="I60" s="1022">
        <f t="shared" si="13"/>
        <v>0</v>
      </c>
      <c r="J60" s="1022">
        <f t="shared" si="13"/>
        <v>0</v>
      </c>
      <c r="K60" s="1022">
        <f t="shared" si="13"/>
        <v>0</v>
      </c>
      <c r="L60" s="1022">
        <f t="shared" si="13"/>
        <v>0</v>
      </c>
      <c r="M60" s="1022">
        <f t="shared" si="13"/>
        <v>0</v>
      </c>
      <c r="N60" s="29">
        <f>SUM(B60:M60)</f>
        <v>0</v>
      </c>
    </row>
    <row r="61" spans="1:14" x14ac:dyDescent="0.3">
      <c r="A61" s="23" t="s">
        <v>431</v>
      </c>
      <c r="B61" s="1022">
        <f>IF(B59&lt;0,-B59,0)</f>
        <v>0</v>
      </c>
      <c r="C61" s="1022">
        <f>IF(C59&lt;0,-C59,0)</f>
        <v>0</v>
      </c>
      <c r="D61" s="1022">
        <f>IF(D59&lt;0,-D59,0)</f>
        <v>0</v>
      </c>
      <c r="E61" s="1022">
        <f t="shared" ref="E61:M61" si="14">IF(OR(E59&lt;0,B61&gt;E59),B61-E59,0)</f>
        <v>0</v>
      </c>
      <c r="F61" s="1022">
        <f t="shared" si="14"/>
        <v>0</v>
      </c>
      <c r="G61" s="1022">
        <f t="shared" si="14"/>
        <v>0</v>
      </c>
      <c r="H61" s="1022">
        <f t="shared" si="14"/>
        <v>0</v>
      </c>
      <c r="I61" s="1022">
        <f t="shared" si="14"/>
        <v>0</v>
      </c>
      <c r="J61" s="1022">
        <f t="shared" si="14"/>
        <v>0</v>
      </c>
      <c r="K61" s="1022">
        <f t="shared" si="14"/>
        <v>0</v>
      </c>
      <c r="L61" s="1022">
        <f t="shared" si="14"/>
        <v>0</v>
      </c>
      <c r="M61" s="1022">
        <f t="shared" si="14"/>
        <v>0</v>
      </c>
      <c r="N61" s="29">
        <f>SUM(B61:M61)</f>
        <v>0</v>
      </c>
    </row>
    <row r="62" spans="1:14" x14ac:dyDescent="0.3">
      <c r="B62" s="1249"/>
      <c r="C62" s="12"/>
      <c r="D62" s="12"/>
      <c r="E62" s="12"/>
      <c r="F62" s="12"/>
      <c r="G62" s="12"/>
      <c r="H62" s="12"/>
      <c r="I62" s="12"/>
      <c r="J62" s="12"/>
      <c r="K62" s="12"/>
      <c r="L62" s="1909" t="s">
        <v>432</v>
      </c>
      <c r="M62" s="1909"/>
      <c r="N62" s="1270">
        <f>IF((N59-N60)&gt;=0,N59-N60,0)</f>
        <v>0</v>
      </c>
    </row>
    <row r="63" spans="1:14" x14ac:dyDescent="0.3">
      <c r="A63" s="767" t="s">
        <v>47</v>
      </c>
      <c r="B63"/>
      <c r="L63" s="1909" t="s">
        <v>433</v>
      </c>
      <c r="M63" s="1909"/>
      <c r="N63" s="1270">
        <f>IF(OR(Fiscalitat!H21="c",Fiscalitat!H21="d"),IF(VARIABLES!N59-N60&lt;0,VARIABLES!N60-N59,0),0)</f>
        <v>0</v>
      </c>
    </row>
    <row r="64" spans="1:14" x14ac:dyDescent="0.3">
      <c r="A64" s="26"/>
      <c r="B64" s="1217"/>
    </row>
    <row r="65" spans="1:14" x14ac:dyDescent="0.3">
      <c r="A65" s="90"/>
      <c r="B65" s="781" t="s">
        <v>167</v>
      </c>
      <c r="C65" s="770" t="s">
        <v>168</v>
      </c>
      <c r="G65" s="90"/>
      <c r="H65" s="90"/>
      <c r="I65" s="90"/>
      <c r="J65" s="90"/>
      <c r="K65" s="90"/>
      <c r="L65" s="90"/>
      <c r="M65" s="90"/>
      <c r="N65" s="1220"/>
    </row>
    <row r="66" spans="1:14" x14ac:dyDescent="0.3">
      <c r="A66" s="1271" t="s">
        <v>169</v>
      </c>
      <c r="B66" s="1272">
        <f>'Introducció dades'!E226</f>
        <v>0</v>
      </c>
      <c r="C66" s="1273">
        <f>'Introducció dades'!F226</f>
        <v>0</v>
      </c>
      <c r="G66" s="90"/>
      <c r="H66" s="90"/>
      <c r="I66" s="90"/>
      <c r="J66" s="90"/>
      <c r="K66" s="90"/>
      <c r="L66" s="90"/>
      <c r="M66" s="90"/>
      <c r="N66" s="1220"/>
    </row>
    <row r="67" spans="1:14" x14ac:dyDescent="0.3">
      <c r="A67" s="1274" t="s">
        <v>402</v>
      </c>
      <c r="B67" s="1272">
        <f>'Introducció dades'!C404</f>
        <v>0</v>
      </c>
      <c r="C67" s="1273">
        <f>'Introducció dades'!D404</f>
        <v>0</v>
      </c>
      <c r="E67" s="1275" t="s">
        <v>89</v>
      </c>
      <c r="F67" s="1276" t="s">
        <v>161</v>
      </c>
      <c r="G67" s="90"/>
      <c r="H67" s="90"/>
      <c r="I67" s="90"/>
      <c r="J67" s="90"/>
      <c r="K67" s="90"/>
      <c r="L67" s="90"/>
      <c r="M67" s="90"/>
      <c r="N67" s="1220"/>
    </row>
    <row r="68" spans="1:14" x14ac:dyDescent="0.3">
      <c r="C68" s="90"/>
      <c r="E68" s="1274" t="s">
        <v>59</v>
      </c>
      <c r="F68" s="1277">
        <f>F6</f>
        <v>0.21</v>
      </c>
      <c r="G68" s="90"/>
      <c r="H68" s="90"/>
      <c r="I68" s="90"/>
      <c r="J68" s="90"/>
      <c r="K68" s="90"/>
      <c r="L68" s="90"/>
      <c r="M68" s="90"/>
      <c r="N68" s="1220"/>
    </row>
    <row r="69" spans="1:14" x14ac:dyDescent="0.3">
      <c r="A69" s="1278" t="s">
        <v>170</v>
      </c>
      <c r="B69" s="1226"/>
      <c r="C69" s="90"/>
      <c r="E69" s="1275" t="s">
        <v>403</v>
      </c>
      <c r="F69" s="764" t="s">
        <v>161</v>
      </c>
      <c r="G69" s="90"/>
      <c r="H69" s="90"/>
      <c r="I69" s="90"/>
      <c r="J69" s="90"/>
      <c r="K69" s="90"/>
      <c r="L69" s="90"/>
      <c r="M69" s="90"/>
      <c r="N69" s="1220"/>
    </row>
    <row r="70" spans="1:14" x14ac:dyDescent="0.3">
      <c r="A70" s="1279" t="s">
        <v>171</v>
      </c>
      <c r="B70" s="1280">
        <f>'Introducció dades'!E228</f>
        <v>0</v>
      </c>
      <c r="C70" s="90"/>
      <c r="E70" s="1281" t="s">
        <v>398</v>
      </c>
      <c r="F70" s="1282">
        <f>F8</f>
        <v>0.21</v>
      </c>
      <c r="G70" s="90"/>
      <c r="H70" s="90"/>
      <c r="I70" s="90"/>
      <c r="J70" s="90"/>
      <c r="K70" s="90"/>
      <c r="L70" s="90"/>
      <c r="M70" s="90"/>
      <c r="N70" s="1220"/>
    </row>
    <row r="71" spans="1:14" x14ac:dyDescent="0.3">
      <c r="A71" s="1274" t="s">
        <v>172</v>
      </c>
      <c r="B71" s="1280">
        <f>'Introducció dades'!E229</f>
        <v>0</v>
      </c>
      <c r="C71" s="90"/>
      <c r="E71" s="1283" t="s">
        <v>405</v>
      </c>
      <c r="F71" s="1277">
        <f>F9</f>
        <v>0.21</v>
      </c>
      <c r="G71" s="90"/>
      <c r="H71" s="90"/>
      <c r="I71" s="90"/>
      <c r="J71" s="90"/>
      <c r="K71" s="90"/>
      <c r="L71" s="90"/>
      <c r="M71" s="90"/>
      <c r="N71" s="1220"/>
    </row>
    <row r="72" spans="1:14" x14ac:dyDescent="0.3">
      <c r="A72" s="1284" t="s">
        <v>407</v>
      </c>
      <c r="B72" s="1280">
        <f>'Introducció dades'!E230</f>
        <v>0</v>
      </c>
      <c r="C72" s="90"/>
      <c r="D72" s="90"/>
      <c r="E72" s="90"/>
      <c r="F72" s="90"/>
      <c r="G72" s="90"/>
      <c r="H72" s="90"/>
      <c r="I72" s="90"/>
      <c r="J72" s="90"/>
      <c r="K72" s="90"/>
      <c r="L72" s="90"/>
      <c r="M72" s="90"/>
      <c r="N72" s="1220"/>
    </row>
    <row r="74" spans="1:14" x14ac:dyDescent="0.3">
      <c r="A74"/>
      <c r="B74" s="1285" t="str">
        <f>B12</f>
        <v>GENER</v>
      </c>
      <c r="C74" s="1285" t="str">
        <f t="shared" ref="C74:N74" si="15">C12</f>
        <v>FEBRER</v>
      </c>
      <c r="D74" s="1285" t="str">
        <f t="shared" si="15"/>
        <v>MARÇ</v>
      </c>
      <c r="E74" s="1285" t="str">
        <f t="shared" si="15"/>
        <v>ABRIL</v>
      </c>
      <c r="F74" s="1285" t="str">
        <f t="shared" si="15"/>
        <v>MAIG</v>
      </c>
      <c r="G74" s="1285" t="str">
        <f t="shared" si="15"/>
        <v>JUNY</v>
      </c>
      <c r="H74" s="1285" t="str">
        <f t="shared" si="15"/>
        <v>JULIOL</v>
      </c>
      <c r="I74" s="1285" t="str">
        <f t="shared" si="15"/>
        <v>AGOST</v>
      </c>
      <c r="J74" s="1285" t="str">
        <f t="shared" si="15"/>
        <v>SETEMBRE</v>
      </c>
      <c r="K74" s="1285" t="str">
        <f t="shared" si="15"/>
        <v>OCTUBRE</v>
      </c>
      <c r="L74" s="1285" t="str">
        <f t="shared" si="15"/>
        <v>NOVEMBRE</v>
      </c>
      <c r="M74" s="1285" t="str">
        <f t="shared" si="15"/>
        <v>DESEMBRE</v>
      </c>
      <c r="N74" s="1285" t="str">
        <f t="shared" si="15"/>
        <v>TOTAL</v>
      </c>
    </row>
    <row r="75" spans="1:14" s="7" customFormat="1" x14ac:dyDescent="0.3">
      <c r="A75" s="756" t="s">
        <v>408</v>
      </c>
      <c r="B75" s="1237">
        <f>'INGRESSOS _ COMPRES'!C98</f>
        <v>0</v>
      </c>
      <c r="C75" s="1237">
        <f>'INGRESSOS _ COMPRES'!D98</f>
        <v>0</v>
      </c>
      <c r="D75" s="1237">
        <f>'INGRESSOS _ COMPRES'!E98</f>
        <v>0</v>
      </c>
      <c r="E75" s="1237">
        <f>'INGRESSOS _ COMPRES'!F98</f>
        <v>0</v>
      </c>
      <c r="F75" s="1237">
        <f>'INGRESSOS _ COMPRES'!G98</f>
        <v>0</v>
      </c>
      <c r="G75" s="1237">
        <f>'INGRESSOS _ COMPRES'!H98</f>
        <v>0</v>
      </c>
      <c r="H75" s="1237">
        <f>'INGRESSOS _ COMPRES'!I98</f>
        <v>0</v>
      </c>
      <c r="I75" s="1237">
        <f>'INGRESSOS _ COMPRES'!J98</f>
        <v>0</v>
      </c>
      <c r="J75" s="1237">
        <f>'INGRESSOS _ COMPRES'!K98</f>
        <v>0</v>
      </c>
      <c r="K75" s="1237">
        <f>'INGRESSOS _ COMPRES'!L98</f>
        <v>0</v>
      </c>
      <c r="L75" s="1237">
        <f>'INGRESSOS _ COMPRES'!M98</f>
        <v>0</v>
      </c>
      <c r="M75" s="1237">
        <f>'INGRESSOS _ COMPRES'!N98</f>
        <v>0</v>
      </c>
      <c r="N75" s="1237">
        <f>SUM(B75:M75)</f>
        <v>0</v>
      </c>
    </row>
    <row r="76" spans="1:14" s="7" customFormat="1" x14ac:dyDescent="0.3">
      <c r="A76" s="756" t="s">
        <v>409</v>
      </c>
      <c r="B76" s="1237">
        <f>'INGRESSOS _ COMPRES'!C130</f>
        <v>0</v>
      </c>
      <c r="C76" s="1237">
        <f>'INGRESSOS _ COMPRES'!D130</f>
        <v>0</v>
      </c>
      <c r="D76" s="1237">
        <f>'INGRESSOS _ COMPRES'!E130</f>
        <v>0</v>
      </c>
      <c r="E76" s="1237">
        <f>'INGRESSOS _ COMPRES'!F130</f>
        <v>0</v>
      </c>
      <c r="F76" s="1237">
        <f>'INGRESSOS _ COMPRES'!G130</f>
        <v>0</v>
      </c>
      <c r="G76" s="1237">
        <f>'INGRESSOS _ COMPRES'!H130</f>
        <v>0</v>
      </c>
      <c r="H76" s="1237">
        <f>'INGRESSOS _ COMPRES'!I130</f>
        <v>0</v>
      </c>
      <c r="I76" s="1237">
        <f>'INGRESSOS _ COMPRES'!J130</f>
        <v>0</v>
      </c>
      <c r="J76" s="1237">
        <f>'INGRESSOS _ COMPRES'!K130</f>
        <v>0</v>
      </c>
      <c r="K76" s="1237">
        <f>'INGRESSOS _ COMPRES'!L130</f>
        <v>0</v>
      </c>
      <c r="L76" s="1237">
        <f>'INGRESSOS _ COMPRES'!M130</f>
        <v>0</v>
      </c>
      <c r="M76" s="1237">
        <f>'INGRESSOS _ COMPRES'!N130</f>
        <v>0</v>
      </c>
      <c r="N76" s="1237">
        <f t="shared" ref="N76:N97" si="16">SUM(B76:M76)</f>
        <v>0</v>
      </c>
    </row>
    <row r="77" spans="1:14" x14ac:dyDescent="0.3">
      <c r="A77" s="1286" t="s">
        <v>410</v>
      </c>
      <c r="B77" s="1239">
        <f>SUM(B78:B87)+B93</f>
        <v>0</v>
      </c>
      <c r="C77" s="1239">
        <f t="shared" ref="C77:M77" si="17">SUM(C78:C87)+C93</f>
        <v>0</v>
      </c>
      <c r="D77" s="1239">
        <f t="shared" si="17"/>
        <v>0</v>
      </c>
      <c r="E77" s="1239">
        <f t="shared" si="17"/>
        <v>0</v>
      </c>
      <c r="F77" s="1239">
        <f t="shared" si="17"/>
        <v>0</v>
      </c>
      <c r="G77" s="1239">
        <f t="shared" si="17"/>
        <v>0</v>
      </c>
      <c r="H77" s="1239">
        <f t="shared" si="17"/>
        <v>0</v>
      </c>
      <c r="I77" s="1239">
        <f t="shared" si="17"/>
        <v>0</v>
      </c>
      <c r="J77" s="1239">
        <f t="shared" si="17"/>
        <v>0</v>
      </c>
      <c r="K77" s="1239">
        <f t="shared" si="17"/>
        <v>0</v>
      </c>
      <c r="L77" s="1239">
        <f t="shared" si="17"/>
        <v>0</v>
      </c>
      <c r="M77" s="1239">
        <f t="shared" si="17"/>
        <v>0</v>
      </c>
      <c r="N77" s="1240">
        <f t="shared" si="16"/>
        <v>0</v>
      </c>
    </row>
    <row r="78" spans="1:14" ht="12.5" x14ac:dyDescent="0.25">
      <c r="A78" s="1287" t="s">
        <v>398</v>
      </c>
      <c r="B78" s="1242">
        <f>IF(OR(Fiscalitat!$H$21="a",Fiscalitat!$H$21="B",Fiscalitat!$H$21="D"),'Introducció dades'!C251*(1+$F$6),'Introducció dades'!C251)</f>
        <v>0</v>
      </c>
      <c r="C78" s="1242">
        <f>IF(OR(Fiscalitat!$H$21="a",Fiscalitat!$H$21="B",Fiscalitat!$H$21="D"),'Introducció dades'!D251*(1+$F$6),'Introducció dades'!D251)</f>
        <v>0</v>
      </c>
      <c r="D78" s="1242">
        <f>IF(OR(Fiscalitat!$H$21="a",Fiscalitat!$H$21="B",Fiscalitat!$H$21="D"),'Introducció dades'!E251*(1+$F$6),'Introducció dades'!E251)</f>
        <v>0</v>
      </c>
      <c r="E78" s="1242">
        <f>IF(OR(Fiscalitat!$H$21="a",Fiscalitat!$H$21="B",Fiscalitat!$H$21="D"),'Introducció dades'!F251*(1+$F$6),'Introducció dades'!F251)</f>
        <v>0</v>
      </c>
      <c r="F78" s="1242">
        <f>IF(OR(Fiscalitat!$H$21="a",Fiscalitat!$H$21="B",Fiscalitat!$H$21="D"),'Introducció dades'!G251*(1+$F$6),'Introducció dades'!G251)</f>
        <v>0</v>
      </c>
      <c r="G78" s="1242">
        <f>IF(OR(Fiscalitat!$H$21="a",Fiscalitat!$H$21="B",Fiscalitat!$H$21="D"),'Introducció dades'!H251*(1+$F$6),'Introducció dades'!H251)</f>
        <v>0</v>
      </c>
      <c r="H78" s="1242">
        <f>IF(OR(Fiscalitat!$H$21="a",Fiscalitat!$H$21="B",Fiscalitat!$H$21="D"),'Introducció dades'!I251*(1+$F$6),'Introducció dades'!I251)</f>
        <v>0</v>
      </c>
      <c r="I78" s="1242">
        <f>IF(OR(Fiscalitat!$H$21="a",Fiscalitat!$H$21="B",Fiscalitat!$H$21="D"),'Introducció dades'!J251*(1+$F$6),'Introducció dades'!J251)</f>
        <v>0</v>
      </c>
      <c r="J78" s="1242">
        <f>IF(OR(Fiscalitat!$H$21="a",Fiscalitat!$H$21="B",Fiscalitat!$H$21="D"),'Introducció dades'!K251*(1+$F$6),'Introducció dades'!K251)</f>
        <v>0</v>
      </c>
      <c r="K78" s="1242">
        <f>IF(OR(Fiscalitat!$H$21="a",Fiscalitat!$H$21="B",Fiscalitat!$H$21="D"),'Introducció dades'!L251*(1+$F$6),'Introducció dades'!L251)</f>
        <v>0</v>
      </c>
      <c r="L78" s="1242">
        <f>IF(OR(Fiscalitat!$H$21="a",Fiscalitat!$H$21="B",Fiscalitat!$H$21="D"),'Introducció dades'!M251*(1+$F$6),'Introducció dades'!M251)</f>
        <v>0</v>
      </c>
      <c r="M78" s="1242">
        <f>IF(OR(Fiscalitat!$H$21="a",Fiscalitat!$H$21="B",Fiscalitat!$H$21="D"),'Introducció dades'!N251*(1+$F$6),'Introducció dades'!N251)</f>
        <v>0</v>
      </c>
      <c r="N78" s="1243">
        <f t="shared" si="16"/>
        <v>0</v>
      </c>
    </row>
    <row r="79" spans="1:14" ht="12.5" x14ac:dyDescent="0.25">
      <c r="A79" s="1287" t="s">
        <v>717</v>
      </c>
      <c r="B79" s="1242">
        <f>+LEASING!$G28</f>
        <v>0</v>
      </c>
      <c r="C79" s="1242">
        <f>+LEASING!$G29</f>
        <v>0</v>
      </c>
      <c r="D79" s="1242">
        <f>+LEASING!$G30</f>
        <v>0</v>
      </c>
      <c r="E79" s="1242">
        <f>+LEASING!$G31</f>
        <v>0</v>
      </c>
      <c r="F79" s="1242">
        <f>+LEASING!$G32</f>
        <v>0</v>
      </c>
      <c r="G79" s="1242">
        <f>+LEASING!$G33</f>
        <v>0</v>
      </c>
      <c r="H79" s="1242">
        <f>+LEASING!$G34</f>
        <v>0</v>
      </c>
      <c r="I79" s="1242">
        <f>+LEASING!$G35</f>
        <v>0</v>
      </c>
      <c r="J79" s="1242">
        <f>+LEASING!$G36</f>
        <v>0</v>
      </c>
      <c r="K79" s="1242">
        <f>+LEASING!$G37</f>
        <v>0</v>
      </c>
      <c r="L79" s="1242">
        <f>+LEASING!$G38</f>
        <v>0</v>
      </c>
      <c r="M79" s="1242">
        <f>+LEASING!$G39</f>
        <v>0</v>
      </c>
      <c r="N79" s="1243">
        <f t="shared" si="16"/>
        <v>0</v>
      </c>
    </row>
    <row r="80" spans="1:14" ht="12.5" x14ac:dyDescent="0.25">
      <c r="A80" s="1288" t="s">
        <v>175</v>
      </c>
      <c r="B80" s="1242">
        <f>IF(OR(Fiscalitat!$H$21="a",Fiscalitat!$H$21="B",Fiscalitat!$H$21="D"),'Introducció dades'!C252*(1+$F$6),'Introducció dades'!C252)</f>
        <v>0</v>
      </c>
      <c r="C80" s="1242">
        <f>IF(OR(Fiscalitat!$H$21="a",Fiscalitat!$H$21="B",Fiscalitat!$H$21="D"),'Introducció dades'!D252*(1+$F$6),'Introducció dades'!D252)</f>
        <v>0</v>
      </c>
      <c r="D80" s="1242">
        <f>IF(OR(Fiscalitat!$H$21="a",Fiscalitat!$H$21="B",Fiscalitat!$H$21="D"),'Introducció dades'!E252*(1+$F$6),'Introducció dades'!E252)</f>
        <v>0</v>
      </c>
      <c r="E80" s="1242">
        <f>IF(OR(Fiscalitat!$H$21="a",Fiscalitat!$H$21="B",Fiscalitat!$H$21="D"),'Introducció dades'!F252*(1+$F$6),'Introducció dades'!F252)</f>
        <v>0</v>
      </c>
      <c r="F80" s="1242">
        <f>IF(OR(Fiscalitat!$H$21="a",Fiscalitat!$H$21="B",Fiscalitat!$H$21="D"),'Introducció dades'!G252*(1+$F$6),'Introducció dades'!G252)</f>
        <v>0</v>
      </c>
      <c r="G80" s="1242">
        <f>IF(OR(Fiscalitat!$H$21="a",Fiscalitat!$H$21="B",Fiscalitat!$H$21="D"),'Introducció dades'!H252*(1+$F$6),'Introducció dades'!H252)</f>
        <v>0</v>
      </c>
      <c r="H80" s="1242">
        <f>IF(OR(Fiscalitat!$H$21="a",Fiscalitat!$H$21="B",Fiscalitat!$H$21="D"),'Introducció dades'!I252*(1+$F$6),'Introducció dades'!I252)</f>
        <v>0</v>
      </c>
      <c r="I80" s="1242">
        <f>IF(OR(Fiscalitat!$H$21="a",Fiscalitat!$H$21="B",Fiscalitat!$H$21="D"),'Introducció dades'!J252*(1+$F$6),'Introducció dades'!J252)</f>
        <v>0</v>
      </c>
      <c r="J80" s="1242">
        <f>IF(OR(Fiscalitat!$H$21="a",Fiscalitat!$H$21="B",Fiscalitat!$H$21="D"),'Introducció dades'!K252*(1+$F$6),'Introducció dades'!K252)</f>
        <v>0</v>
      </c>
      <c r="K80" s="1242">
        <f>IF(OR(Fiscalitat!$H$21="a",Fiscalitat!$H$21="B",Fiscalitat!$H$21="D"),'Introducció dades'!L252*(1+$F$6),'Introducció dades'!L252)</f>
        <v>0</v>
      </c>
      <c r="L80" s="1242">
        <f>IF(OR(Fiscalitat!$H$21="a",Fiscalitat!$H$21="B",Fiscalitat!$H$21="D"),'Introducció dades'!M252*(1+$F$6),'Introducció dades'!M252)</f>
        <v>0</v>
      </c>
      <c r="M80" s="1242">
        <f>IF(OR(Fiscalitat!$H$21="a",Fiscalitat!$H$21="B",Fiscalitat!$H$21="D"),'Introducció dades'!N252*(1+$F$6),'Introducció dades'!N252)</f>
        <v>0</v>
      </c>
      <c r="N80" s="1243">
        <f t="shared" si="16"/>
        <v>0</v>
      </c>
    </row>
    <row r="81" spans="1:14" ht="12.5" x14ac:dyDescent="0.25">
      <c r="A81" s="1288" t="s">
        <v>399</v>
      </c>
      <c r="B81" s="1242">
        <f>IF(OR(Fiscalitat!$H$21="a",Fiscalitat!$H$21="B",Fiscalitat!$H$21="D"),'Introducció dades'!C253*(1+$F$6),'Introducció dades'!C253)</f>
        <v>0</v>
      </c>
      <c r="C81" s="1242">
        <f>IF(OR(Fiscalitat!$H$21="a",Fiscalitat!$H$21="B",Fiscalitat!$H$21="D"),'Introducció dades'!D253*(1+$F$6),'Introducció dades'!D253)</f>
        <v>0</v>
      </c>
      <c r="D81" s="1242">
        <f>IF(OR(Fiscalitat!$H$21="a",Fiscalitat!$H$21="B",Fiscalitat!$H$21="D"),'Introducció dades'!E253*(1+$F$6),'Introducció dades'!E253)</f>
        <v>0</v>
      </c>
      <c r="E81" s="1242">
        <f>IF(OR(Fiscalitat!$H$21="a",Fiscalitat!$H$21="B",Fiscalitat!$H$21="D"),'Introducció dades'!F253*(1+$F$6),'Introducció dades'!F253)</f>
        <v>0</v>
      </c>
      <c r="F81" s="1242">
        <f>IF(OR(Fiscalitat!$H$21="a",Fiscalitat!$H$21="B",Fiscalitat!$H$21="D"),'Introducció dades'!G253*(1+$F$6),'Introducció dades'!G253)</f>
        <v>0</v>
      </c>
      <c r="G81" s="1242">
        <f>IF(OR(Fiscalitat!$H$21="a",Fiscalitat!$H$21="B",Fiscalitat!$H$21="D"),'Introducció dades'!H253*(1+$F$6),'Introducció dades'!H253)</f>
        <v>0</v>
      </c>
      <c r="H81" s="1242">
        <f>IF(OR(Fiscalitat!$H$21="a",Fiscalitat!$H$21="B",Fiscalitat!$H$21="D"),'Introducció dades'!I253*(1+$F$6),'Introducció dades'!I253)</f>
        <v>0</v>
      </c>
      <c r="I81" s="1242">
        <f>IF(OR(Fiscalitat!$H$21="a",Fiscalitat!$H$21="B",Fiscalitat!$H$21="D"),'Introducció dades'!J253*(1+$F$6),'Introducció dades'!J253)</f>
        <v>0</v>
      </c>
      <c r="J81" s="1242">
        <f>IF(OR(Fiscalitat!$H$21="a",Fiscalitat!$H$21="B",Fiscalitat!$H$21="D"),'Introducció dades'!K253*(1+$F$6),'Introducció dades'!K253)</f>
        <v>0</v>
      </c>
      <c r="K81" s="1242">
        <f>IF(OR(Fiscalitat!$H$21="a",Fiscalitat!$H$21="B",Fiscalitat!$H$21="D"),'Introducció dades'!L253*(1+$F$6),'Introducció dades'!L253)</f>
        <v>0</v>
      </c>
      <c r="L81" s="1242">
        <f>IF(OR(Fiscalitat!$H$21="a",Fiscalitat!$H$21="B",Fiscalitat!$H$21="D"),'Introducció dades'!M253*(1+$F$6),'Introducció dades'!M253)</f>
        <v>0</v>
      </c>
      <c r="M81" s="1242">
        <f>IF(OR(Fiscalitat!$H$21="a",Fiscalitat!$H$21="B",Fiscalitat!$H$21="D"),'Introducció dades'!N253*(1+$F$6),'Introducció dades'!N253)</f>
        <v>0</v>
      </c>
      <c r="N81" s="1243">
        <f t="shared" si="16"/>
        <v>0</v>
      </c>
    </row>
    <row r="82" spans="1:14" ht="12.5" x14ac:dyDescent="0.25">
      <c r="A82" s="1288" t="s">
        <v>411</v>
      </c>
      <c r="B82" s="1245">
        <f>B75*$B66*$C66</f>
        <v>0</v>
      </c>
      <c r="C82" s="1245">
        <f t="shared" ref="C82:M82" si="18">C75*$B66*$C66</f>
        <v>0</v>
      </c>
      <c r="D82" s="1245">
        <f t="shared" si="18"/>
        <v>0</v>
      </c>
      <c r="E82" s="1245">
        <f t="shared" si="18"/>
        <v>0</v>
      </c>
      <c r="F82" s="1245">
        <f t="shared" si="18"/>
        <v>0</v>
      </c>
      <c r="G82" s="1245">
        <f t="shared" si="18"/>
        <v>0</v>
      </c>
      <c r="H82" s="1245">
        <f t="shared" si="18"/>
        <v>0</v>
      </c>
      <c r="I82" s="1245">
        <f t="shared" si="18"/>
        <v>0</v>
      </c>
      <c r="J82" s="1245">
        <f t="shared" si="18"/>
        <v>0</v>
      </c>
      <c r="K82" s="1245">
        <f t="shared" si="18"/>
        <v>0</v>
      </c>
      <c r="L82" s="1245">
        <f t="shared" si="18"/>
        <v>0</v>
      </c>
      <c r="M82" s="1245">
        <f t="shared" si="18"/>
        <v>0</v>
      </c>
      <c r="N82" s="1243">
        <f t="shared" si="16"/>
        <v>0</v>
      </c>
    </row>
    <row r="83" spans="1:14" ht="12.5" x14ac:dyDescent="0.25">
      <c r="A83" s="1288" t="s">
        <v>177</v>
      </c>
      <c r="B83" s="1242">
        <f>IF(OR(Fiscalitat!$H$21="a",Fiscalitat!$H$21="B",Fiscalitat!$H$21="D"),'Introducció dades'!C254*(1+$F$6),'Introducció dades'!C254)</f>
        <v>0</v>
      </c>
      <c r="C83" s="1242">
        <f>IF(OR(Fiscalitat!$H$21="a",Fiscalitat!$H$21="B",Fiscalitat!$H$21="D"),'Introducció dades'!D254*(1+$F$6),'Introducció dades'!D254)</f>
        <v>0</v>
      </c>
      <c r="D83" s="1242">
        <f>IF(OR(Fiscalitat!$H$21="a",Fiscalitat!$H$21="B",Fiscalitat!$H$21="D"),'Introducció dades'!E254*(1+$F$6),'Introducció dades'!E254)</f>
        <v>0</v>
      </c>
      <c r="E83" s="1242">
        <f>IF(OR(Fiscalitat!$H$21="a",Fiscalitat!$H$21="B",Fiscalitat!$H$21="D"),'Introducció dades'!F254*(1+$F$6),'Introducció dades'!F254)</f>
        <v>0</v>
      </c>
      <c r="F83" s="1242">
        <f>IF(OR(Fiscalitat!$H$21="a",Fiscalitat!$H$21="B",Fiscalitat!$H$21="D"),'Introducció dades'!G254*(1+$F$6),'Introducció dades'!G254)</f>
        <v>0</v>
      </c>
      <c r="G83" s="1242">
        <f>IF(OR(Fiscalitat!$H$21="a",Fiscalitat!$H$21="B",Fiscalitat!$H$21="D"),'Introducció dades'!H254*(1+$F$6),'Introducció dades'!H254)</f>
        <v>0</v>
      </c>
      <c r="H83" s="1242">
        <f>IF(OR(Fiscalitat!$H$21="a",Fiscalitat!$H$21="B",Fiscalitat!$H$21="D"),'Introducció dades'!I254*(1+$F$6),'Introducció dades'!I254)</f>
        <v>0</v>
      </c>
      <c r="I83" s="1242">
        <f>IF(OR(Fiscalitat!$H$21="a",Fiscalitat!$H$21="B",Fiscalitat!$H$21="D"),'Introducció dades'!J254*(1+$F$6),'Introducció dades'!J254)</f>
        <v>0</v>
      </c>
      <c r="J83" s="1242">
        <f>IF(OR(Fiscalitat!$H$21="a",Fiscalitat!$H$21="B",Fiscalitat!$H$21="D"),'Introducció dades'!K254*(1+$F$6),'Introducció dades'!K254)</f>
        <v>0</v>
      </c>
      <c r="K83" s="1242">
        <f>IF(OR(Fiscalitat!$H$21="a",Fiscalitat!$H$21="B",Fiscalitat!$H$21="D"),'Introducció dades'!L254*(1+$F$6),'Introducció dades'!L254)</f>
        <v>0</v>
      </c>
      <c r="L83" s="1242">
        <f>IF(OR(Fiscalitat!$H$21="a",Fiscalitat!$H$21="B",Fiscalitat!$H$21="D"),'Introducció dades'!M254*(1+$F$6),'Introducció dades'!M254)</f>
        <v>0</v>
      </c>
      <c r="M83" s="1242">
        <f>IF(OR(Fiscalitat!$H$21="a",Fiscalitat!$H$21="B",Fiscalitat!$H$21="D"),'Introducció dades'!N254*(1+$F$6),'Introducció dades'!N254)</f>
        <v>0</v>
      </c>
      <c r="N83" s="1243">
        <f t="shared" si="16"/>
        <v>0</v>
      </c>
    </row>
    <row r="84" spans="1:14" ht="12.5" x14ac:dyDescent="0.25">
      <c r="A84" s="1288" t="s">
        <v>412</v>
      </c>
      <c r="B84" s="1242">
        <f>IF(OR(Fiscalitat!$H$21="a",Fiscalitat!$H$21="B",Fiscalitat!$H$21="D"),'Introducció dades'!C255*(1+$F$6),'Introducció dades'!C255)</f>
        <v>0</v>
      </c>
      <c r="C84" s="1242">
        <f>IF(OR(Fiscalitat!$H$21="a",Fiscalitat!$H$21="B",Fiscalitat!$H$21="D"),'Introducció dades'!D255*(1+$F$6),'Introducció dades'!D255)</f>
        <v>0</v>
      </c>
      <c r="D84" s="1242">
        <f>IF(OR(Fiscalitat!$H$21="a",Fiscalitat!$H$21="B",Fiscalitat!$H$21="D"),'Introducció dades'!E255*(1+$F$6),'Introducció dades'!E255)</f>
        <v>0</v>
      </c>
      <c r="E84" s="1242">
        <f>IF(OR(Fiscalitat!$H$21="a",Fiscalitat!$H$21="B",Fiscalitat!$H$21="D"),'Introducció dades'!F255*(1+$F$6),'Introducció dades'!F255)</f>
        <v>0</v>
      </c>
      <c r="F84" s="1242">
        <f>IF(OR(Fiscalitat!$H$21="a",Fiscalitat!$H$21="B",Fiscalitat!$H$21="D"),'Introducció dades'!G255*(1+$F$6),'Introducció dades'!G255)</f>
        <v>0</v>
      </c>
      <c r="G84" s="1242">
        <f>IF(OR(Fiscalitat!$H$21="a",Fiscalitat!$H$21="B",Fiscalitat!$H$21="D"),'Introducció dades'!H255*(1+$F$6),'Introducció dades'!H255)</f>
        <v>0</v>
      </c>
      <c r="H84" s="1242">
        <f>IF(OR(Fiscalitat!$H$21="a",Fiscalitat!$H$21="B",Fiscalitat!$H$21="D"),'Introducció dades'!I255*(1+$F$6),'Introducció dades'!I255)</f>
        <v>0</v>
      </c>
      <c r="I84" s="1242">
        <f>IF(OR(Fiscalitat!$H$21="a",Fiscalitat!$H$21="B",Fiscalitat!$H$21="D"),'Introducció dades'!J255*(1+$F$6),'Introducció dades'!J255)</f>
        <v>0</v>
      </c>
      <c r="J84" s="1242">
        <f>IF(OR(Fiscalitat!$H$21="a",Fiscalitat!$H$21="B",Fiscalitat!$H$21="D"),'Introducció dades'!K255*(1+$F$6),'Introducció dades'!K255)</f>
        <v>0</v>
      </c>
      <c r="K84" s="1242">
        <f>IF(OR(Fiscalitat!$H$21="a",Fiscalitat!$H$21="B",Fiscalitat!$H$21="D"),'Introducció dades'!L255*(1+$F$6),'Introducció dades'!L255)</f>
        <v>0</v>
      </c>
      <c r="L84" s="1242">
        <f>IF(OR(Fiscalitat!$H$21="a",Fiscalitat!$H$21="B",Fiscalitat!$H$21="D"),'Introducció dades'!M255*(1+$F$6),'Introducció dades'!M255)</f>
        <v>0</v>
      </c>
      <c r="M84" s="1242">
        <f>IF(OR(Fiscalitat!$H$21="a",Fiscalitat!$H$21="B",Fiscalitat!$H$21="D"),'Introducció dades'!N255*(1+$F$6),'Introducció dades'!N255)</f>
        <v>0</v>
      </c>
      <c r="N84" s="1243">
        <f t="shared" si="16"/>
        <v>0</v>
      </c>
    </row>
    <row r="85" spans="1:14" ht="12.5" x14ac:dyDescent="0.25">
      <c r="A85" s="1288" t="s">
        <v>413</v>
      </c>
      <c r="B85" s="1245">
        <f>B75*$B67*$C67</f>
        <v>0</v>
      </c>
      <c r="C85" s="1245">
        <f t="shared" ref="C85:M85" si="19">C75*$B67*$C67</f>
        <v>0</v>
      </c>
      <c r="D85" s="1245">
        <f t="shared" si="19"/>
        <v>0</v>
      </c>
      <c r="E85" s="1245">
        <f t="shared" si="19"/>
        <v>0</v>
      </c>
      <c r="F85" s="1245">
        <f t="shared" si="19"/>
        <v>0</v>
      </c>
      <c r="G85" s="1245">
        <f t="shared" si="19"/>
        <v>0</v>
      </c>
      <c r="H85" s="1245">
        <f t="shared" si="19"/>
        <v>0</v>
      </c>
      <c r="I85" s="1245">
        <f t="shared" si="19"/>
        <v>0</v>
      </c>
      <c r="J85" s="1245">
        <f t="shared" si="19"/>
        <v>0</v>
      </c>
      <c r="K85" s="1245">
        <f t="shared" si="19"/>
        <v>0</v>
      </c>
      <c r="L85" s="1245">
        <f t="shared" si="19"/>
        <v>0</v>
      </c>
      <c r="M85" s="1245">
        <f t="shared" si="19"/>
        <v>0</v>
      </c>
      <c r="N85" s="1243">
        <f t="shared" si="16"/>
        <v>0</v>
      </c>
    </row>
    <row r="86" spans="1:14" ht="12.5" x14ac:dyDescent="0.25">
      <c r="A86" s="1288" t="s">
        <v>170</v>
      </c>
      <c r="B86" s="1245">
        <f>IF(OR(Fiscalitat!$H$21="a",Fiscalitat!$H$21="B",Fiscalitat!$H$21="D"),B75*$B71+$B70*(1+$F$6),B75*$B71+$B70)</f>
        <v>0</v>
      </c>
      <c r="C86" s="1245">
        <f>IF(OR(Fiscalitat!$H$21="a",Fiscalitat!$H$21="B",Fiscalitat!$H$21="D"),C75*$B71+$B70*(1+$F$6),C75*$B71+$B70)</f>
        <v>0</v>
      </c>
      <c r="D86" s="1245">
        <f>IF(OR(Fiscalitat!$H$21="a",Fiscalitat!$H$21="B",Fiscalitat!$H$21="D"),D75*$B71+$B70*(1+$F$6),D75*$B71+$B70)</f>
        <v>0</v>
      </c>
      <c r="E86" s="1245">
        <f>IF(OR(Fiscalitat!$H$21="a",Fiscalitat!$H$21="B",Fiscalitat!$H$21="D"),E75*$B71+$B70*(1+$F$6),E75*$B71+$B70)</f>
        <v>0</v>
      </c>
      <c r="F86" s="1245">
        <f>IF(OR(Fiscalitat!$H$21="a",Fiscalitat!$H$21="B",Fiscalitat!$H$21="D"),F75*$B71+$B70*(1+$F$6),F75*$B71+$B70)</f>
        <v>0</v>
      </c>
      <c r="G86" s="1245">
        <f>IF(OR(Fiscalitat!$H$21="a",Fiscalitat!$H$21="B",Fiscalitat!$H$21="D"),G75*$B71+$B70*(1+$F$6),G75*$B71+$B70)</f>
        <v>0</v>
      </c>
      <c r="H86" s="1245">
        <f>IF(OR(Fiscalitat!$H$21="a",Fiscalitat!$H$21="B",Fiscalitat!$H$21="D"),H75*$B71+$B70*(1+$F$6),H75*$B71+$B70)</f>
        <v>0</v>
      </c>
      <c r="I86" s="1245">
        <f>IF(OR(Fiscalitat!$H$21="a",Fiscalitat!$H$21="B",Fiscalitat!$H$21="D"),I75*$B71+$B70*(1+$F$6),I75*$B71+$B70)</f>
        <v>0</v>
      </c>
      <c r="J86" s="1245">
        <f>IF(OR(Fiscalitat!$H$21="a",Fiscalitat!$H$21="B",Fiscalitat!$H$21="D"),J75*$B71+$B70*(1+$F$6),J75*$B71+$B70)</f>
        <v>0</v>
      </c>
      <c r="K86" s="1245">
        <f>IF(OR(Fiscalitat!$H$21="a",Fiscalitat!$H$21="B",Fiscalitat!$H$21="D"),K75*$B71+$B70*(1+$F$6),K75*$B71+$B70)</f>
        <v>0</v>
      </c>
      <c r="L86" s="1245">
        <f>IF(OR(Fiscalitat!$H$21="a",Fiscalitat!$H$21="B",Fiscalitat!$H$21="D"),L75*$B71+$B70*(1+$F$6),L75*$B71+$B70)</f>
        <v>0</v>
      </c>
      <c r="M86" s="1245">
        <f>IF(OR(Fiscalitat!$H$21="a",Fiscalitat!$H$21="B",Fiscalitat!$H$21="D"),M75*$B71+$B70*(1+$F$6),M75*$B71+$B70)</f>
        <v>0</v>
      </c>
      <c r="N86" s="1243">
        <f t="shared" si="16"/>
        <v>0</v>
      </c>
    </row>
    <row r="87" spans="1:14" ht="12.5" x14ac:dyDescent="0.25">
      <c r="A87" s="1288" t="s">
        <v>179</v>
      </c>
      <c r="B87" s="1246">
        <f>SUM(B88:B92)</f>
        <v>0</v>
      </c>
      <c r="C87" s="1246">
        <f t="shared" ref="C87:M87" si="20">SUM(C88:C92)</f>
        <v>0</v>
      </c>
      <c r="D87" s="1246">
        <f t="shared" si="20"/>
        <v>0</v>
      </c>
      <c r="E87" s="1246">
        <f t="shared" si="20"/>
        <v>0</v>
      </c>
      <c r="F87" s="1246">
        <f t="shared" si="20"/>
        <v>0</v>
      </c>
      <c r="G87" s="1246">
        <f t="shared" si="20"/>
        <v>0</v>
      </c>
      <c r="H87" s="1246">
        <f t="shared" si="20"/>
        <v>0</v>
      </c>
      <c r="I87" s="1246">
        <f t="shared" si="20"/>
        <v>0</v>
      </c>
      <c r="J87" s="1246">
        <f t="shared" si="20"/>
        <v>0</v>
      </c>
      <c r="K87" s="1246">
        <f t="shared" si="20"/>
        <v>0</v>
      </c>
      <c r="L87" s="1246">
        <f t="shared" si="20"/>
        <v>0</v>
      </c>
      <c r="M87" s="1246">
        <f t="shared" si="20"/>
        <v>0</v>
      </c>
      <c r="N87" s="1243">
        <f t="shared" si="16"/>
        <v>0</v>
      </c>
    </row>
    <row r="88" spans="1:14" ht="12.5" x14ac:dyDescent="0.25">
      <c r="A88" s="1288" t="s">
        <v>180</v>
      </c>
      <c r="B88" s="1242">
        <f>IF(OR(Fiscalitat!$H$21="a",Fiscalitat!$H$21="B",Fiscalitat!$H$21="D"),'Introducció dades'!C257*(1+$F$6),'Introducció dades'!C257)</f>
        <v>0</v>
      </c>
      <c r="C88" s="1242">
        <f>IF(OR(Fiscalitat!$H$21="a",Fiscalitat!$H$21="B",Fiscalitat!$H$21="D"),'Introducció dades'!D257*(1+$F$6),'Introducció dades'!D257)</f>
        <v>0</v>
      </c>
      <c r="D88" s="1242">
        <f>IF(OR(Fiscalitat!$H$21="a",Fiscalitat!$H$21="B",Fiscalitat!$H$21="D"),'Introducció dades'!E257*(1+$F$6),'Introducció dades'!E257)</f>
        <v>0</v>
      </c>
      <c r="E88" s="1242">
        <f>IF(OR(Fiscalitat!$H$21="a",Fiscalitat!$H$21="B",Fiscalitat!$H$21="D"),'Introducció dades'!F257*(1+$F$6),'Introducció dades'!F257)</f>
        <v>0</v>
      </c>
      <c r="F88" s="1242">
        <f>IF(OR(Fiscalitat!$H$21="a",Fiscalitat!$H$21="B",Fiscalitat!$H$21="D"),'Introducció dades'!G257*(1+$F$6),'Introducció dades'!G257)</f>
        <v>0</v>
      </c>
      <c r="G88" s="1242">
        <f>IF(OR(Fiscalitat!$H$21="a",Fiscalitat!$H$21="B",Fiscalitat!$H$21="D"),'Introducció dades'!H257*(1+$F$6),'Introducció dades'!H257)</f>
        <v>0</v>
      </c>
      <c r="H88" s="1242">
        <f>IF(OR(Fiscalitat!$H$21="a",Fiscalitat!$H$21="B",Fiscalitat!$H$21="D"),'Introducció dades'!I257*(1+$F$6),'Introducció dades'!I257)</f>
        <v>0</v>
      </c>
      <c r="I88" s="1242">
        <f>IF(OR(Fiscalitat!$H$21="a",Fiscalitat!$H$21="B",Fiscalitat!$H$21="D"),'Introducció dades'!J257*(1+$F$6),'Introducció dades'!J257)</f>
        <v>0</v>
      </c>
      <c r="J88" s="1242">
        <f>IF(OR(Fiscalitat!$H$21="a",Fiscalitat!$H$21="B",Fiscalitat!$H$21="D"),'Introducció dades'!K257*(1+$F$6),'Introducció dades'!K257)</f>
        <v>0</v>
      </c>
      <c r="K88" s="1242">
        <f>IF(OR(Fiscalitat!$H$21="a",Fiscalitat!$H$21="B",Fiscalitat!$H$21="D"),'Introducció dades'!L257*(1+$F$6),'Introducció dades'!L257)</f>
        <v>0</v>
      </c>
      <c r="L88" s="1242">
        <f>IF(OR(Fiscalitat!$H$21="a",Fiscalitat!$H$21="B",Fiscalitat!$H$21="D"),'Introducció dades'!M257*(1+$F$6),'Introducció dades'!M257)</f>
        <v>0</v>
      </c>
      <c r="M88" s="1242">
        <f>IF(OR(Fiscalitat!$H$21="a",Fiscalitat!$H$21="B",Fiscalitat!$H$21="D"),'Introducció dades'!N257*(1+$F$6),'Introducció dades'!N257)</f>
        <v>0</v>
      </c>
      <c r="N88" s="1243">
        <f t="shared" si="16"/>
        <v>0</v>
      </c>
    </row>
    <row r="89" spans="1:14" ht="12.5" x14ac:dyDescent="0.25">
      <c r="A89" s="1288" t="s">
        <v>181</v>
      </c>
      <c r="B89" s="1242">
        <f>IF(OR(Fiscalitat!$H$21="a",Fiscalitat!$H$21="B",Fiscalitat!$H$21="D"),'Introducció dades'!C258*(1+$F$6),'Introducció dades'!C258)</f>
        <v>0</v>
      </c>
      <c r="C89" s="1242">
        <f>IF(OR(Fiscalitat!$H$21="a",Fiscalitat!$H$21="B",Fiscalitat!$H$21="D"),'Introducció dades'!D258*(1+$F$6),'Introducció dades'!D258)</f>
        <v>0</v>
      </c>
      <c r="D89" s="1242">
        <f>IF(OR(Fiscalitat!$H$21="a",Fiscalitat!$H$21="B",Fiscalitat!$H$21="D"),'Introducció dades'!E258*(1+$F$6),'Introducció dades'!E258)</f>
        <v>0</v>
      </c>
      <c r="E89" s="1242">
        <f>IF(OR(Fiscalitat!$H$21="a",Fiscalitat!$H$21="B",Fiscalitat!$H$21="D"),'Introducció dades'!F258*(1+$F$6),'Introducció dades'!F258)</f>
        <v>0</v>
      </c>
      <c r="F89" s="1242">
        <f>IF(OR(Fiscalitat!$H$21="a",Fiscalitat!$H$21="B",Fiscalitat!$H$21="D"),'Introducció dades'!G258*(1+$F$6),'Introducció dades'!G258)</f>
        <v>0</v>
      </c>
      <c r="G89" s="1242">
        <f>IF(OR(Fiscalitat!$H$21="a",Fiscalitat!$H$21="B",Fiscalitat!$H$21="D"),'Introducció dades'!H258*(1+$F$6),'Introducció dades'!H258)</f>
        <v>0</v>
      </c>
      <c r="H89" s="1242">
        <f>IF(OR(Fiscalitat!$H$21="a",Fiscalitat!$H$21="B",Fiscalitat!$H$21="D"),'Introducció dades'!I258*(1+$F$6),'Introducció dades'!I258)</f>
        <v>0</v>
      </c>
      <c r="I89" s="1242">
        <f>IF(OR(Fiscalitat!$H$21="a",Fiscalitat!$H$21="B",Fiscalitat!$H$21="D"),'Introducció dades'!J258*(1+$F$6),'Introducció dades'!J258)</f>
        <v>0</v>
      </c>
      <c r="J89" s="1242">
        <f>IF(OR(Fiscalitat!$H$21="a",Fiscalitat!$H$21="B",Fiscalitat!$H$21="D"),'Introducció dades'!K258*(1+$F$6),'Introducció dades'!K258)</f>
        <v>0</v>
      </c>
      <c r="K89" s="1242">
        <f>IF(OR(Fiscalitat!$H$21="a",Fiscalitat!$H$21="B",Fiscalitat!$H$21="D"),'Introducció dades'!L258*(1+$F$6),'Introducció dades'!L258)</f>
        <v>0</v>
      </c>
      <c r="L89" s="1242">
        <f>IF(OR(Fiscalitat!$H$21="a",Fiscalitat!$H$21="B",Fiscalitat!$H$21="D"),'Introducció dades'!M258*(1+$F$6),'Introducció dades'!M258)</f>
        <v>0</v>
      </c>
      <c r="M89" s="1242">
        <f>IF(OR(Fiscalitat!$H$21="a",Fiscalitat!$H$21="B",Fiscalitat!$H$21="D"),'Introducció dades'!N258*(1+$F$6),'Introducció dades'!N258)</f>
        <v>0</v>
      </c>
      <c r="N89" s="1243">
        <f t="shared" si="16"/>
        <v>0</v>
      </c>
    </row>
    <row r="90" spans="1:14" ht="12.5" x14ac:dyDescent="0.25">
      <c r="A90" s="1288" t="s">
        <v>182</v>
      </c>
      <c r="B90" s="1242">
        <f>IF(OR(Fiscalitat!$H$21="a",Fiscalitat!$H$21="B",Fiscalitat!$H$21="D"),'Introducció dades'!C259*(1+$F$6),'Introducció dades'!C259)</f>
        <v>0</v>
      </c>
      <c r="C90" s="1242">
        <f>IF(OR(Fiscalitat!$H$21="a",Fiscalitat!$H$21="B",Fiscalitat!$H$21="D"),'Introducció dades'!D259*(1+$F$6),'Introducció dades'!D259)</f>
        <v>0</v>
      </c>
      <c r="D90" s="1242">
        <f>IF(OR(Fiscalitat!$H$21="a",Fiscalitat!$H$21="B",Fiscalitat!$H$21="D"),'Introducció dades'!E259*(1+$F$6),'Introducció dades'!E259)</f>
        <v>0</v>
      </c>
      <c r="E90" s="1242">
        <f>IF(OR(Fiscalitat!$H$21="a",Fiscalitat!$H$21="B",Fiscalitat!$H$21="D"),'Introducció dades'!F259*(1+$F$6),'Introducció dades'!F259)</f>
        <v>0</v>
      </c>
      <c r="F90" s="1242">
        <f>IF(OR(Fiscalitat!$H$21="a",Fiscalitat!$H$21="B",Fiscalitat!$H$21="D"),'Introducció dades'!G259*(1+$F$6),'Introducció dades'!G259)</f>
        <v>0</v>
      </c>
      <c r="G90" s="1242">
        <f>IF(OR(Fiscalitat!$H$21="a",Fiscalitat!$H$21="B",Fiscalitat!$H$21="D"),'Introducció dades'!H259*(1+$F$6),'Introducció dades'!H259)</f>
        <v>0</v>
      </c>
      <c r="H90" s="1242">
        <f>IF(OR(Fiscalitat!$H$21="a",Fiscalitat!$H$21="B",Fiscalitat!$H$21="D"),'Introducció dades'!I259*(1+$F$6),'Introducció dades'!I259)</f>
        <v>0</v>
      </c>
      <c r="I90" s="1242">
        <f>IF(OR(Fiscalitat!$H$21="a",Fiscalitat!$H$21="B",Fiscalitat!$H$21="D"),'Introducció dades'!J259*(1+$F$6),'Introducció dades'!J259)</f>
        <v>0</v>
      </c>
      <c r="J90" s="1242">
        <f>IF(OR(Fiscalitat!$H$21="a",Fiscalitat!$H$21="B",Fiscalitat!$H$21="D"),'Introducció dades'!K259*(1+$F$6),'Introducció dades'!K259)</f>
        <v>0</v>
      </c>
      <c r="K90" s="1242">
        <f>IF(OR(Fiscalitat!$H$21="a",Fiscalitat!$H$21="B",Fiscalitat!$H$21="D"),'Introducció dades'!L259*(1+$F$6),'Introducció dades'!L259)</f>
        <v>0</v>
      </c>
      <c r="L90" s="1242">
        <f>IF(OR(Fiscalitat!$H$21="a",Fiscalitat!$H$21="B",Fiscalitat!$H$21="D"),'Introducció dades'!M259*(1+$F$6),'Introducció dades'!M259)</f>
        <v>0</v>
      </c>
      <c r="M90" s="1242">
        <f>IF(OR(Fiscalitat!$H$21="a",Fiscalitat!$H$21="B",Fiscalitat!$H$21="D"),'Introducció dades'!N259*(1+$F$6),'Introducció dades'!N259)</f>
        <v>0</v>
      </c>
      <c r="N90" s="1243">
        <f t="shared" si="16"/>
        <v>0</v>
      </c>
    </row>
    <row r="91" spans="1:14" ht="12.5" x14ac:dyDescent="0.25">
      <c r="A91" s="1288" t="s">
        <v>183</v>
      </c>
      <c r="B91" s="1242">
        <f>IF(OR(Fiscalitat!$H$21="a",Fiscalitat!$H$21="B",Fiscalitat!$H$21="D"),'Introducció dades'!C260*(1+$F$6),'Introducció dades'!C260)</f>
        <v>0</v>
      </c>
      <c r="C91" s="1242">
        <f>IF(OR(Fiscalitat!$H$21="a",Fiscalitat!$H$21="B",Fiscalitat!$H$21="D"),'Introducció dades'!D260*(1+$F$6),'Introducció dades'!D260)</f>
        <v>0</v>
      </c>
      <c r="D91" s="1242">
        <f>IF(OR(Fiscalitat!$H$21="a",Fiscalitat!$H$21="B",Fiscalitat!$H$21="D"),'Introducció dades'!E260*(1+$F$6),'Introducció dades'!E260)</f>
        <v>0</v>
      </c>
      <c r="E91" s="1242">
        <f>IF(OR(Fiscalitat!$H$21="a",Fiscalitat!$H$21="B",Fiscalitat!$H$21="D"),'Introducció dades'!F260*(1+$F$6),'Introducció dades'!F260)</f>
        <v>0</v>
      </c>
      <c r="F91" s="1242">
        <f>IF(OR(Fiscalitat!$H$21="a",Fiscalitat!$H$21="B",Fiscalitat!$H$21="D"),'Introducció dades'!G260*(1+$F$6),'Introducció dades'!G260)</f>
        <v>0</v>
      </c>
      <c r="G91" s="1242">
        <f>IF(OR(Fiscalitat!$H$21="a",Fiscalitat!$H$21="B",Fiscalitat!$H$21="D"),'Introducció dades'!H260*(1+$F$6),'Introducció dades'!H260)</f>
        <v>0</v>
      </c>
      <c r="H91" s="1242">
        <f>IF(OR(Fiscalitat!$H$21="a",Fiscalitat!$H$21="B",Fiscalitat!$H$21="D"),'Introducció dades'!I260*(1+$F$6),'Introducció dades'!I260)</f>
        <v>0</v>
      </c>
      <c r="I91" s="1242">
        <f>IF(OR(Fiscalitat!$H$21="a",Fiscalitat!$H$21="B",Fiscalitat!$H$21="D"),'Introducció dades'!J260*(1+$F$6),'Introducció dades'!J260)</f>
        <v>0</v>
      </c>
      <c r="J91" s="1242">
        <f>IF(OR(Fiscalitat!$H$21="a",Fiscalitat!$H$21="B",Fiscalitat!$H$21="D"),'Introducció dades'!K260*(1+$F$6),'Introducció dades'!K260)</f>
        <v>0</v>
      </c>
      <c r="K91" s="1242">
        <f>IF(OR(Fiscalitat!$H$21="a",Fiscalitat!$H$21="B",Fiscalitat!$H$21="D"),'Introducció dades'!L260*(1+$F$6),'Introducció dades'!L260)</f>
        <v>0</v>
      </c>
      <c r="L91" s="1242">
        <f>IF(OR(Fiscalitat!$H$21="a",Fiscalitat!$H$21="B",Fiscalitat!$H$21="D"),'Introducció dades'!M260*(1+$F$6),'Introducció dades'!M260)</f>
        <v>0</v>
      </c>
      <c r="M91" s="1242">
        <f>IF(OR(Fiscalitat!$H$21="a",Fiscalitat!$H$21="B",Fiscalitat!$H$21="D"),'Introducció dades'!N260*(1+$F$6),'Introducció dades'!N260)</f>
        <v>0</v>
      </c>
      <c r="N91" s="1243">
        <f t="shared" si="16"/>
        <v>0</v>
      </c>
    </row>
    <row r="92" spans="1:14" ht="12.5" x14ac:dyDescent="0.25">
      <c r="A92" s="1288" t="s">
        <v>184</v>
      </c>
      <c r="B92" s="1242">
        <f>IF(OR(Fiscalitat!$H$21="a",Fiscalitat!$H$21="B",Fiscalitat!$H$21="D"),'Introducció dades'!C261*(1+$F$6),'Introducció dades'!C261)</f>
        <v>0</v>
      </c>
      <c r="C92" s="1242">
        <f>IF(OR(Fiscalitat!$H$21="a",Fiscalitat!$H$21="B",Fiscalitat!$H$21="D"),'Introducció dades'!D261*(1+$F$6),'Introducció dades'!D261)</f>
        <v>0</v>
      </c>
      <c r="D92" s="1242">
        <f>IF(OR(Fiscalitat!$H$21="a",Fiscalitat!$H$21="B",Fiscalitat!$H$21="D"),'Introducció dades'!E261*(1+$F$6),'Introducció dades'!E261)</f>
        <v>0</v>
      </c>
      <c r="E92" s="1242">
        <f>IF(OR(Fiscalitat!$H$21="a",Fiscalitat!$H$21="B",Fiscalitat!$H$21="D"),'Introducció dades'!F261*(1+$F$6),'Introducció dades'!F261)</f>
        <v>0</v>
      </c>
      <c r="F92" s="1242">
        <f>IF(OR(Fiscalitat!$H$21="a",Fiscalitat!$H$21="B",Fiscalitat!$H$21="D"),'Introducció dades'!G261*(1+$F$6),'Introducció dades'!G261)</f>
        <v>0</v>
      </c>
      <c r="G92" s="1242">
        <f>IF(OR(Fiscalitat!$H$21="a",Fiscalitat!$H$21="B",Fiscalitat!$H$21="D"),'Introducció dades'!H261*(1+$F$6),'Introducció dades'!H261)</f>
        <v>0</v>
      </c>
      <c r="H92" s="1242">
        <f>IF(OR(Fiscalitat!$H$21="a",Fiscalitat!$H$21="B",Fiscalitat!$H$21="D"),'Introducció dades'!I261*(1+$F$6),'Introducció dades'!I261)</f>
        <v>0</v>
      </c>
      <c r="I92" s="1242">
        <f>IF(OR(Fiscalitat!$H$21="a",Fiscalitat!$H$21="B",Fiscalitat!$H$21="D"),'Introducció dades'!J261*(1+$F$6),'Introducció dades'!J261)</f>
        <v>0</v>
      </c>
      <c r="J92" s="1242">
        <f>IF(OR(Fiscalitat!$H$21="a",Fiscalitat!$H$21="B",Fiscalitat!$H$21="D"),'Introducció dades'!K261*(1+$F$6),'Introducció dades'!K261)</f>
        <v>0</v>
      </c>
      <c r="K92" s="1242">
        <f>IF(OR(Fiscalitat!$H$21="a",Fiscalitat!$H$21="B",Fiscalitat!$H$21="D"),'Introducció dades'!L261*(1+$F$6),'Introducció dades'!L261)</f>
        <v>0</v>
      </c>
      <c r="L92" s="1242">
        <f>IF(OR(Fiscalitat!$H$21="a",Fiscalitat!$H$21="B",Fiscalitat!$H$21="D"),'Introducció dades'!M261*(1+$F$6),'Introducció dades'!M261)</f>
        <v>0</v>
      </c>
      <c r="M92" s="1242">
        <f>IF(OR(Fiscalitat!$H$21="a",Fiscalitat!$H$21="B",Fiscalitat!$H$21="D"),'Introducció dades'!N261*(1+$F$6),'Introducció dades'!N261)</f>
        <v>0</v>
      </c>
      <c r="N92" s="1243">
        <f t="shared" si="16"/>
        <v>0</v>
      </c>
    </row>
    <row r="93" spans="1:14" ht="12.5" x14ac:dyDescent="0.25">
      <c r="A93" s="1288" t="s">
        <v>185</v>
      </c>
      <c r="B93" s="1246">
        <f>SUM(B94:B97)</f>
        <v>0</v>
      </c>
      <c r="C93" s="1246">
        <f t="shared" ref="C93:M93" si="21">SUM(C94:C97)</f>
        <v>0</v>
      </c>
      <c r="D93" s="1246">
        <f t="shared" si="21"/>
        <v>0</v>
      </c>
      <c r="E93" s="1246">
        <f t="shared" si="21"/>
        <v>0</v>
      </c>
      <c r="F93" s="1246">
        <f t="shared" si="21"/>
        <v>0</v>
      </c>
      <c r="G93" s="1246">
        <f t="shared" si="21"/>
        <v>0</v>
      </c>
      <c r="H93" s="1246">
        <f t="shared" si="21"/>
        <v>0</v>
      </c>
      <c r="I93" s="1246">
        <f t="shared" si="21"/>
        <v>0</v>
      </c>
      <c r="J93" s="1246">
        <f t="shared" si="21"/>
        <v>0</v>
      </c>
      <c r="K93" s="1246">
        <f t="shared" si="21"/>
        <v>0</v>
      </c>
      <c r="L93" s="1246">
        <f t="shared" si="21"/>
        <v>0</v>
      </c>
      <c r="M93" s="1246">
        <f t="shared" si="21"/>
        <v>0</v>
      </c>
      <c r="N93" s="1243">
        <f t="shared" si="16"/>
        <v>0</v>
      </c>
    </row>
    <row r="94" spans="1:14" ht="12.5" x14ac:dyDescent="0.25">
      <c r="A94" s="1288" t="s">
        <v>186</v>
      </c>
      <c r="B94" s="1242">
        <f>IF(OR(Fiscalitat!$H$21="a",Fiscalitat!$H$21="B",Fiscalitat!$H$21="D"),'Introducció dades'!C263*(1+$F$6),'Introducció dades'!C263)</f>
        <v>0</v>
      </c>
      <c r="C94" s="1242">
        <f>IF(OR(Fiscalitat!$H$21="a",Fiscalitat!$H$21="B",Fiscalitat!$H$21="D"),'Introducció dades'!D263*(1+$F$6),'Introducció dades'!D263)</f>
        <v>0</v>
      </c>
      <c r="D94" s="1242">
        <f>IF(OR(Fiscalitat!$H$21="a",Fiscalitat!$H$21="B",Fiscalitat!$H$21="D"),'Introducció dades'!E263*(1+$F$6),'Introducció dades'!E263)</f>
        <v>0</v>
      </c>
      <c r="E94" s="1242">
        <f>IF(OR(Fiscalitat!$H$21="a",Fiscalitat!$H$21="B",Fiscalitat!$H$21="D"),'Introducció dades'!F263*(1+$F$6),'Introducció dades'!F263)</f>
        <v>0</v>
      </c>
      <c r="F94" s="1242">
        <f>IF(OR(Fiscalitat!$H$21="a",Fiscalitat!$H$21="B",Fiscalitat!$H$21="D"),'Introducció dades'!G263*(1+$F$6),'Introducció dades'!G263)</f>
        <v>0</v>
      </c>
      <c r="G94" s="1242">
        <f>IF(OR(Fiscalitat!$H$21="a",Fiscalitat!$H$21="B",Fiscalitat!$H$21="D"),'Introducció dades'!H263*(1+$F$6),'Introducció dades'!H263)</f>
        <v>0</v>
      </c>
      <c r="H94" s="1242">
        <f>IF(OR(Fiscalitat!$H$21="a",Fiscalitat!$H$21="B",Fiscalitat!$H$21="D"),'Introducció dades'!I263*(1+$F$6),'Introducció dades'!I263)</f>
        <v>0</v>
      </c>
      <c r="I94" s="1242">
        <f>IF(OR(Fiscalitat!$H$21="a",Fiscalitat!$H$21="B",Fiscalitat!$H$21="D"),'Introducció dades'!J263*(1+$F$6),'Introducció dades'!J263)</f>
        <v>0</v>
      </c>
      <c r="J94" s="1242">
        <f>IF(OR(Fiscalitat!$H$21="a",Fiscalitat!$H$21="B",Fiscalitat!$H$21="D"),'Introducció dades'!K263*(1+$F$6),'Introducció dades'!K263)</f>
        <v>0</v>
      </c>
      <c r="K94" s="1242">
        <f>IF(OR(Fiscalitat!$H$21="a",Fiscalitat!$H$21="B",Fiscalitat!$H$21="D"),'Introducció dades'!L263*(1+$F$6),'Introducció dades'!L263)</f>
        <v>0</v>
      </c>
      <c r="L94" s="1242">
        <f>IF(OR(Fiscalitat!$H$21="a",Fiscalitat!$H$21="B",Fiscalitat!$H$21="D"),'Introducció dades'!M263*(1+$F$6),'Introducció dades'!M263)</f>
        <v>0</v>
      </c>
      <c r="M94" s="1242">
        <f>IF(OR(Fiscalitat!$H$21="a",Fiscalitat!$H$21="B",Fiscalitat!$H$21="D"),'Introducció dades'!N263*(1+$F$6),'Introducció dades'!N263)</f>
        <v>0</v>
      </c>
      <c r="N94" s="1243">
        <f t="shared" si="16"/>
        <v>0</v>
      </c>
    </row>
    <row r="95" spans="1:14" ht="12.5" x14ac:dyDescent="0.25">
      <c r="A95" s="1288" t="s">
        <v>187</v>
      </c>
      <c r="B95" s="1242">
        <f>IF(OR(Fiscalitat!$H$21="a",Fiscalitat!$H$21="B",Fiscalitat!$H$21="D"),'Introducció dades'!C264*(1+$F$6),'Introducció dades'!C264)</f>
        <v>0</v>
      </c>
      <c r="C95" s="1242">
        <f>IF(OR(Fiscalitat!$H$21="a",Fiscalitat!$H$21="B",Fiscalitat!$H$21="D"),'Introducció dades'!D264*(1+$F$6),'Introducció dades'!D264)</f>
        <v>0</v>
      </c>
      <c r="D95" s="1242">
        <f>IF(OR(Fiscalitat!$H$21="a",Fiscalitat!$H$21="B",Fiscalitat!$H$21="D"),'Introducció dades'!E264*(1+$F$6),'Introducció dades'!E264)</f>
        <v>0</v>
      </c>
      <c r="E95" s="1242">
        <f>IF(OR(Fiscalitat!$H$21="a",Fiscalitat!$H$21="B",Fiscalitat!$H$21="D"),'Introducció dades'!F264*(1+$F$6),'Introducció dades'!F264)</f>
        <v>0</v>
      </c>
      <c r="F95" s="1242">
        <f>IF(OR(Fiscalitat!$H$21="a",Fiscalitat!$H$21="B",Fiscalitat!$H$21="D"),'Introducció dades'!G264*(1+$F$6),'Introducció dades'!G264)</f>
        <v>0</v>
      </c>
      <c r="G95" s="1242">
        <f>IF(OR(Fiscalitat!$H$21="a",Fiscalitat!$H$21="B",Fiscalitat!$H$21="D"),'Introducció dades'!H264*(1+$F$6),'Introducció dades'!H264)</f>
        <v>0</v>
      </c>
      <c r="H95" s="1242">
        <f>IF(OR(Fiscalitat!$H$21="a",Fiscalitat!$H$21="B",Fiscalitat!$H$21="D"),'Introducció dades'!I264*(1+$F$6),'Introducció dades'!I264)</f>
        <v>0</v>
      </c>
      <c r="I95" s="1242">
        <f>IF(OR(Fiscalitat!$H$21="a",Fiscalitat!$H$21="B",Fiscalitat!$H$21="D"),'Introducció dades'!J264*(1+$F$6),'Introducció dades'!J264)</f>
        <v>0</v>
      </c>
      <c r="J95" s="1242">
        <f>IF(OR(Fiscalitat!$H$21="a",Fiscalitat!$H$21="B",Fiscalitat!$H$21="D"),'Introducció dades'!K264*(1+$F$6),'Introducció dades'!K264)</f>
        <v>0</v>
      </c>
      <c r="K95" s="1242">
        <f>IF(OR(Fiscalitat!$H$21="a",Fiscalitat!$H$21="B",Fiscalitat!$H$21="D"),'Introducció dades'!L264*(1+$F$6),'Introducció dades'!L264)</f>
        <v>0</v>
      </c>
      <c r="L95" s="1242">
        <f>IF(OR(Fiscalitat!$H$21="a",Fiscalitat!$H$21="B",Fiscalitat!$H$21="D"),'Introducció dades'!M264*(1+$F$6),'Introducció dades'!M264)</f>
        <v>0</v>
      </c>
      <c r="M95" s="1242">
        <f>IF(OR(Fiscalitat!$H$21="a",Fiscalitat!$H$21="B",Fiscalitat!$H$21="D"),'Introducció dades'!N264*(1+$F$6),'Introducció dades'!N264)</f>
        <v>0</v>
      </c>
      <c r="N95" s="1243">
        <f t="shared" si="16"/>
        <v>0</v>
      </c>
    </row>
    <row r="96" spans="1:14" ht="12.5" x14ac:dyDescent="0.25">
      <c r="A96" s="1288" t="s">
        <v>188</v>
      </c>
      <c r="B96" s="1242">
        <f>IF(OR(Fiscalitat!$H$21="a",Fiscalitat!$H$21="B",Fiscalitat!$H$21="D"),'Introducció dades'!C265*(1+$F$6),'Introducció dades'!C265)</f>
        <v>0</v>
      </c>
      <c r="C96" s="1242">
        <f>IF(OR(Fiscalitat!$H$21="a",Fiscalitat!$H$21="B",Fiscalitat!$H$21="D"),'Introducció dades'!D265*(1+$F$6),'Introducció dades'!D265)</f>
        <v>0</v>
      </c>
      <c r="D96" s="1242">
        <f>IF(OR(Fiscalitat!$H$21="a",Fiscalitat!$H$21="B",Fiscalitat!$H$21="D"),'Introducció dades'!E265*(1+$F$6),'Introducció dades'!E265)</f>
        <v>0</v>
      </c>
      <c r="E96" s="1242">
        <f>IF(OR(Fiscalitat!$H$21="a",Fiscalitat!$H$21="B",Fiscalitat!$H$21="D"),'Introducció dades'!F265*(1+$F$6),'Introducció dades'!F265)</f>
        <v>0</v>
      </c>
      <c r="F96" s="1242">
        <f>IF(OR(Fiscalitat!$H$21="a",Fiscalitat!$H$21="B",Fiscalitat!$H$21="D"),'Introducció dades'!G265*(1+$F$6),'Introducció dades'!G265)</f>
        <v>0</v>
      </c>
      <c r="G96" s="1242">
        <f>IF(OR(Fiscalitat!$H$21="a",Fiscalitat!$H$21="B",Fiscalitat!$H$21="D"),'Introducció dades'!H265*(1+$F$6),'Introducció dades'!H265)</f>
        <v>0</v>
      </c>
      <c r="H96" s="1242">
        <f>IF(OR(Fiscalitat!$H$21="a",Fiscalitat!$H$21="B",Fiscalitat!$H$21="D"),'Introducció dades'!I265*(1+$F$6),'Introducció dades'!I265)</f>
        <v>0</v>
      </c>
      <c r="I96" s="1242">
        <f>IF(OR(Fiscalitat!$H$21="a",Fiscalitat!$H$21="B",Fiscalitat!$H$21="D"),'Introducció dades'!J265*(1+$F$6),'Introducció dades'!J265)</f>
        <v>0</v>
      </c>
      <c r="J96" s="1242">
        <f>IF(OR(Fiscalitat!$H$21="a",Fiscalitat!$H$21="B",Fiscalitat!$H$21="D"),'Introducció dades'!K265*(1+$F$6),'Introducció dades'!K265)</f>
        <v>0</v>
      </c>
      <c r="K96" s="1242">
        <f>IF(OR(Fiscalitat!$H$21="a",Fiscalitat!$H$21="B",Fiscalitat!$H$21="D"),'Introducció dades'!L265*(1+$F$6),'Introducció dades'!L265)</f>
        <v>0</v>
      </c>
      <c r="L96" s="1242">
        <f>IF(OR(Fiscalitat!$H$21="a",Fiscalitat!$H$21="B",Fiscalitat!$H$21="D"),'Introducció dades'!M265*(1+$F$6),'Introducció dades'!M265)</f>
        <v>0</v>
      </c>
      <c r="M96" s="1242">
        <f>IF(OR(Fiscalitat!$H$21="a",Fiscalitat!$H$21="B",Fiscalitat!$H$21="D"),'Introducció dades'!N265*(1+$F$6),'Introducció dades'!N265)</f>
        <v>0</v>
      </c>
      <c r="N96" s="1243">
        <f t="shared" si="16"/>
        <v>0</v>
      </c>
    </row>
    <row r="97" spans="1:14" ht="12.5" x14ac:dyDescent="0.25">
      <c r="A97" s="1289" t="s">
        <v>189</v>
      </c>
      <c r="B97" s="1242">
        <f>IF(OR(Fiscalitat!$H$21="a",Fiscalitat!$H$21="B",Fiscalitat!$H$21="D"),'Introducció dades'!C266*(1+$F$6),'Introducció dades'!C266)</f>
        <v>0</v>
      </c>
      <c r="C97" s="1242">
        <f>IF(OR(Fiscalitat!$H$21="a",Fiscalitat!$H$21="B",Fiscalitat!$H$21="D"),'Introducció dades'!D266*(1+$F$6),'Introducció dades'!D266)</f>
        <v>0</v>
      </c>
      <c r="D97" s="1242">
        <f>IF(OR(Fiscalitat!$H$21="a",Fiscalitat!$H$21="B",Fiscalitat!$H$21="D"),'Introducció dades'!E266*(1+$F$6),'Introducció dades'!E266)</f>
        <v>0</v>
      </c>
      <c r="E97" s="1242">
        <f>IF(OR(Fiscalitat!$H$21="a",Fiscalitat!$H$21="B",Fiscalitat!$H$21="D"),'Introducció dades'!F266*(1+$F$6),'Introducció dades'!F266)</f>
        <v>0</v>
      </c>
      <c r="F97" s="1242">
        <f>IF(OR(Fiscalitat!$H$21="a",Fiscalitat!$H$21="B",Fiscalitat!$H$21="D"),'Introducció dades'!G266*(1+$F$6),'Introducció dades'!G266)</f>
        <v>0</v>
      </c>
      <c r="G97" s="1242">
        <f>IF(OR(Fiscalitat!$H$21="a",Fiscalitat!$H$21="B",Fiscalitat!$H$21="D"),'Introducció dades'!H266*(1+$F$6),'Introducció dades'!H266)</f>
        <v>0</v>
      </c>
      <c r="H97" s="1242">
        <f>IF(OR(Fiscalitat!$H$21="a",Fiscalitat!$H$21="B",Fiscalitat!$H$21="D"),'Introducció dades'!I266*(1+$F$6),'Introducció dades'!I266)</f>
        <v>0</v>
      </c>
      <c r="I97" s="1242">
        <f>IF(OR(Fiscalitat!$H$21="a",Fiscalitat!$H$21="B",Fiscalitat!$H$21="D"),'Introducció dades'!J266*(1+$F$6),'Introducció dades'!J266)</f>
        <v>0</v>
      </c>
      <c r="J97" s="1242">
        <f>IF(OR(Fiscalitat!$H$21="a",Fiscalitat!$H$21="B",Fiscalitat!$H$21="D"),'Introducció dades'!K266*(1+$F$6),'Introducció dades'!K266)</f>
        <v>0</v>
      </c>
      <c r="K97" s="1242">
        <f>IF(OR(Fiscalitat!$H$21="a",Fiscalitat!$H$21="B",Fiscalitat!$H$21="D"),'Introducció dades'!L266*(1+$F$6),'Introducció dades'!L266)</f>
        <v>0</v>
      </c>
      <c r="L97" s="1242">
        <f>IF(OR(Fiscalitat!$H$21="a",Fiscalitat!$H$21="B",Fiscalitat!$H$21="D"),'Introducció dades'!M266*(1+$F$6),'Introducció dades'!M266)</f>
        <v>0</v>
      </c>
      <c r="M97" s="1242">
        <f>IF(OR(Fiscalitat!$H$21="a",Fiscalitat!$H$21="B",Fiscalitat!$H$21="D"),'Introducció dades'!N266*(1+$F$6),'Introducció dades'!N266)</f>
        <v>0</v>
      </c>
      <c r="N97" s="1248">
        <f t="shared" si="16"/>
        <v>0</v>
      </c>
    </row>
    <row r="98" spans="1:14" x14ac:dyDescent="0.3">
      <c r="B98" s="1249"/>
      <c r="C98" s="12"/>
      <c r="D98" s="12"/>
      <c r="E98" s="12"/>
      <c r="F98" s="12"/>
      <c r="G98" s="12"/>
      <c r="H98" s="12"/>
      <c r="I98" s="12"/>
      <c r="J98" s="12"/>
      <c r="K98" s="12"/>
      <c r="L98" s="12"/>
      <c r="M98" s="12"/>
      <c r="N98" s="18"/>
    </row>
    <row r="99" spans="1:14" ht="12.5" x14ac:dyDescent="0.25">
      <c r="A99"/>
      <c r="B99" s="12"/>
      <c r="C99" s="12"/>
      <c r="D99" s="12"/>
      <c r="E99" s="12"/>
      <c r="F99" s="12"/>
      <c r="G99" s="12"/>
      <c r="H99" s="12"/>
      <c r="I99" s="12"/>
      <c r="J99" s="12"/>
      <c r="K99" s="12"/>
      <c r="L99" s="12"/>
      <c r="M99" s="12"/>
      <c r="N99" s="12"/>
    </row>
    <row r="100" spans="1:14" x14ac:dyDescent="0.3">
      <c r="A100" s="1250" t="s">
        <v>163</v>
      </c>
      <c r="B100" s="1251" t="str">
        <f>B74</f>
        <v>GENER</v>
      </c>
      <c r="C100" s="1252" t="str">
        <f t="shared" ref="C100:M100" si="22">C74</f>
        <v>FEBRER</v>
      </c>
      <c r="D100" s="1252" t="str">
        <f t="shared" si="22"/>
        <v>MARÇ</v>
      </c>
      <c r="E100" s="1252" t="str">
        <f t="shared" si="22"/>
        <v>ABRIL</v>
      </c>
      <c r="F100" s="1252" t="str">
        <f t="shared" si="22"/>
        <v>MAIG</v>
      </c>
      <c r="G100" s="1252" t="str">
        <f t="shared" si="22"/>
        <v>JUNY</v>
      </c>
      <c r="H100" s="1252" t="str">
        <f t="shared" si="22"/>
        <v>JULIOL</v>
      </c>
      <c r="I100" s="1252" t="str">
        <f t="shared" si="22"/>
        <v>AGOST</v>
      </c>
      <c r="J100" s="1252" t="str">
        <f t="shared" si="22"/>
        <v>SETEMBRE</v>
      </c>
      <c r="K100" s="1252" t="str">
        <f t="shared" si="22"/>
        <v>OCTUBRE</v>
      </c>
      <c r="L100" s="1252" t="str">
        <f t="shared" si="22"/>
        <v>NOVEMBRE</v>
      </c>
      <c r="M100" s="1253" t="str">
        <f t="shared" si="22"/>
        <v>DESEMBRE</v>
      </c>
      <c r="N100" s="1254" t="s">
        <v>245</v>
      </c>
    </row>
    <row r="101" spans="1:14" x14ac:dyDescent="0.3">
      <c r="A101" s="1290" t="s">
        <v>398</v>
      </c>
      <c r="B101" s="1256">
        <f t="shared" ref="B101:M101" si="23">B78*$F70</f>
        <v>0</v>
      </c>
      <c r="C101" s="1257">
        <f t="shared" si="23"/>
        <v>0</v>
      </c>
      <c r="D101" s="1257">
        <f t="shared" si="23"/>
        <v>0</v>
      </c>
      <c r="E101" s="1257">
        <f t="shared" si="23"/>
        <v>0</v>
      </c>
      <c r="F101" s="1257">
        <f t="shared" si="23"/>
        <v>0</v>
      </c>
      <c r="G101" s="1257">
        <f t="shared" si="23"/>
        <v>0</v>
      </c>
      <c r="H101" s="1257">
        <f t="shared" si="23"/>
        <v>0</v>
      </c>
      <c r="I101" s="1257">
        <f t="shared" si="23"/>
        <v>0</v>
      </c>
      <c r="J101" s="1257">
        <f t="shared" si="23"/>
        <v>0</v>
      </c>
      <c r="K101" s="1257">
        <f t="shared" si="23"/>
        <v>0</v>
      </c>
      <c r="L101" s="1257">
        <f t="shared" si="23"/>
        <v>0</v>
      </c>
      <c r="M101" s="1258">
        <f t="shared" si="23"/>
        <v>0</v>
      </c>
      <c r="N101" s="1259">
        <f>SUM(B101:M101)</f>
        <v>0</v>
      </c>
    </row>
    <row r="102" spans="1:14" x14ac:dyDescent="0.3">
      <c r="A102" s="1290" t="s">
        <v>399</v>
      </c>
      <c r="B102" s="1291">
        <f t="shared" ref="B102:M102" si="24">B81*$F71</f>
        <v>0</v>
      </c>
      <c r="C102" s="794">
        <f t="shared" si="24"/>
        <v>0</v>
      </c>
      <c r="D102" s="794">
        <f t="shared" si="24"/>
        <v>0</v>
      </c>
      <c r="E102" s="794">
        <f t="shared" si="24"/>
        <v>0</v>
      </c>
      <c r="F102" s="794">
        <f t="shared" si="24"/>
        <v>0</v>
      </c>
      <c r="G102" s="794">
        <f t="shared" si="24"/>
        <v>0</v>
      </c>
      <c r="H102" s="794">
        <f t="shared" si="24"/>
        <v>0</v>
      </c>
      <c r="I102" s="794">
        <f t="shared" si="24"/>
        <v>0</v>
      </c>
      <c r="J102" s="794">
        <f t="shared" si="24"/>
        <v>0</v>
      </c>
      <c r="K102" s="794">
        <f t="shared" si="24"/>
        <v>0</v>
      </c>
      <c r="L102" s="794">
        <f t="shared" si="24"/>
        <v>0</v>
      </c>
      <c r="M102" s="1292">
        <f t="shared" si="24"/>
        <v>0</v>
      </c>
      <c r="N102" s="1293">
        <f>SUM(B102:M102)</f>
        <v>0</v>
      </c>
    </row>
    <row r="103" spans="1:14" x14ac:dyDescent="0.3">
      <c r="A103" s="1294" t="s">
        <v>401</v>
      </c>
      <c r="B103" s="1295">
        <f t="shared" ref="B103:M103" si="25">SUM(B101:B102)</f>
        <v>0</v>
      </c>
      <c r="C103" s="1268">
        <f t="shared" si="25"/>
        <v>0</v>
      </c>
      <c r="D103" s="1268">
        <f t="shared" si="25"/>
        <v>0</v>
      </c>
      <c r="E103" s="1268">
        <f t="shared" si="25"/>
        <v>0</v>
      </c>
      <c r="F103" s="1268">
        <f t="shared" si="25"/>
        <v>0</v>
      </c>
      <c r="G103" s="1268">
        <f t="shared" si="25"/>
        <v>0</v>
      </c>
      <c r="H103" s="1268">
        <f t="shared" si="25"/>
        <v>0</v>
      </c>
      <c r="I103" s="1268">
        <f t="shared" si="25"/>
        <v>0</v>
      </c>
      <c r="J103" s="1268">
        <f t="shared" si="25"/>
        <v>0</v>
      </c>
      <c r="K103" s="1268">
        <f t="shared" si="25"/>
        <v>0</v>
      </c>
      <c r="L103" s="1268">
        <f t="shared" si="25"/>
        <v>0</v>
      </c>
      <c r="M103" s="1296">
        <f t="shared" si="25"/>
        <v>0</v>
      </c>
      <c r="N103" s="1297">
        <f>SUM(B103:M103)</f>
        <v>0</v>
      </c>
    </row>
    <row r="104" spans="1:14" x14ac:dyDescent="0.3">
      <c r="A104" s="1290" t="s">
        <v>63</v>
      </c>
      <c r="B104" s="1291">
        <f>B103-B105</f>
        <v>0</v>
      </c>
      <c r="C104" s="794">
        <f t="shared" ref="C104:M104" si="26">C103+B104-C105</f>
        <v>0</v>
      </c>
      <c r="D104" s="794">
        <f t="shared" si="26"/>
        <v>0</v>
      </c>
      <c r="E104" s="794">
        <f t="shared" si="26"/>
        <v>0</v>
      </c>
      <c r="F104" s="794">
        <f t="shared" si="26"/>
        <v>0</v>
      </c>
      <c r="G104" s="794">
        <f t="shared" si="26"/>
        <v>0</v>
      </c>
      <c r="H104" s="794">
        <f t="shared" si="26"/>
        <v>0</v>
      </c>
      <c r="I104" s="794">
        <f t="shared" si="26"/>
        <v>0</v>
      </c>
      <c r="J104" s="794">
        <f t="shared" si="26"/>
        <v>0</v>
      </c>
      <c r="K104" s="794">
        <f t="shared" si="26"/>
        <v>0</v>
      </c>
      <c r="L104" s="794">
        <f t="shared" si="26"/>
        <v>0</v>
      </c>
      <c r="M104" s="1292">
        <f t="shared" si="26"/>
        <v>0</v>
      </c>
      <c r="N104" s="1293">
        <f>M104</f>
        <v>0</v>
      </c>
    </row>
    <row r="105" spans="1:14" x14ac:dyDescent="0.3">
      <c r="A105" s="1298" t="s">
        <v>159</v>
      </c>
      <c r="B105" s="1261">
        <f t="shared" ref="B105:M105" si="27">IF(OR(A100="MARÇ",A100="JUNY",A100="SETEMBRE",A100="DESEMBRE"),A104,0)</f>
        <v>0</v>
      </c>
      <c r="C105" s="1262">
        <f t="shared" si="27"/>
        <v>0</v>
      </c>
      <c r="D105" s="1262">
        <f t="shared" si="27"/>
        <v>0</v>
      </c>
      <c r="E105" s="1262">
        <f t="shared" si="27"/>
        <v>0</v>
      </c>
      <c r="F105" s="1262">
        <f t="shared" si="27"/>
        <v>0</v>
      </c>
      <c r="G105" s="1262">
        <f t="shared" si="27"/>
        <v>0</v>
      </c>
      <c r="H105" s="1262">
        <f t="shared" si="27"/>
        <v>0</v>
      </c>
      <c r="I105" s="1262">
        <f t="shared" si="27"/>
        <v>0</v>
      </c>
      <c r="J105" s="1262">
        <f t="shared" si="27"/>
        <v>0</v>
      </c>
      <c r="K105" s="1262">
        <f t="shared" si="27"/>
        <v>0</v>
      </c>
      <c r="L105" s="1262">
        <f t="shared" si="27"/>
        <v>0</v>
      </c>
      <c r="M105" s="1263">
        <f t="shared" si="27"/>
        <v>0</v>
      </c>
      <c r="N105" s="1264">
        <f>SUM(B105:M105)</f>
        <v>0</v>
      </c>
    </row>
    <row r="106" spans="1:14" ht="12.5" x14ac:dyDescent="0.25">
      <c r="A106"/>
      <c r="B106" s="12"/>
      <c r="C106" s="12"/>
      <c r="D106" s="12"/>
      <c r="E106" s="12"/>
      <c r="F106" s="12"/>
      <c r="G106" s="12"/>
      <c r="H106" s="12"/>
      <c r="I106" s="12"/>
      <c r="J106" s="12"/>
      <c r="K106" s="12"/>
      <c r="L106" s="12"/>
      <c r="M106" s="12"/>
      <c r="N106" s="12"/>
    </row>
    <row r="107" spans="1:14" x14ac:dyDescent="0.3">
      <c r="A107" s="1265" t="s">
        <v>414</v>
      </c>
      <c r="B107" s="1266" t="str">
        <f t="shared" ref="B107:M107" si="28">B100</f>
        <v>GENER</v>
      </c>
      <c r="C107" s="1266" t="str">
        <f t="shared" si="28"/>
        <v>FEBRER</v>
      </c>
      <c r="D107" s="1266" t="str">
        <f t="shared" si="28"/>
        <v>MARÇ</v>
      </c>
      <c r="E107" s="1266" t="str">
        <f t="shared" si="28"/>
        <v>ABRIL</v>
      </c>
      <c r="F107" s="1266" t="str">
        <f t="shared" si="28"/>
        <v>MAIG</v>
      </c>
      <c r="G107" s="1266" t="str">
        <f t="shared" si="28"/>
        <v>JUNY</v>
      </c>
      <c r="H107" s="1266" t="str">
        <f t="shared" si="28"/>
        <v>JULIOL</v>
      </c>
      <c r="I107" s="1266" t="str">
        <f t="shared" si="28"/>
        <v>AGOST</v>
      </c>
      <c r="J107" s="1266" t="str">
        <f t="shared" si="28"/>
        <v>SETEMBRE</v>
      </c>
      <c r="K107" s="1266" t="str">
        <f t="shared" si="28"/>
        <v>OCTUBRE</v>
      </c>
      <c r="L107" s="1266" t="str">
        <f t="shared" si="28"/>
        <v>NOVEMBRE</v>
      </c>
      <c r="M107" s="1266" t="str">
        <f t="shared" si="28"/>
        <v>DESEMBRE</v>
      </c>
      <c r="N107" s="1266" t="s">
        <v>245</v>
      </c>
    </row>
    <row r="108" spans="1:14" x14ac:dyDescent="0.3">
      <c r="A108" s="108" t="s">
        <v>415</v>
      </c>
      <c r="B108" s="794">
        <f>MERCADERIES!DC92+SERVEIS!CB44</f>
        <v>0</v>
      </c>
      <c r="C108" s="794">
        <f>MERCADERIES!DD92+SERVEIS!CC44</f>
        <v>0</v>
      </c>
      <c r="D108" s="794">
        <f>MERCADERIES!DE92+SERVEIS!CD44</f>
        <v>0</v>
      </c>
      <c r="E108" s="794">
        <f>MERCADERIES!DF92+SERVEIS!CE44</f>
        <v>0</v>
      </c>
      <c r="F108" s="794">
        <f>MERCADERIES!DG92+SERVEIS!CF44</f>
        <v>0</v>
      </c>
      <c r="G108" s="794">
        <f>MERCADERIES!DH92+SERVEIS!CG44</f>
        <v>0</v>
      </c>
      <c r="H108" s="794">
        <f>MERCADERIES!DI92+SERVEIS!CH44</f>
        <v>0</v>
      </c>
      <c r="I108" s="794">
        <f>MERCADERIES!DJ92+SERVEIS!CI44</f>
        <v>0</v>
      </c>
      <c r="J108" s="794">
        <f>MERCADERIES!DK92+SERVEIS!CJ44</f>
        <v>0</v>
      </c>
      <c r="K108" s="794">
        <f>MERCADERIES!DL92+SERVEIS!CK44</f>
        <v>0</v>
      </c>
      <c r="L108" s="794">
        <f>MERCADERIES!DM92+SERVEIS!CL44</f>
        <v>0</v>
      </c>
      <c r="M108" s="794">
        <f>MERCADERIES!DN92+SERVEIS!CM44</f>
        <v>0</v>
      </c>
      <c r="N108" s="15">
        <f>SUM(B108:M108)</f>
        <v>0</v>
      </c>
    </row>
    <row r="109" spans="1:14" x14ac:dyDescent="0.3">
      <c r="A109" s="108" t="s">
        <v>416</v>
      </c>
      <c r="B109" s="794">
        <f>MERCADERIES!DC95+SERVEIS!CB46</f>
        <v>0</v>
      </c>
      <c r="C109" s="794">
        <f>MERCADERIES!DD95+SERVEIS!CC46</f>
        <v>0</v>
      </c>
      <c r="D109" s="794">
        <f>MERCADERIES!DE95+SERVEIS!CD46</f>
        <v>0</v>
      </c>
      <c r="E109" s="794">
        <f>MERCADERIES!DF95+SERVEIS!CE46</f>
        <v>0</v>
      </c>
      <c r="F109" s="794">
        <f>MERCADERIES!DG95+SERVEIS!CF46</f>
        <v>0</v>
      </c>
      <c r="G109" s="794">
        <f>MERCADERIES!DH95+SERVEIS!CG46</f>
        <v>0</v>
      </c>
      <c r="H109" s="794">
        <f>MERCADERIES!DI95+SERVEIS!CH46</f>
        <v>0</v>
      </c>
      <c r="I109" s="794">
        <f>MERCADERIES!DJ95+SERVEIS!CI46</f>
        <v>0</v>
      </c>
      <c r="J109" s="794">
        <f>MERCADERIES!DK95+SERVEIS!CJ46</f>
        <v>0</v>
      </c>
      <c r="K109" s="794">
        <f>MERCADERIES!DL95+SERVEIS!CK46</f>
        <v>0</v>
      </c>
      <c r="L109" s="794">
        <f>MERCADERIES!DM95+SERVEIS!CL46</f>
        <v>0</v>
      </c>
      <c r="M109" s="794">
        <f>MERCADERIES!DN95+SERVEIS!CM46</f>
        <v>0</v>
      </c>
      <c r="N109" s="15">
        <f>SUM(B109:M109)</f>
        <v>0</v>
      </c>
    </row>
    <row r="110" spans="1:14" x14ac:dyDescent="0.3">
      <c r="A110" s="108" t="s">
        <v>417</v>
      </c>
      <c r="B110" s="794">
        <f>(B78+B80+B81+B82+B83+B86+B87+B93)*$F68+LEASING!CE14</f>
        <v>0</v>
      </c>
      <c r="C110" s="794">
        <f>(C78+C80+C81+C82+C83+C86+C87+C93)*$F68+LEASING!CF14</f>
        <v>0</v>
      </c>
      <c r="D110" s="794">
        <f>(D78+D80+D81+D82+D83+D86+D87+D93)*$F68+LEASING!CG14</f>
        <v>0</v>
      </c>
      <c r="E110" s="794">
        <f>(E78+E80+E81+E82+E83+E86+E87+E93)*$F68+LEASING!CH14</f>
        <v>0</v>
      </c>
      <c r="F110" s="794">
        <f>(F78+F80+F81+F82+F83+F86+F87+F93)*$F68+LEASING!CI14</f>
        <v>0</v>
      </c>
      <c r="G110" s="794">
        <f>(G78+G80+G81+G82+G83+G86+G87+G93)*$F68+LEASING!CJ14</f>
        <v>0</v>
      </c>
      <c r="H110" s="794">
        <f>(H78+H80+H81+H82+H83+H86+H87+H93)*$F68+LEASING!CK14</f>
        <v>0</v>
      </c>
      <c r="I110" s="794">
        <f>(I78+I80+I81+I82+I83+I86+I87+I93)*$F68+LEASING!CL14</f>
        <v>0</v>
      </c>
      <c r="J110" s="794">
        <f>(J78+J80+J81+J82+J83+J86+J87+J93)*$F68+LEASING!CM14</f>
        <v>0</v>
      </c>
      <c r="K110" s="794">
        <f>(K78+K80+K81+K82+K83+K86+K87+K93)*$F68+LEASING!CN14</f>
        <v>0</v>
      </c>
      <c r="L110" s="794">
        <f>(L78+L80+L81+L82+L83+L86+L87+L93)*$F68+LEASING!CO14</f>
        <v>0</v>
      </c>
      <c r="M110" s="794">
        <f>(M78+M80+M81+M82+M83+M86+M87+M93)*$F68+LEASING!CP14</f>
        <v>0</v>
      </c>
      <c r="N110" s="15">
        <f>SUM(B110:M110)</f>
        <v>0</v>
      </c>
    </row>
    <row r="111" spans="1:14" x14ac:dyDescent="0.3">
      <c r="A111" s="108" t="s">
        <v>418</v>
      </c>
      <c r="B111" s="794">
        <f>INVERSIONS!B70-INVERSIONS!C70</f>
        <v>0</v>
      </c>
      <c r="C111" s="794">
        <f>INVERSIONS!D70-INVERSIONS!E70</f>
        <v>0</v>
      </c>
      <c r="D111" s="794">
        <f>INVERSIONS!F70-INVERSIONS!G70</f>
        <v>0</v>
      </c>
      <c r="E111" s="794">
        <f>INVERSIONS!H70-INVERSIONS!I70</f>
        <v>0</v>
      </c>
      <c r="F111" s="794">
        <f>INVERSIONS!J70-INVERSIONS!K70</f>
        <v>0</v>
      </c>
      <c r="G111" s="794">
        <f>INVERSIONS!L70-INVERSIONS!M70</f>
        <v>0</v>
      </c>
      <c r="H111" s="794">
        <f>INVERSIONS!N70-INVERSIONS!O70</f>
        <v>0</v>
      </c>
      <c r="I111" s="794">
        <f>INVERSIONS!P70-INVERSIONS!Q70</f>
        <v>0</v>
      </c>
      <c r="J111" s="794">
        <f>INVERSIONS!R70-INVERSIONS!S70</f>
        <v>0</v>
      </c>
      <c r="K111" s="794">
        <f>INVERSIONS!T70-INVERSIONS!U70</f>
        <v>0</v>
      </c>
      <c r="L111" s="794">
        <f>INVERSIONS!V70-INVERSIONS!W70</f>
        <v>0</v>
      </c>
      <c r="M111" s="794">
        <f>INVERSIONS!X70-INVERSIONS!Y70</f>
        <v>0</v>
      </c>
      <c r="N111" s="15">
        <f>SUM(B111:M111)</f>
        <v>0</v>
      </c>
    </row>
    <row r="112" spans="1:14" x14ac:dyDescent="0.3">
      <c r="A112" s="1267" t="s">
        <v>419</v>
      </c>
      <c r="B112" s="1268">
        <f>IF(Fiscalitat!$H$21="A",HLOOKUP(B56,Fiscalitat!$E$14:$P$15,2,FALSE),IF(OR(B107="MARÇ",B107="JUNY",B107="SETEMBRE",B107="DESEMBRE"),SUM(A108:B108)-SUM(A109:B109)-SUM(A110:B110)-SUM(A111:B111+B117),0))</f>
        <v>0</v>
      </c>
      <c r="C112" s="1268">
        <f>IF(Fiscalitat!$H$21="A",HLOOKUP(C56,Fiscalitat!$E$14:$P$15,2,FALSE),IF(OR(C107="MARÇ",C107="JUNY",C107="SETEMBRE",C107="DESEMBRE"),SUM(B108:C108)-SUM(B109:C109)-SUM(B110:C110)-SUM(B111:C111+B117),0))</f>
        <v>0</v>
      </c>
      <c r="D112" s="1268">
        <f>IF(Fiscalitat!$H$21="A",HLOOKUP(D56,Fiscalitat!$E$14:$P$15,2,FALSE),IF(OR(D107="MARÇ",D107="JUNY",D107="SETEMBRE",D107="DESEMBRE"),SUM(B108:D108)-SUM(B109:D109)-SUM(B110:D110)-SUM(B111:D111+B117),0))</f>
        <v>0</v>
      </c>
      <c r="E112" s="1268">
        <f>IF(Fiscalitat!$H$21="A",HLOOKUP(E56,Fiscalitat!$E$14:$P$15,2,FALSE),IF(OR(E107="MARÇ",E107="JUNY",E107="SETEMBRE",E107="DESEMBRE"),SUM(C108:E108)-SUM(C109:E109)-SUM(C110:E110)-SUM(C111:E111),0))</f>
        <v>0</v>
      </c>
      <c r="F112" s="1268">
        <f>IF(Fiscalitat!$H$21="A",HLOOKUP(F56,Fiscalitat!$E$14:$P$15,2,FALSE),IF(OR(F107="MARÇ",F107="JUNY",F107="SETEMBRE",F107="DESEMBRE"),SUM(D108:F108)-SUM(D109:F109)-SUM(D110:F110)-SUM(D111:F111),0))</f>
        <v>0</v>
      </c>
      <c r="G112" s="1268">
        <f>IF(Fiscalitat!$H$21="A",HLOOKUP(G56,Fiscalitat!$E$14:$P$15,2,FALSE),IF(OR(G107="MARÇ",G107="JUNY",G107="SETEMBRE",G107="DESEMBRE"),SUM(E108:G108)-SUM(E109:G109)-SUM(E110:G110)-SUM(E111:G111),0))</f>
        <v>0</v>
      </c>
      <c r="H112" s="1268">
        <f>IF(Fiscalitat!$H$21="A",HLOOKUP(H56,Fiscalitat!$E$14:$P$15,2,FALSE),IF(OR(H107="MARÇ",H107="JUNY",H107="SETEMBRE",H107="DESEMBRE"),SUM(F108:H108)-SUM(F109:H109)-SUM(F110:H110)-SUM(F111:H111),0))</f>
        <v>0</v>
      </c>
      <c r="I112" s="1268">
        <f>IF(Fiscalitat!$H$21="A",HLOOKUP(I56,Fiscalitat!$E$14:$P$15,2,FALSE),IF(OR(I107="MARÇ",I107="JUNY",I107="SETEMBRE",I107="DESEMBRE"),SUM(G108:I108)-SUM(G109:I109)-SUM(G110:I110)-SUM(G111:I111),0))</f>
        <v>0</v>
      </c>
      <c r="J112" s="1268">
        <f>IF(Fiscalitat!$H$21="A",HLOOKUP(J56,Fiscalitat!$E$14:$P$15,2,FALSE),IF(OR(J107="MARÇ",J107="JUNY",J107="SETEMBRE",J107="DESEMBRE"),SUM(H108:J108)-SUM(H109:J109)-SUM(H110:J110)-SUM(H111:J111),0))</f>
        <v>0</v>
      </c>
      <c r="K112" s="1268">
        <f>IF(Fiscalitat!$H$21="A",HLOOKUP(K56,Fiscalitat!$E$14:$P$15,2,FALSE),IF(OR(K107="MARÇ",K107="JUNY",K107="SETEMBRE",K107="DESEMBRE"),SUM(I108:K108)-SUM(I109:K109)-SUM(I110:K110)-SUM(I111:K111),0))</f>
        <v>0</v>
      </c>
      <c r="L112" s="1268">
        <f>IF(Fiscalitat!$H$21="A",HLOOKUP(L56,Fiscalitat!$E$14:$P$15,2,FALSE),IF(OR(L107="MARÇ",L107="JUNY",L107="SETEMBRE",L107="DESEMBRE"),SUM(J108:L108)-SUM(J109:L109)-SUM(J110:L110)-SUM(J111:L111),0))</f>
        <v>0</v>
      </c>
      <c r="M112" s="1268">
        <f>IF(Fiscalitat!$H$21="A",HLOOKUP(M56,Fiscalitat!$E$14:$P$15,2,FALSE),IF(OR(M107="MARÇ",M107="JUNY",M107="SETEMBRE",M107="DESEMBRE"),SUM(K108:M108)-SUM(K109:M109)-SUM(K110:M110)-SUM(K111:M111),0))</f>
        <v>0</v>
      </c>
      <c r="N112" s="1268">
        <f>IF(OR(Fiscalitat!$H$21="A",Fiscalitat!$H$21="B"),SUM(B112:M112),N108-N109-N110-N111-B117)</f>
        <v>0</v>
      </c>
    </row>
    <row r="113" spans="1:14" x14ac:dyDescent="0.3">
      <c r="A113" s="108" t="s">
        <v>420</v>
      </c>
      <c r="B113" s="794">
        <f>IF(B112&gt;0,B112,0)</f>
        <v>0</v>
      </c>
      <c r="C113" s="794">
        <f>IF(C112&gt;0,C112,0)</f>
        <v>0</v>
      </c>
      <c r="D113" s="794">
        <f>IF(D112&gt;0,D112,0)</f>
        <v>0</v>
      </c>
      <c r="E113" s="794">
        <f t="shared" ref="E113:M113" si="29">IF(AND(E112&gt;0,B114&lt;E112),E112-B114,0)</f>
        <v>0</v>
      </c>
      <c r="F113" s="794">
        <f t="shared" si="29"/>
        <v>0</v>
      </c>
      <c r="G113" s="794">
        <f t="shared" si="29"/>
        <v>0</v>
      </c>
      <c r="H113" s="794">
        <f t="shared" si="29"/>
        <v>0</v>
      </c>
      <c r="I113" s="794">
        <f t="shared" si="29"/>
        <v>0</v>
      </c>
      <c r="J113" s="794">
        <f t="shared" si="29"/>
        <v>0</v>
      </c>
      <c r="K113" s="794">
        <f t="shared" si="29"/>
        <v>0</v>
      </c>
      <c r="L113" s="794">
        <f t="shared" si="29"/>
        <v>0</v>
      </c>
      <c r="M113" s="794">
        <f t="shared" si="29"/>
        <v>0</v>
      </c>
      <c r="N113" s="15">
        <f>SUM(B113:L113)</f>
        <v>0</v>
      </c>
    </row>
    <row r="114" spans="1:14" x14ac:dyDescent="0.3">
      <c r="A114" s="108" t="s">
        <v>421</v>
      </c>
      <c r="B114" s="794">
        <f>IF(B112&lt;0,-B112,0)</f>
        <v>0</v>
      </c>
      <c r="C114" s="794">
        <f>IF(C112&lt;0,-C112,0)</f>
        <v>0</v>
      </c>
      <c r="D114" s="794">
        <f>IF(D112&lt;0,-D112,0)</f>
        <v>0</v>
      </c>
      <c r="E114" s="794">
        <f t="shared" ref="E114:M114" si="30">IF(OR(E112&lt;0,B114&gt;E112),B114-E112,0)</f>
        <v>0</v>
      </c>
      <c r="F114" s="794">
        <f t="shared" si="30"/>
        <v>0</v>
      </c>
      <c r="G114" s="794">
        <f t="shared" si="30"/>
        <v>0</v>
      </c>
      <c r="H114" s="794">
        <f t="shared" si="30"/>
        <v>0</v>
      </c>
      <c r="I114" s="794">
        <f t="shared" si="30"/>
        <v>0</v>
      </c>
      <c r="J114" s="794">
        <f t="shared" si="30"/>
        <v>0</v>
      </c>
      <c r="K114" s="794">
        <f t="shared" si="30"/>
        <v>0</v>
      </c>
      <c r="L114" s="794">
        <f t="shared" si="30"/>
        <v>0</v>
      </c>
      <c r="M114" s="794">
        <f t="shared" si="30"/>
        <v>0</v>
      </c>
      <c r="N114" s="1269"/>
    </row>
    <row r="115" spans="1:14" x14ac:dyDescent="0.3">
      <c r="A115" s="108" t="s">
        <v>422</v>
      </c>
      <c r="B115" s="794">
        <f>TRESORERIA!C101</f>
        <v>0</v>
      </c>
      <c r="C115" s="794">
        <f>TRESORERIA!D101</f>
        <v>0</v>
      </c>
      <c r="D115" s="794">
        <f>TRESORERIA!E101</f>
        <v>0</v>
      </c>
      <c r="E115" s="794">
        <f>TRESORERIA!F101</f>
        <v>0</v>
      </c>
      <c r="F115" s="794">
        <f>TRESORERIA!G101</f>
        <v>0</v>
      </c>
      <c r="G115" s="794">
        <f>TRESORERIA!H101</f>
        <v>0</v>
      </c>
      <c r="H115" s="794">
        <f>TRESORERIA!I101</f>
        <v>0</v>
      </c>
      <c r="I115" s="794">
        <f>TRESORERIA!J101</f>
        <v>0</v>
      </c>
      <c r="J115" s="794">
        <f>TRESORERIA!K101</f>
        <v>0</v>
      </c>
      <c r="K115" s="794">
        <f>TRESORERIA!L101</f>
        <v>0</v>
      </c>
      <c r="L115" s="794">
        <f>TRESORERIA!M101</f>
        <v>0</v>
      </c>
      <c r="M115" s="794">
        <f>TRESORERIA!N101</f>
        <v>0</v>
      </c>
      <c r="N115" s="15">
        <f>SUM(B115:M115)</f>
        <v>0</v>
      </c>
    </row>
    <row r="116" spans="1:14" x14ac:dyDescent="0.3">
      <c r="A116" s="108" t="s">
        <v>423</v>
      </c>
      <c r="B116" s="794">
        <f>TRESORERIA!C138</f>
        <v>0</v>
      </c>
      <c r="C116" s="794">
        <f>TRESORERIA!D138</f>
        <v>0</v>
      </c>
      <c r="D116" s="794">
        <f>TRESORERIA!E138</f>
        <v>0</v>
      </c>
      <c r="E116" s="794">
        <f>TRESORERIA!F138</f>
        <v>0</v>
      </c>
      <c r="F116" s="794">
        <f>TRESORERIA!G138</f>
        <v>0</v>
      </c>
      <c r="G116" s="794">
        <f>TRESORERIA!H138</f>
        <v>0</v>
      </c>
      <c r="H116" s="794">
        <f>TRESORERIA!I138</f>
        <v>0</v>
      </c>
      <c r="I116" s="794">
        <f>TRESORERIA!J138</f>
        <v>0</v>
      </c>
      <c r="J116" s="794">
        <f>TRESORERIA!K138</f>
        <v>0</v>
      </c>
      <c r="K116" s="794">
        <f>TRESORERIA!L138</f>
        <v>0</v>
      </c>
      <c r="L116" s="794">
        <f>TRESORERIA!M138</f>
        <v>0</v>
      </c>
      <c r="M116" s="794">
        <f>TRESORERIA!N138</f>
        <v>0</v>
      </c>
      <c r="N116" s="15">
        <f>SUM(B116:M116)</f>
        <v>0</v>
      </c>
    </row>
    <row r="117" spans="1:14" ht="12.5" x14ac:dyDescent="0.25">
      <c r="A117" s="1299" t="s">
        <v>425</v>
      </c>
      <c r="B117" s="1101">
        <f>+N54</f>
        <v>0</v>
      </c>
      <c r="C117" s="12"/>
      <c r="D117" s="12"/>
      <c r="E117" s="12"/>
      <c r="F117" s="12"/>
      <c r="G117" s="12"/>
      <c r="H117" s="12"/>
      <c r="I117" s="12"/>
      <c r="J117" s="12"/>
      <c r="K117" s="12"/>
      <c r="L117" s="1908" t="s">
        <v>424</v>
      </c>
      <c r="M117" s="1908"/>
      <c r="N117" s="1101">
        <f>IF(N112&gt;0,N112-N113,0)</f>
        <v>0</v>
      </c>
    </row>
    <row r="118" spans="1:14" x14ac:dyDescent="0.3">
      <c r="B118" s="1249"/>
      <c r="C118" s="12"/>
      <c r="D118" s="12"/>
      <c r="E118" s="12"/>
      <c r="F118" s="12"/>
      <c r="G118" s="12"/>
      <c r="H118" s="12"/>
      <c r="I118" s="12"/>
      <c r="J118" s="12"/>
      <c r="K118" s="12"/>
      <c r="L118" s="1908" t="s">
        <v>425</v>
      </c>
      <c r="M118" s="1908"/>
      <c r="N118" s="1101">
        <f>IF(N112&lt;0,-N112,0)</f>
        <v>0</v>
      </c>
    </row>
    <row r="119" spans="1:14" x14ac:dyDescent="0.3">
      <c r="B119" s="1249"/>
      <c r="C119" s="12"/>
      <c r="D119" s="12"/>
      <c r="E119" s="12"/>
      <c r="F119" s="12"/>
      <c r="G119" s="12"/>
      <c r="H119" s="12"/>
      <c r="I119" s="12"/>
      <c r="J119" s="12"/>
      <c r="K119" s="12"/>
      <c r="N119"/>
    </row>
    <row r="120" spans="1:14" x14ac:dyDescent="0.3">
      <c r="A120" s="28" t="s">
        <v>426</v>
      </c>
      <c r="B120" s="1045" t="str">
        <f>+B12</f>
        <v>GENER</v>
      </c>
      <c r="C120" s="1045" t="str">
        <f t="shared" ref="C120:M120" si="31">+C12</f>
        <v>FEBRER</v>
      </c>
      <c r="D120" s="1045" t="str">
        <f t="shared" si="31"/>
        <v>MARÇ</v>
      </c>
      <c r="E120" s="1045" t="str">
        <f t="shared" si="31"/>
        <v>ABRIL</v>
      </c>
      <c r="F120" s="1045" t="str">
        <f t="shared" si="31"/>
        <v>MAIG</v>
      </c>
      <c r="G120" s="1045" t="str">
        <f t="shared" si="31"/>
        <v>JUNY</v>
      </c>
      <c r="H120" s="1045" t="str">
        <f t="shared" si="31"/>
        <v>JULIOL</v>
      </c>
      <c r="I120" s="1045" t="str">
        <f t="shared" si="31"/>
        <v>AGOST</v>
      </c>
      <c r="J120" s="1045" t="str">
        <f t="shared" si="31"/>
        <v>SETEMBRE</v>
      </c>
      <c r="K120" s="1045" t="str">
        <f t="shared" si="31"/>
        <v>OCTUBRE</v>
      </c>
      <c r="L120" s="1045" t="str">
        <f t="shared" si="31"/>
        <v>NOVEMBRE</v>
      </c>
      <c r="M120" s="1045" t="str">
        <f t="shared" si="31"/>
        <v>DESEMBRE</v>
      </c>
      <c r="N120" s="1045" t="s">
        <v>245</v>
      </c>
    </row>
    <row r="121" spans="1:14" x14ac:dyDescent="0.3">
      <c r="A121" s="23" t="s">
        <v>427</v>
      </c>
      <c r="B121" s="1022">
        <f>+'Resultats per mesos'!C57</f>
        <v>0</v>
      </c>
      <c r="C121" s="1022">
        <f>+'Resultats per mesos'!D57</f>
        <v>0</v>
      </c>
      <c r="D121" s="1022">
        <f>+'Resultats per mesos'!E57</f>
        <v>0</v>
      </c>
      <c r="E121" s="1022">
        <f>+'Resultats per mesos'!F57</f>
        <v>0</v>
      </c>
      <c r="F121" s="1022">
        <f>+'Resultats per mesos'!G57</f>
        <v>0</v>
      </c>
      <c r="G121" s="1022">
        <f>+'Resultats per mesos'!H57</f>
        <v>0</v>
      </c>
      <c r="H121" s="1022">
        <f>+'Resultats per mesos'!C80</f>
        <v>0</v>
      </c>
      <c r="I121" s="1022">
        <f>+'Resultats per mesos'!D80</f>
        <v>0</v>
      </c>
      <c r="J121" s="1022">
        <f>+'Resultats per mesos'!E80</f>
        <v>0</v>
      </c>
      <c r="K121" s="1022">
        <f>+'Resultats per mesos'!F80</f>
        <v>0</v>
      </c>
      <c r="L121" s="1022">
        <f>+'Resultats per mesos'!G80</f>
        <v>0</v>
      </c>
      <c r="M121" s="1022">
        <f>+'Resultats per mesos'!H80</f>
        <v>0</v>
      </c>
      <c r="N121" s="29">
        <f>SUM(B121:M121)</f>
        <v>0</v>
      </c>
    </row>
    <row r="122" spans="1:14" x14ac:dyDescent="0.3">
      <c r="A122" s="23" t="s">
        <v>428</v>
      </c>
      <c r="B122" s="1022">
        <f>+'Resultats per mesos'!C59+'Resultats per mesos'!C60+'Resultats per mesos'!C62+'Resultats per mesos'!C63+'Resultats per mesos'!C68+'Resultats per mesos'!C65+'Resultats per mesos'!C66</f>
        <v>0</v>
      </c>
      <c r="C122" s="1022">
        <f>+'Resultats per mesos'!D59+'Resultats per mesos'!D60+'Resultats per mesos'!D62+'Resultats per mesos'!D63+'Resultats per mesos'!D68+'Resultats per mesos'!D65+'Resultats per mesos'!D66</f>
        <v>0</v>
      </c>
      <c r="D122" s="1022">
        <f>+'Resultats per mesos'!E59+'Resultats per mesos'!E60+'Resultats per mesos'!E62+'Resultats per mesos'!E63+'Resultats per mesos'!E68+'Resultats per mesos'!E65+'Resultats per mesos'!E66</f>
        <v>0</v>
      </c>
      <c r="E122" s="1022">
        <f>+'Resultats per mesos'!F59+'Resultats per mesos'!F60+'Resultats per mesos'!F62+'Resultats per mesos'!F63+'Resultats per mesos'!F68+'Resultats per mesos'!F65+'Resultats per mesos'!F66</f>
        <v>0</v>
      </c>
      <c r="F122" s="1022">
        <f>+'Resultats per mesos'!G59+'Resultats per mesos'!G60+'Resultats per mesos'!G62+'Resultats per mesos'!G63+'Resultats per mesos'!G68+'Resultats per mesos'!G65+'Resultats per mesos'!G66</f>
        <v>0</v>
      </c>
      <c r="G122" s="1022">
        <f>+'Resultats per mesos'!H59+'Resultats per mesos'!H60+'Resultats per mesos'!H62+'Resultats per mesos'!H63+'Resultats per mesos'!H68+'Resultats per mesos'!H65+'Resultats per mesos'!H66</f>
        <v>0</v>
      </c>
      <c r="H122" s="1022">
        <f>+'Resultats per mesos'!C82+'Resultats per mesos'!C83+'Resultats per mesos'!C85+'Resultats per mesos'!C86+'Resultats per mesos'!C91+'Resultats per mesos'!C88+'Resultats per mesos'!C89</f>
        <v>0</v>
      </c>
      <c r="I122" s="1022">
        <f>+'Resultats per mesos'!D82+'Resultats per mesos'!D83+'Resultats per mesos'!D85+'Resultats per mesos'!D86+'Resultats per mesos'!D91+'Resultats per mesos'!D88+'Resultats per mesos'!D89</f>
        <v>0</v>
      </c>
      <c r="J122" s="1022">
        <f>+'Resultats per mesos'!E82+'Resultats per mesos'!E83+'Resultats per mesos'!E85+'Resultats per mesos'!E86+'Resultats per mesos'!E91+'Resultats per mesos'!E88+'Resultats per mesos'!E89</f>
        <v>0</v>
      </c>
      <c r="K122" s="1022">
        <f>+'Resultats per mesos'!F82+'Resultats per mesos'!F83+'Resultats per mesos'!F85+'Resultats per mesos'!F86+'Resultats per mesos'!F91+'Resultats per mesos'!F88+'Resultats per mesos'!F89</f>
        <v>0</v>
      </c>
      <c r="L122" s="1022">
        <f>+'Resultats per mesos'!G82+'Resultats per mesos'!G83+'Resultats per mesos'!G85+'Resultats per mesos'!G86+'Resultats per mesos'!G91+'Resultats per mesos'!G88+'Resultats per mesos'!G89</f>
        <v>0</v>
      </c>
      <c r="M122" s="1022">
        <f>+'Resultats per mesos'!H82+'Resultats per mesos'!H83+'Resultats per mesos'!H85+'Resultats per mesos'!H86+'Resultats per mesos'!H91+'Resultats per mesos'!H88+'Resultats per mesos'!H89</f>
        <v>0</v>
      </c>
      <c r="N122" s="29">
        <f>SUM(B122:M122)</f>
        <v>0</v>
      </c>
    </row>
    <row r="123" spans="1:14" x14ac:dyDescent="0.3">
      <c r="A123" s="23" t="s">
        <v>429</v>
      </c>
      <c r="B123" s="29">
        <f>IF(Fiscalitat!$H$21="e",IF(OR(B120="ABRIL",B120="OCTUBRE",B120="DESEMBRE"),($N$59)*$H$9,IF(B120="JULIOL",$N$59,0)),IF(OR(Fiscalitat!$H$21="A",Fiscalitat!$H$21="B"),HLOOKUP(B120,Fiscalitat!$E$9:$P$10,2,FALSE),IF(OR(A120="MARÇ",A120="JUNY",A120="SETEMBRE",A120="DESEMBRE"),SUM(A121:B121)-SUM(A122:B122),0)*$H$8))</f>
        <v>0</v>
      </c>
      <c r="C123" s="29">
        <f>IF(Fiscalitat!$H$21="e",IF(OR(C120="ABRIL",C120="OCTUBRE",C120="DESEMBRE"),($N$59)*$H$9,IF(C120="JULIOL",$N$59,0)),IF(OR(Fiscalitat!$H$21="A",Fiscalitat!$H$21="B"),HLOOKUP(C120,Fiscalitat!$E$9:$P$10,2,FALSE),IF(OR(B120="MARÇ",B120="JUNY",B120="SETEMBRE",B120="DESEMBRE"),SUM(A121:B121)-SUM(A122:B122),0)*$H$8))</f>
        <v>0</v>
      </c>
      <c r="D123" s="29">
        <f>IF(Fiscalitat!$H$21="e",IF(OR(D120="ABRIL",D120="OCTUBRE",D120="DESEMBRE"),($N$59)*$H$9,IF(D120="JULIOL",$N$59,0)),IF(OR(Fiscalitat!$H$21="A",Fiscalitat!$H$21="B"),HLOOKUP(D120,Fiscalitat!$E$9:$P$10,2,FALSE),IF(OR(C120="MARÇ",C120="JUNY",C120="SETEMBRE",C120="DESEMBRE"),SUM(A121:C121)-SUM(A122:C122),0)*$H$8))</f>
        <v>0</v>
      </c>
      <c r="E123" s="29">
        <f>IF(Fiscalitat!$H$21="e",IF(OR(E120="ABRIL",E120="OCTUBRE",E120="DESEMBRE"),($N$59)*$H$9,IF(E120="JULIOL",$N$59,0)),IF(OR(Fiscalitat!$H$21="A",Fiscalitat!$H$21="B"),HLOOKUP(E120,Fiscalitat!$E$9:$P$10,2,FALSE),IF(OR(D120="MARÇ",D120="JUNY",D120="SETEMBRE",D120="DESEMBRE"),SUM(B121:D121)-SUM(B122:D122),0)*$H$8))</f>
        <v>0</v>
      </c>
      <c r="F123" s="29">
        <f>IF(Fiscalitat!$H$21="e",IF(OR(F120="ABRIL",F120="OCTUBRE",F120="DESEMBRE"),($N$59)*$H$9,IF(F120="JULIOL",$N$59,0)),IF(OR(Fiscalitat!$H$21="A",Fiscalitat!$H$21="B"),HLOOKUP(F120,Fiscalitat!$E$9:$P$10,2,FALSE),IF(OR(E120="MARÇ",E120="JUNY",E120="SETEMBRE",E120="DESEMBRE"),SUM(C121:E121)-SUM(C122:E122),0)*$H$8))</f>
        <v>0</v>
      </c>
      <c r="G123" s="29">
        <f>IF(Fiscalitat!$H$21="e",IF(OR(G120="ABRIL",G120="OCTUBRE",G120="DESEMBRE"),($N$59)*$H$9,IF(G120="JULIOL",$N$59,0)),IF(OR(Fiscalitat!$H$21="A",Fiscalitat!$H$21="B"),HLOOKUP(G120,Fiscalitat!$E$9:$P$10,2,FALSE),IF(OR(F120="MARÇ",F120="JUNY",F120="SETEMBRE",F120="DESEMBRE"),SUM(D121:F121)-SUM(D122:F122),0)*$H$8))</f>
        <v>0</v>
      </c>
      <c r="H123" s="29">
        <f>IF(Fiscalitat!$H$21="e",IF(OR(H120="ABRIL",H120="OCTUBRE",H120="DESEMBRE"),($N$59)*$H$9,IF(H120="JULIOL",$N$59,0)),IF(OR(Fiscalitat!$H$21="A",Fiscalitat!$H$21="B"),HLOOKUP(H120,Fiscalitat!$E$9:$P$10,2,FALSE),IF(OR(G120="MARÇ",G120="JUNY",G120="SETEMBRE",G120="DESEMBRE"),SUM(E121:G121)-SUM(E122:G122),0)*$H$8))</f>
        <v>0</v>
      </c>
      <c r="I123" s="29">
        <f>IF(Fiscalitat!$H$21="e",IF(OR(I120="ABRIL",I120="OCTUBRE",I120="DESEMBRE"),($N$59)*$H$9,IF(I120="JULIOL",$N$59,0)),IF(OR(Fiscalitat!$H$21="A",Fiscalitat!$H$21="B"),HLOOKUP(I120,Fiscalitat!$E$9:$P$10,2,FALSE),IF(OR(H120="MARÇ",H120="JUNY",H120="SETEMBRE",H120="DESEMBRE"),SUM(F121:H121)-SUM(F122:H122),0)*$H$8))</f>
        <v>0</v>
      </c>
      <c r="J123" s="29">
        <f>IF(Fiscalitat!$H$21="e",IF(OR(J120="ABRIL",J120="OCTUBRE",J120="DESEMBRE"),($N$59)*$H$9,IF(J120="JULIOL",$N$59,0)),IF(OR(Fiscalitat!$H$21="A",Fiscalitat!$H$21="B"),HLOOKUP(J120,Fiscalitat!$E$9:$P$10,2,FALSE),IF(OR(I120="MARÇ",I120="JUNY",I120="SETEMBRE",I120="DESEMBRE"),SUM(G121:I121)-SUM(G122:I122),0)*$H$8))</f>
        <v>0</v>
      </c>
      <c r="K123" s="29">
        <f>IF(Fiscalitat!$H$21="e",IF(OR(K120="ABRIL",K120="OCTUBRE",K120="DESEMBRE"),($N$59)*$H$9,IF(K120="JULIOL",$N$59,0)),IF(OR(Fiscalitat!$H$21="A",Fiscalitat!$H$21="B"),HLOOKUP(K120,Fiscalitat!$E$9:$P$10,2,FALSE),IF(OR(J120="MARÇ",J120="JUNY",J120="SETEMBRE",J120="DESEMBRE"),SUM(H121:J121)-SUM(H122:J122),0)*$H$8))</f>
        <v>0</v>
      </c>
      <c r="L123" s="29">
        <f>IF(Fiscalitat!$H$21="e",IF(OR(L120="ABRIL",L120="OCTUBRE",L120="DESEMBRE"),($N$59)*$H$9,IF(L120="JULIO",$N$59,0)),IF(OR(Fiscalitat!$H$21="A",Fiscalitat!$H$21="B"),HLOOKUP(L120,Fiscalitat!$E$9:$P$10,2,FALSE),IF(OR(K120="MARÇ",K120="JUNY",K120="SETEMBRE",K120="DESEMBRE"),SUM(I121:K121)-SUM(I122:K122),0)*$H$8))</f>
        <v>0</v>
      </c>
      <c r="M123" s="29">
        <f>IF(Fiscalitat!$H$21="e",IF(OR(M120="ABRIL",M120="OCTUBRE",M120="DESEMBRE"),($N$59)*$H$9,IF(M120="JULIOL",$N$59,0)),IF(OR(Fiscalitat!$H$21="A",Fiscalitat!$H$21="B"),HLOOKUP(M120,Fiscalitat!$E$9:$P$10,2,FALSE),IF(OR(L120="MARÇ",L120="JUNY",L120="SETEMBRE",L120="DESEMBRE"),SUM(J121:L121)-SUM(J122:L122),0)*$H$8))</f>
        <v>0</v>
      </c>
      <c r="N123" s="29">
        <f>IF(Fiscalitat!$H$21="e",IF((N121-N122)&lt;0,0,((N121-N122)*$H$8)),IF(OR(Fiscalitat!$H$21="A",Fiscalitat!$H$21="B"),SUM(B123:M123),IF(((N121-N122)&lt;0),0,((N121-N122)*$H$8))))</f>
        <v>0</v>
      </c>
    </row>
    <row r="124" spans="1:14" x14ac:dyDescent="0.3">
      <c r="A124" s="23" t="s">
        <v>430</v>
      </c>
      <c r="B124" s="1022">
        <f>IF(B123&gt;0,B123,0)</f>
        <v>0</v>
      </c>
      <c r="C124" s="1022">
        <f>IF(C123&gt;0,C123,0)</f>
        <v>0</v>
      </c>
      <c r="D124" s="1022">
        <f>IF(D123&gt;0,D123,0)</f>
        <v>0</v>
      </c>
      <c r="E124" s="1022">
        <f t="shared" ref="E124:M124" si="32">IF(AND(E123&gt;0,B125&lt;E123),E123-B125,0)</f>
        <v>0</v>
      </c>
      <c r="F124" s="1022">
        <f t="shared" si="32"/>
        <v>0</v>
      </c>
      <c r="G124" s="1022">
        <f t="shared" si="32"/>
        <v>0</v>
      </c>
      <c r="H124" s="1022">
        <f t="shared" si="32"/>
        <v>0</v>
      </c>
      <c r="I124" s="1022">
        <f t="shared" si="32"/>
        <v>0</v>
      </c>
      <c r="J124" s="1022">
        <f t="shared" si="32"/>
        <v>0</v>
      </c>
      <c r="K124" s="1022">
        <f t="shared" si="32"/>
        <v>0</v>
      </c>
      <c r="L124" s="1022">
        <f t="shared" si="32"/>
        <v>0</v>
      </c>
      <c r="M124" s="1022">
        <f t="shared" si="32"/>
        <v>0</v>
      </c>
      <c r="N124" s="29">
        <f>SUM(B124:M124)</f>
        <v>0</v>
      </c>
    </row>
    <row r="125" spans="1:14" x14ac:dyDescent="0.3">
      <c r="A125" s="23" t="s">
        <v>431</v>
      </c>
      <c r="B125" s="1022">
        <f>IF(B123&lt;0,-B123,0)+B126</f>
        <v>0</v>
      </c>
      <c r="C125" s="1022">
        <f>IF(C123&lt;0,-C123,0)</f>
        <v>0</v>
      </c>
      <c r="D125" s="1022">
        <f>IF(D123&lt;0,-D123,0)</f>
        <v>0</v>
      </c>
      <c r="E125" s="1022">
        <f t="shared" ref="E125:M125" si="33">IF(OR(E123&lt;0,B125&gt;E123),B125-E123,0)</f>
        <v>0</v>
      </c>
      <c r="F125" s="1022">
        <f t="shared" si="33"/>
        <v>0</v>
      </c>
      <c r="G125" s="1022">
        <f t="shared" si="33"/>
        <v>0</v>
      </c>
      <c r="H125" s="1022">
        <f t="shared" si="33"/>
        <v>0</v>
      </c>
      <c r="I125" s="1022">
        <f t="shared" si="33"/>
        <v>0</v>
      </c>
      <c r="J125" s="1022">
        <f t="shared" si="33"/>
        <v>0</v>
      </c>
      <c r="K125" s="1022">
        <f t="shared" si="33"/>
        <v>0</v>
      </c>
      <c r="L125" s="1022">
        <f t="shared" si="33"/>
        <v>0</v>
      </c>
      <c r="M125" s="1022">
        <f t="shared" si="33"/>
        <v>0</v>
      </c>
      <c r="N125" s="29">
        <f>SUM(B125:M125)</f>
        <v>0</v>
      </c>
    </row>
    <row r="126" spans="1:14" ht="12.5" x14ac:dyDescent="0.25">
      <c r="A126" s="1300" t="s">
        <v>433</v>
      </c>
      <c r="B126" s="1270">
        <f>+N63</f>
        <v>0</v>
      </c>
      <c r="C126" s="1301"/>
      <c r="D126" s="1301"/>
      <c r="E126" s="1301"/>
      <c r="F126" s="1301"/>
      <c r="G126" s="1301"/>
      <c r="H126" s="1301"/>
      <c r="I126" s="1301"/>
      <c r="J126" s="1301"/>
      <c r="K126" s="1301"/>
      <c r="L126" s="1909" t="s">
        <v>432</v>
      </c>
      <c r="M126" s="1909"/>
      <c r="N126" s="1270">
        <f>IF(Fiscalitat!$H$21="e",IF(VARIABLES!N123-($N$59*$H$9*3)&gt;=0,(VARIABLES!N123-($N$59*$H$9*3)),0),IF((N123-N124-B126)&gt;=0,N123-N124-B126,0))</f>
        <v>0</v>
      </c>
    </row>
    <row r="127" spans="1:14" x14ac:dyDescent="0.3">
      <c r="A127" s="88"/>
      <c r="B127" s="296"/>
      <c r="C127" s="296"/>
      <c r="D127" s="296"/>
      <c r="E127" s="296"/>
      <c r="F127" s="296"/>
      <c r="G127" s="296"/>
      <c r="H127" s="296"/>
      <c r="I127" s="296"/>
      <c r="J127" s="296"/>
      <c r="K127" s="296"/>
      <c r="L127" s="1909" t="s">
        <v>433</v>
      </c>
      <c r="M127" s="1909"/>
      <c r="N127" s="1270">
        <f>IF(Fiscalitat!$H$21="e",IF(VARIABLES!N123-($N$59*$H$9*3)&lt;0,-(VARIABLES!N123-($N$59*$H$9*3)),0),IF((N123-N124-B126)&lt;0,-(N123-N124-B126),0))</f>
        <v>0</v>
      </c>
    </row>
    <row r="128" spans="1:14" x14ac:dyDescent="0.3">
      <c r="B128" s="1249"/>
      <c r="C128" s="12"/>
      <c r="D128" s="12"/>
      <c r="E128" s="12"/>
      <c r="F128" s="12"/>
      <c r="G128" s="12"/>
      <c r="H128" s="12"/>
      <c r="I128" s="12"/>
      <c r="J128" s="12"/>
      <c r="K128" s="12"/>
      <c r="L128" s="152"/>
      <c r="M128" s="152"/>
      <c r="N128" s="1108"/>
    </row>
    <row r="129" spans="1:14" x14ac:dyDescent="0.3">
      <c r="A129" s="767" t="s">
        <v>57</v>
      </c>
      <c r="B129"/>
    </row>
    <row r="130" spans="1:14" x14ac:dyDescent="0.3">
      <c r="A130" s="26"/>
      <c r="B130" s="1217"/>
    </row>
    <row r="131" spans="1:14" x14ac:dyDescent="0.3">
      <c r="A131" s="90"/>
      <c r="B131" s="781" t="s">
        <v>167</v>
      </c>
      <c r="C131" s="770" t="s">
        <v>168</v>
      </c>
      <c r="G131" s="90"/>
      <c r="H131" s="90"/>
      <c r="I131" s="90"/>
      <c r="J131" s="90"/>
      <c r="K131" s="90"/>
      <c r="L131" s="90"/>
      <c r="M131" s="90"/>
      <c r="N131" s="1302"/>
    </row>
    <row r="132" spans="1:14" x14ac:dyDescent="0.3">
      <c r="A132" s="1271" t="s">
        <v>169</v>
      </c>
      <c r="B132" s="1272">
        <f>'Introducció dades'!G226</f>
        <v>0</v>
      </c>
      <c r="C132" s="1273">
        <f>'Introducció dades'!H226</f>
        <v>0</v>
      </c>
      <c r="G132" s="90"/>
      <c r="H132" s="90"/>
      <c r="I132" s="90"/>
      <c r="J132" s="90"/>
      <c r="K132" s="90"/>
      <c r="L132" s="90"/>
      <c r="M132" s="90"/>
      <c r="N132" s="1220"/>
    </row>
    <row r="133" spans="1:14" x14ac:dyDescent="0.3">
      <c r="A133" s="1274" t="s">
        <v>402</v>
      </c>
      <c r="B133" s="1272">
        <f>'Introducció dades'!C405</f>
        <v>0</v>
      </c>
      <c r="C133" s="1273">
        <f>'Introducció dades'!D405</f>
        <v>0</v>
      </c>
      <c r="E133" s="1275" t="s">
        <v>89</v>
      </c>
      <c r="F133" s="1276" t="s">
        <v>161</v>
      </c>
      <c r="G133" s="90"/>
      <c r="H133" s="90"/>
      <c r="I133" s="90"/>
      <c r="J133" s="90"/>
      <c r="K133" s="90"/>
      <c r="L133" s="90"/>
      <c r="M133" s="90"/>
      <c r="N133" s="1220"/>
    </row>
    <row r="134" spans="1:14" x14ac:dyDescent="0.3">
      <c r="C134" s="90"/>
      <c r="E134" s="1274" t="s">
        <v>59</v>
      </c>
      <c r="F134" s="1277">
        <f>F68</f>
        <v>0.21</v>
      </c>
      <c r="G134" s="90"/>
      <c r="H134" s="90"/>
      <c r="I134" s="90"/>
      <c r="J134" s="90"/>
      <c r="K134" s="90"/>
      <c r="L134" s="90"/>
      <c r="M134" s="90"/>
      <c r="N134" s="1220"/>
    </row>
    <row r="135" spans="1:14" x14ac:dyDescent="0.3">
      <c r="A135" s="1278" t="s">
        <v>170</v>
      </c>
      <c r="B135" s="1303"/>
      <c r="C135" s="90"/>
      <c r="E135" s="1275" t="s">
        <v>403</v>
      </c>
      <c r="F135" s="1304" t="str">
        <f>F69</f>
        <v>TIPUS</v>
      </c>
      <c r="G135" s="90"/>
      <c r="H135" s="90"/>
      <c r="I135" s="90"/>
      <c r="J135" s="90"/>
      <c r="K135" s="90"/>
      <c r="L135" s="90"/>
      <c r="M135" s="90"/>
      <c r="N135" s="1220"/>
    </row>
    <row r="136" spans="1:14" x14ac:dyDescent="0.3">
      <c r="A136" s="1279" t="s">
        <v>171</v>
      </c>
      <c r="B136" s="1280">
        <f>'Introducció dades'!G228</f>
        <v>0</v>
      </c>
      <c r="C136" s="90"/>
      <c r="E136" s="1281" t="s">
        <v>398</v>
      </c>
      <c r="F136" s="1282">
        <f>F70</f>
        <v>0.21</v>
      </c>
      <c r="G136" s="90"/>
      <c r="H136" s="90"/>
      <c r="I136" s="90"/>
      <c r="J136" s="90"/>
      <c r="K136" s="90"/>
      <c r="L136" s="90"/>
      <c r="M136" s="90"/>
      <c r="N136" s="1220"/>
    </row>
    <row r="137" spans="1:14" x14ac:dyDescent="0.3">
      <c r="A137" s="1274" t="s">
        <v>172</v>
      </c>
      <c r="B137" s="1280">
        <f>'Introducció dades'!G229</f>
        <v>0</v>
      </c>
      <c r="C137" s="90"/>
      <c r="E137" s="1283" t="s">
        <v>405</v>
      </c>
      <c r="F137" s="1277">
        <f>F71</f>
        <v>0.21</v>
      </c>
      <c r="G137" s="90"/>
      <c r="H137" s="90"/>
      <c r="I137" s="90"/>
      <c r="J137" s="90"/>
      <c r="K137" s="90"/>
      <c r="L137" s="90"/>
      <c r="M137" s="90"/>
      <c r="N137" s="1220"/>
    </row>
    <row r="138" spans="1:14" x14ac:dyDescent="0.3">
      <c r="A138" s="1284" t="s">
        <v>407</v>
      </c>
      <c r="B138" s="1280">
        <f>'Introducció dades'!G230</f>
        <v>0</v>
      </c>
      <c r="C138" s="90"/>
      <c r="D138" s="90"/>
      <c r="E138" s="90"/>
      <c r="F138" s="90"/>
      <c r="G138" s="90"/>
      <c r="H138" s="90"/>
      <c r="I138" s="90"/>
      <c r="J138" s="90"/>
      <c r="K138" s="90"/>
      <c r="L138" s="90"/>
      <c r="M138" s="90"/>
      <c r="N138" s="1220"/>
    </row>
    <row r="140" spans="1:14" x14ac:dyDescent="0.3">
      <c r="A140"/>
      <c r="B140" s="1285" t="str">
        <f>B74</f>
        <v>GENER</v>
      </c>
      <c r="C140" s="1285" t="str">
        <f t="shared" ref="C140:N140" si="34">C74</f>
        <v>FEBRER</v>
      </c>
      <c r="D140" s="1285" t="str">
        <f t="shared" si="34"/>
        <v>MARÇ</v>
      </c>
      <c r="E140" s="1285" t="str">
        <f t="shared" si="34"/>
        <v>ABRIL</v>
      </c>
      <c r="F140" s="1285" t="str">
        <f t="shared" si="34"/>
        <v>MAIG</v>
      </c>
      <c r="G140" s="1285" t="str">
        <f t="shared" si="34"/>
        <v>JUNY</v>
      </c>
      <c r="H140" s="1285" t="str">
        <f t="shared" si="34"/>
        <v>JULIOL</v>
      </c>
      <c r="I140" s="1285" t="str">
        <f t="shared" si="34"/>
        <v>AGOST</v>
      </c>
      <c r="J140" s="1285" t="str">
        <f t="shared" si="34"/>
        <v>SETEMBRE</v>
      </c>
      <c r="K140" s="1285" t="str">
        <f t="shared" si="34"/>
        <v>OCTUBRE</v>
      </c>
      <c r="L140" s="1285" t="str">
        <f t="shared" si="34"/>
        <v>NOVEMBRE</v>
      </c>
      <c r="M140" s="1285" t="str">
        <f t="shared" si="34"/>
        <v>DESEMBRE</v>
      </c>
      <c r="N140" s="1285" t="str">
        <f t="shared" si="34"/>
        <v>TOTAL</v>
      </c>
    </row>
    <row r="141" spans="1:14" s="7" customFormat="1" x14ac:dyDescent="0.3">
      <c r="A141" s="756" t="s">
        <v>408</v>
      </c>
      <c r="B141" s="1237">
        <f>'INGRESSOS _ COMPRES'!C164</f>
        <v>0</v>
      </c>
      <c r="C141" s="1237">
        <f>'INGRESSOS _ COMPRES'!D164</f>
        <v>0</v>
      </c>
      <c r="D141" s="1237">
        <f>'INGRESSOS _ COMPRES'!E164</f>
        <v>0</v>
      </c>
      <c r="E141" s="1237">
        <f>'INGRESSOS _ COMPRES'!F164</f>
        <v>0</v>
      </c>
      <c r="F141" s="1237">
        <f>'INGRESSOS _ COMPRES'!G164</f>
        <v>0</v>
      </c>
      <c r="G141" s="1237">
        <f>'INGRESSOS _ COMPRES'!H164</f>
        <v>0</v>
      </c>
      <c r="H141" s="1237">
        <f>'INGRESSOS _ COMPRES'!I164</f>
        <v>0</v>
      </c>
      <c r="I141" s="1237">
        <f>'INGRESSOS _ COMPRES'!J164</f>
        <v>0</v>
      </c>
      <c r="J141" s="1237">
        <f>'INGRESSOS _ COMPRES'!K164</f>
        <v>0</v>
      </c>
      <c r="K141" s="1237">
        <f>'INGRESSOS _ COMPRES'!L164</f>
        <v>0</v>
      </c>
      <c r="L141" s="1237">
        <f>'INGRESSOS _ COMPRES'!M164</f>
        <v>0</v>
      </c>
      <c r="M141" s="1237">
        <f>'INGRESSOS _ COMPRES'!N164</f>
        <v>0</v>
      </c>
      <c r="N141" s="1237">
        <f>SUM(B141:M141)</f>
        <v>0</v>
      </c>
    </row>
    <row r="142" spans="1:14" s="7" customFormat="1" x14ac:dyDescent="0.3">
      <c r="A142" s="756" t="s">
        <v>409</v>
      </c>
      <c r="B142" s="1237">
        <f>'INGRESSOS _ COMPRES'!C196</f>
        <v>0</v>
      </c>
      <c r="C142" s="1237">
        <f>'INGRESSOS _ COMPRES'!D196</f>
        <v>0</v>
      </c>
      <c r="D142" s="1237">
        <f>'INGRESSOS _ COMPRES'!E196</f>
        <v>0</v>
      </c>
      <c r="E142" s="1237">
        <f>'INGRESSOS _ COMPRES'!F196</f>
        <v>0</v>
      </c>
      <c r="F142" s="1237">
        <f>'INGRESSOS _ COMPRES'!G196</f>
        <v>0</v>
      </c>
      <c r="G142" s="1237">
        <f>'INGRESSOS _ COMPRES'!H196</f>
        <v>0</v>
      </c>
      <c r="H142" s="1237">
        <f>'INGRESSOS _ COMPRES'!I196</f>
        <v>0</v>
      </c>
      <c r="I142" s="1237">
        <f>'INGRESSOS _ COMPRES'!J196</f>
        <v>0</v>
      </c>
      <c r="J142" s="1237">
        <f>'INGRESSOS _ COMPRES'!K196</f>
        <v>0</v>
      </c>
      <c r="K142" s="1237">
        <f>'INGRESSOS _ COMPRES'!L196</f>
        <v>0</v>
      </c>
      <c r="L142" s="1237">
        <f>'INGRESSOS _ COMPRES'!M196</f>
        <v>0</v>
      </c>
      <c r="M142" s="1237">
        <f>'INGRESSOS _ COMPRES'!N196</f>
        <v>0</v>
      </c>
      <c r="N142" s="1237">
        <f t="shared" ref="N142:N163" si="35">SUM(B142:M142)</f>
        <v>0</v>
      </c>
    </row>
    <row r="143" spans="1:14" x14ac:dyDescent="0.3">
      <c r="A143" s="1286" t="s">
        <v>410</v>
      </c>
      <c r="B143" s="1239">
        <f>SUM(B144:B153)+B159</f>
        <v>0</v>
      </c>
      <c r="C143" s="1239">
        <f t="shared" ref="C143:M143" si="36">SUM(C144:C153)+C159</f>
        <v>0</v>
      </c>
      <c r="D143" s="1239">
        <f t="shared" si="36"/>
        <v>0</v>
      </c>
      <c r="E143" s="1239">
        <f t="shared" si="36"/>
        <v>0</v>
      </c>
      <c r="F143" s="1239">
        <f t="shared" si="36"/>
        <v>0</v>
      </c>
      <c r="G143" s="1239">
        <f t="shared" si="36"/>
        <v>0</v>
      </c>
      <c r="H143" s="1239">
        <f t="shared" si="36"/>
        <v>0</v>
      </c>
      <c r="I143" s="1239">
        <f t="shared" si="36"/>
        <v>0</v>
      </c>
      <c r="J143" s="1239">
        <f t="shared" si="36"/>
        <v>0</v>
      </c>
      <c r="K143" s="1239">
        <f t="shared" si="36"/>
        <v>0</v>
      </c>
      <c r="L143" s="1239">
        <f t="shared" si="36"/>
        <v>0</v>
      </c>
      <c r="M143" s="1239">
        <f t="shared" si="36"/>
        <v>0</v>
      </c>
      <c r="N143" s="1240">
        <f t="shared" si="35"/>
        <v>0</v>
      </c>
    </row>
    <row r="144" spans="1:14" ht="12.5" x14ac:dyDescent="0.25">
      <c r="A144" s="1287" t="s">
        <v>398</v>
      </c>
      <c r="B144" s="1242">
        <f>IF(OR(Fiscalitat!$H$21="a",Fiscalitat!$H$21="B",Fiscalitat!$H$21="D"),'Introducció dades'!C269*(1+$F$6),'Introducció dades'!C269)</f>
        <v>0</v>
      </c>
      <c r="C144" s="1242">
        <f>IF(OR(Fiscalitat!$H$21="a",Fiscalitat!$H$21="B",Fiscalitat!$H$21="D"),'Introducció dades'!D269*(1+$F$6),'Introducció dades'!D269)</f>
        <v>0</v>
      </c>
      <c r="D144" s="1242">
        <f>IF(OR(Fiscalitat!$H$21="a",Fiscalitat!$H$21="B",Fiscalitat!$H$21="D"),'Introducció dades'!E269*(1+$F$6),'Introducció dades'!E269)</f>
        <v>0</v>
      </c>
      <c r="E144" s="1242">
        <f>IF(OR(Fiscalitat!$H$21="a",Fiscalitat!$H$21="B",Fiscalitat!$H$21="D"),'Introducció dades'!F269*(1+$F$6),'Introducció dades'!F269)</f>
        <v>0</v>
      </c>
      <c r="F144" s="1242">
        <f>IF(OR(Fiscalitat!$H$21="a",Fiscalitat!$H$21="B",Fiscalitat!$H$21="D"),'Introducció dades'!G269*(1+$F$6),'Introducció dades'!G269)</f>
        <v>0</v>
      </c>
      <c r="G144" s="1242">
        <f>IF(OR(Fiscalitat!$H$21="a",Fiscalitat!$H$21="B",Fiscalitat!$H$21="D"),'Introducció dades'!H269*(1+$F$6),'Introducció dades'!H269)</f>
        <v>0</v>
      </c>
      <c r="H144" s="1242">
        <f>IF(OR(Fiscalitat!$H$21="a",Fiscalitat!$H$21="B",Fiscalitat!$H$21="D"),'Introducció dades'!I269*(1+$F$6),'Introducció dades'!I269)</f>
        <v>0</v>
      </c>
      <c r="I144" s="1242">
        <f>IF(OR(Fiscalitat!$H$21="a",Fiscalitat!$H$21="B",Fiscalitat!$H$21="D"),'Introducció dades'!J269*(1+$F$6),'Introducció dades'!J269)</f>
        <v>0</v>
      </c>
      <c r="J144" s="1242">
        <f>IF(OR(Fiscalitat!$H$21="a",Fiscalitat!$H$21="B",Fiscalitat!$H$21="D"),'Introducció dades'!K269*(1+$F$6),'Introducció dades'!K269)</f>
        <v>0</v>
      </c>
      <c r="K144" s="1242">
        <f>IF(OR(Fiscalitat!$H$21="a",Fiscalitat!$H$21="B",Fiscalitat!$H$21="D"),'Introducció dades'!L269*(1+$F$6),'Introducció dades'!L269)</f>
        <v>0</v>
      </c>
      <c r="L144" s="1242">
        <f>IF(OR(Fiscalitat!$H$21="a",Fiscalitat!$H$21="B",Fiscalitat!$H$21="D"),'Introducció dades'!M269*(1+$F$6),'Introducció dades'!M269)</f>
        <v>0</v>
      </c>
      <c r="M144" s="1242">
        <f>IF(OR(Fiscalitat!$H$21="a",Fiscalitat!$H$21="B",Fiscalitat!$H$21="D"),'Introducció dades'!N269*(1+$F$6),'Introducció dades'!N269)</f>
        <v>0</v>
      </c>
      <c r="N144" s="1243">
        <f t="shared" si="35"/>
        <v>0</v>
      </c>
    </row>
    <row r="145" spans="1:14" ht="12.5" x14ac:dyDescent="0.25">
      <c r="A145" s="1287" t="s">
        <v>717</v>
      </c>
      <c r="B145" s="1242">
        <f>+LEASING!$G40</f>
        <v>0</v>
      </c>
      <c r="C145" s="1242">
        <f>+LEASING!$G41</f>
        <v>0</v>
      </c>
      <c r="D145" s="1242">
        <f>+LEASING!$G42</f>
        <v>0</v>
      </c>
      <c r="E145" s="1242">
        <f>+LEASING!$G43</f>
        <v>0</v>
      </c>
      <c r="F145" s="1242">
        <f>+LEASING!$G44</f>
        <v>0</v>
      </c>
      <c r="G145" s="1242">
        <f>+LEASING!$G45</f>
        <v>0</v>
      </c>
      <c r="H145" s="1242">
        <f>+LEASING!$G46</f>
        <v>0</v>
      </c>
      <c r="I145" s="1242">
        <f>+LEASING!$G47</f>
        <v>0</v>
      </c>
      <c r="J145" s="1242">
        <f>+LEASING!$G48</f>
        <v>0</v>
      </c>
      <c r="K145" s="1242">
        <f>+LEASING!$G49</f>
        <v>0</v>
      </c>
      <c r="L145" s="1242">
        <f>+LEASING!$G50</f>
        <v>0</v>
      </c>
      <c r="M145" s="1242">
        <f>+LEASING!$G51</f>
        <v>0</v>
      </c>
      <c r="N145" s="1243">
        <f t="shared" si="35"/>
        <v>0</v>
      </c>
    </row>
    <row r="146" spans="1:14" ht="12.5" x14ac:dyDescent="0.25">
      <c r="A146" s="1288" t="s">
        <v>175</v>
      </c>
      <c r="B146" s="1242">
        <f>IF(OR(Fiscalitat!$H$21="a",Fiscalitat!$H$21="B",Fiscalitat!$H$21="D"),'Introducció dades'!C270*(1+$F$6),'Introducció dades'!C270)</f>
        <v>0</v>
      </c>
      <c r="C146" s="1242">
        <f>IF(OR(Fiscalitat!$H$21="a",Fiscalitat!$H$21="B",Fiscalitat!$H$21="D"),'Introducció dades'!D270*(1+$F$6),'Introducció dades'!D270)</f>
        <v>0</v>
      </c>
      <c r="D146" s="1242">
        <f>IF(OR(Fiscalitat!$H$21="a",Fiscalitat!$H$21="B",Fiscalitat!$H$21="D"),'Introducció dades'!E270*(1+$F$6),'Introducció dades'!E270)</f>
        <v>0</v>
      </c>
      <c r="E146" s="1242">
        <f>IF(OR(Fiscalitat!$H$21="a",Fiscalitat!$H$21="B",Fiscalitat!$H$21="D"),'Introducció dades'!F270*(1+$F$6),'Introducció dades'!F270)</f>
        <v>0</v>
      </c>
      <c r="F146" s="1242">
        <f>IF(OR(Fiscalitat!$H$21="a",Fiscalitat!$H$21="B",Fiscalitat!$H$21="D"),'Introducció dades'!G270*(1+$F$6),'Introducció dades'!G270)</f>
        <v>0</v>
      </c>
      <c r="G146" s="1242">
        <f>IF(OR(Fiscalitat!$H$21="a",Fiscalitat!$H$21="B",Fiscalitat!$H$21="D"),'Introducció dades'!H270*(1+$F$6),'Introducció dades'!H270)</f>
        <v>0</v>
      </c>
      <c r="H146" s="1242">
        <f>IF(OR(Fiscalitat!$H$21="a",Fiscalitat!$H$21="B",Fiscalitat!$H$21="D"),'Introducció dades'!I270*(1+$F$6),'Introducció dades'!I270)</f>
        <v>0</v>
      </c>
      <c r="I146" s="1242">
        <f>IF(OR(Fiscalitat!$H$21="a",Fiscalitat!$H$21="B",Fiscalitat!$H$21="D"),'Introducció dades'!J270*(1+$F$6),'Introducció dades'!J270)</f>
        <v>0</v>
      </c>
      <c r="J146" s="1242">
        <f>IF(OR(Fiscalitat!$H$21="a",Fiscalitat!$H$21="B",Fiscalitat!$H$21="D"),'Introducció dades'!K270*(1+$F$6),'Introducció dades'!K270)</f>
        <v>0</v>
      </c>
      <c r="K146" s="1242">
        <f>IF(OR(Fiscalitat!$H$21="a",Fiscalitat!$H$21="B",Fiscalitat!$H$21="D"),'Introducció dades'!L270*(1+$F$6),'Introducció dades'!L270)</f>
        <v>0</v>
      </c>
      <c r="L146" s="1242">
        <f>IF(OR(Fiscalitat!$H$21="a",Fiscalitat!$H$21="B",Fiscalitat!$H$21="D"),'Introducció dades'!M270*(1+$F$6),'Introducció dades'!M270)</f>
        <v>0</v>
      </c>
      <c r="M146" s="1242">
        <f>IF(OR(Fiscalitat!$H$21="a",Fiscalitat!$H$21="B",Fiscalitat!$H$21="D"),'Introducció dades'!N270*(1+$F$6),'Introducció dades'!N270)</f>
        <v>0</v>
      </c>
      <c r="N146" s="1243">
        <f t="shared" si="35"/>
        <v>0</v>
      </c>
    </row>
    <row r="147" spans="1:14" ht="12.5" x14ac:dyDescent="0.25">
      <c r="A147" s="1288" t="s">
        <v>399</v>
      </c>
      <c r="B147" s="1242">
        <f>IF(OR(Fiscalitat!$H$21="a",Fiscalitat!$H$21="B",Fiscalitat!$H$21="D"),'Introducció dades'!C271*(1+$F$6),'Introducció dades'!C271)</f>
        <v>0</v>
      </c>
      <c r="C147" s="1242">
        <f>IF(OR(Fiscalitat!$H$21="a",Fiscalitat!$H$21="B",Fiscalitat!$H$21="D"),'Introducció dades'!D271*(1+$F$6),'Introducció dades'!D271)</f>
        <v>0</v>
      </c>
      <c r="D147" s="1242">
        <f>IF(OR(Fiscalitat!$H$21="a",Fiscalitat!$H$21="B",Fiscalitat!$H$21="D"),'Introducció dades'!E271*(1+$F$6),'Introducció dades'!E271)</f>
        <v>0</v>
      </c>
      <c r="E147" s="1242">
        <f>IF(OR(Fiscalitat!$H$21="a",Fiscalitat!$H$21="B",Fiscalitat!$H$21="D"),'Introducció dades'!F271*(1+$F$6),'Introducció dades'!F271)</f>
        <v>0</v>
      </c>
      <c r="F147" s="1242">
        <f>IF(OR(Fiscalitat!$H$21="a",Fiscalitat!$H$21="B",Fiscalitat!$H$21="D"),'Introducció dades'!G271*(1+$F$6),'Introducció dades'!G271)</f>
        <v>0</v>
      </c>
      <c r="G147" s="1242">
        <f>IF(OR(Fiscalitat!$H$21="a",Fiscalitat!$H$21="B",Fiscalitat!$H$21="D"),'Introducció dades'!H271*(1+$F$6),'Introducció dades'!H271)</f>
        <v>0</v>
      </c>
      <c r="H147" s="1242">
        <f>IF(OR(Fiscalitat!$H$21="a",Fiscalitat!$H$21="B",Fiscalitat!$H$21="D"),'Introducció dades'!I271*(1+$F$6),'Introducció dades'!I271)</f>
        <v>0</v>
      </c>
      <c r="I147" s="1242">
        <f>IF(OR(Fiscalitat!$H$21="a",Fiscalitat!$H$21="B",Fiscalitat!$H$21="D"),'Introducció dades'!J271*(1+$F$6),'Introducció dades'!J271)</f>
        <v>0</v>
      </c>
      <c r="J147" s="1242">
        <f>IF(OR(Fiscalitat!$H$21="a",Fiscalitat!$H$21="B",Fiscalitat!$H$21="D"),'Introducció dades'!K271*(1+$F$6),'Introducció dades'!K271)</f>
        <v>0</v>
      </c>
      <c r="K147" s="1242">
        <f>IF(OR(Fiscalitat!$H$21="a",Fiscalitat!$H$21="B",Fiscalitat!$H$21="D"),'Introducció dades'!L271*(1+$F$6),'Introducció dades'!L271)</f>
        <v>0</v>
      </c>
      <c r="L147" s="1242">
        <f>IF(OR(Fiscalitat!$H$21="a",Fiscalitat!$H$21="B",Fiscalitat!$H$21="D"),'Introducció dades'!M271*(1+$F$6),'Introducció dades'!M271)</f>
        <v>0</v>
      </c>
      <c r="M147" s="1242">
        <f>IF(OR(Fiscalitat!$H$21="a",Fiscalitat!$H$21="B",Fiscalitat!$H$21="D"),'Introducció dades'!N271*(1+$F$6),'Introducció dades'!N271)</f>
        <v>0</v>
      </c>
      <c r="N147" s="1243">
        <f t="shared" si="35"/>
        <v>0</v>
      </c>
    </row>
    <row r="148" spans="1:14" ht="12.5" x14ac:dyDescent="0.25">
      <c r="A148" s="1288" t="s">
        <v>411</v>
      </c>
      <c r="B148" s="1245">
        <f>B141*$B132*$C132</f>
        <v>0</v>
      </c>
      <c r="C148" s="1245">
        <f>C141*$B132*$C132</f>
        <v>0</v>
      </c>
      <c r="D148" s="1245">
        <f t="shared" ref="D148:M148" si="37">D141*$B132*$C132</f>
        <v>0</v>
      </c>
      <c r="E148" s="1245">
        <f t="shared" si="37"/>
        <v>0</v>
      </c>
      <c r="F148" s="1245">
        <f t="shared" si="37"/>
        <v>0</v>
      </c>
      <c r="G148" s="1245">
        <f t="shared" si="37"/>
        <v>0</v>
      </c>
      <c r="H148" s="1245">
        <f t="shared" si="37"/>
        <v>0</v>
      </c>
      <c r="I148" s="1245">
        <f t="shared" si="37"/>
        <v>0</v>
      </c>
      <c r="J148" s="1245">
        <f t="shared" si="37"/>
        <v>0</v>
      </c>
      <c r="K148" s="1245">
        <f t="shared" si="37"/>
        <v>0</v>
      </c>
      <c r="L148" s="1245">
        <f t="shared" si="37"/>
        <v>0</v>
      </c>
      <c r="M148" s="1245">
        <f t="shared" si="37"/>
        <v>0</v>
      </c>
      <c r="N148" s="1243">
        <f t="shared" si="35"/>
        <v>0</v>
      </c>
    </row>
    <row r="149" spans="1:14" ht="12.5" x14ac:dyDescent="0.25">
      <c r="A149" s="1288" t="s">
        <v>177</v>
      </c>
      <c r="B149" s="1242">
        <f>IF(OR(Fiscalitat!$H$21="a",Fiscalitat!$H$21="B",Fiscalitat!$H$21="D"),'Introducció dades'!C272*(1+$F$6),'Introducció dades'!C272)</f>
        <v>0</v>
      </c>
      <c r="C149" s="1242">
        <f>IF(OR(Fiscalitat!$H$21="a",Fiscalitat!$H$21="B",Fiscalitat!$H$21="D"),'Introducció dades'!D272*(1+$F$6),'Introducció dades'!D272)</f>
        <v>0</v>
      </c>
      <c r="D149" s="1242">
        <f>IF(OR(Fiscalitat!$H$21="a",Fiscalitat!$H$21="B",Fiscalitat!$H$21="D"),'Introducció dades'!E272*(1+$F$6),'Introducció dades'!E272)</f>
        <v>0</v>
      </c>
      <c r="E149" s="1242">
        <f>IF(OR(Fiscalitat!$H$21="a",Fiscalitat!$H$21="B",Fiscalitat!$H$21="D"),'Introducció dades'!F272*(1+$F$6),'Introducció dades'!F272)</f>
        <v>0</v>
      </c>
      <c r="F149" s="1242">
        <f>IF(OR(Fiscalitat!$H$21="a",Fiscalitat!$H$21="B",Fiscalitat!$H$21="D"),'Introducció dades'!G272*(1+$F$6),'Introducció dades'!G272)</f>
        <v>0</v>
      </c>
      <c r="G149" s="1242">
        <f>IF(OR(Fiscalitat!$H$21="a",Fiscalitat!$H$21="B",Fiscalitat!$H$21="D"),'Introducció dades'!H272*(1+$F$6),'Introducció dades'!H272)</f>
        <v>0</v>
      </c>
      <c r="H149" s="1242">
        <f>IF(OR(Fiscalitat!$H$21="a",Fiscalitat!$H$21="B",Fiscalitat!$H$21="D"),'Introducció dades'!I272*(1+$F$6),'Introducció dades'!I272)</f>
        <v>0</v>
      </c>
      <c r="I149" s="1242">
        <f>IF(OR(Fiscalitat!$H$21="a",Fiscalitat!$H$21="B",Fiscalitat!$H$21="D"),'Introducció dades'!J272*(1+$F$6),'Introducció dades'!J272)</f>
        <v>0</v>
      </c>
      <c r="J149" s="1242">
        <f>IF(OR(Fiscalitat!$H$21="a",Fiscalitat!$H$21="B",Fiscalitat!$H$21="D"),'Introducció dades'!K272*(1+$F$6),'Introducció dades'!K272)</f>
        <v>0</v>
      </c>
      <c r="K149" s="1242">
        <f>IF(OR(Fiscalitat!$H$21="a",Fiscalitat!$H$21="B",Fiscalitat!$H$21="D"),'Introducció dades'!L272*(1+$F$6),'Introducció dades'!L272)</f>
        <v>0</v>
      </c>
      <c r="L149" s="1242">
        <f>IF(OR(Fiscalitat!$H$21="a",Fiscalitat!$H$21="B",Fiscalitat!$H$21="D"),'Introducció dades'!M272*(1+$F$6),'Introducció dades'!M272)</f>
        <v>0</v>
      </c>
      <c r="M149" s="1242">
        <f>IF(OR(Fiscalitat!$H$21="a",Fiscalitat!$H$21="B",Fiscalitat!$H$21="D"),'Introducció dades'!N272*(1+$F$6),'Introducció dades'!N272)</f>
        <v>0</v>
      </c>
      <c r="N149" s="1243">
        <f t="shared" si="35"/>
        <v>0</v>
      </c>
    </row>
    <row r="150" spans="1:14" ht="12.5" x14ac:dyDescent="0.25">
      <c r="A150" s="1288" t="s">
        <v>412</v>
      </c>
      <c r="B150" s="1242">
        <f>IF(OR(Fiscalitat!$H$21="a",Fiscalitat!$H$21="B",Fiscalitat!$H$21="D"),'Introducció dades'!C273*(1+$F$6),'Introducció dades'!C273)</f>
        <v>0</v>
      </c>
      <c r="C150" s="1242">
        <f>IF(OR(Fiscalitat!$H$21="a",Fiscalitat!$H$21="B",Fiscalitat!$H$21="D"),'Introducció dades'!D273*(1+$F$6),'Introducció dades'!D273)</f>
        <v>0</v>
      </c>
      <c r="D150" s="1242">
        <f>IF(OR(Fiscalitat!$H$21="a",Fiscalitat!$H$21="B",Fiscalitat!$H$21="D"),'Introducció dades'!E273*(1+$F$6),'Introducció dades'!E273)</f>
        <v>0</v>
      </c>
      <c r="E150" s="1242">
        <f>IF(OR(Fiscalitat!$H$21="a",Fiscalitat!$H$21="B",Fiscalitat!$H$21="D"),'Introducció dades'!F273*(1+$F$6),'Introducció dades'!F273)</f>
        <v>0</v>
      </c>
      <c r="F150" s="1242">
        <f>IF(OR(Fiscalitat!$H$21="a",Fiscalitat!$H$21="B",Fiscalitat!$H$21="D"),'Introducció dades'!G273*(1+$F$6),'Introducció dades'!G273)</f>
        <v>0</v>
      </c>
      <c r="G150" s="1242">
        <f>IF(OR(Fiscalitat!$H$21="a",Fiscalitat!$H$21="B",Fiscalitat!$H$21="D"),'Introducció dades'!H273*(1+$F$6),'Introducció dades'!H273)</f>
        <v>0</v>
      </c>
      <c r="H150" s="1242">
        <f>IF(OR(Fiscalitat!$H$21="a",Fiscalitat!$H$21="B",Fiscalitat!$H$21="D"),'Introducció dades'!I273*(1+$F$6),'Introducció dades'!I273)</f>
        <v>0</v>
      </c>
      <c r="I150" s="1242">
        <f>IF(OR(Fiscalitat!$H$21="a",Fiscalitat!$H$21="B",Fiscalitat!$H$21="D"),'Introducció dades'!J273*(1+$F$6),'Introducció dades'!J273)</f>
        <v>0</v>
      </c>
      <c r="J150" s="1242">
        <f>IF(OR(Fiscalitat!$H$21="a",Fiscalitat!$H$21="B",Fiscalitat!$H$21="D"),'Introducció dades'!K273*(1+$F$6),'Introducció dades'!K273)</f>
        <v>0</v>
      </c>
      <c r="K150" s="1242">
        <f>IF(OR(Fiscalitat!$H$21="a",Fiscalitat!$H$21="B",Fiscalitat!$H$21="D"),'Introducció dades'!L273*(1+$F$6),'Introducció dades'!L273)</f>
        <v>0</v>
      </c>
      <c r="L150" s="1242">
        <f>IF(OR(Fiscalitat!$H$21="a",Fiscalitat!$H$21="B",Fiscalitat!$H$21="D"),'Introducció dades'!M273*(1+$F$6),'Introducció dades'!M273)</f>
        <v>0</v>
      </c>
      <c r="M150" s="1242">
        <f>IF(OR(Fiscalitat!$H$21="a",Fiscalitat!$H$21="B",Fiscalitat!$H$21="D"),'Introducció dades'!N273*(1+$F$6),'Introducció dades'!N273)</f>
        <v>0</v>
      </c>
      <c r="N150" s="1243">
        <f t="shared" si="35"/>
        <v>0</v>
      </c>
    </row>
    <row r="151" spans="1:14" ht="12.5" x14ac:dyDescent="0.25">
      <c r="A151" s="1288" t="s">
        <v>413</v>
      </c>
      <c r="B151" s="1245">
        <f>B141*$B133*$C133</f>
        <v>0</v>
      </c>
      <c r="C151" s="1245">
        <f>C141*$B133*$C133</f>
        <v>0</v>
      </c>
      <c r="D151" s="1245">
        <f t="shared" ref="D151:M151" si="38">D141*$B133*$C133</f>
        <v>0</v>
      </c>
      <c r="E151" s="1245">
        <f t="shared" si="38"/>
        <v>0</v>
      </c>
      <c r="F151" s="1245">
        <f t="shared" si="38"/>
        <v>0</v>
      </c>
      <c r="G151" s="1245">
        <f t="shared" si="38"/>
        <v>0</v>
      </c>
      <c r="H151" s="1245">
        <f t="shared" si="38"/>
        <v>0</v>
      </c>
      <c r="I151" s="1245">
        <f t="shared" si="38"/>
        <v>0</v>
      </c>
      <c r="J151" s="1245">
        <f t="shared" si="38"/>
        <v>0</v>
      </c>
      <c r="K151" s="1245">
        <f t="shared" si="38"/>
        <v>0</v>
      </c>
      <c r="L151" s="1245">
        <f t="shared" si="38"/>
        <v>0</v>
      </c>
      <c r="M151" s="1245">
        <f t="shared" si="38"/>
        <v>0</v>
      </c>
      <c r="N151" s="1243">
        <f t="shared" si="35"/>
        <v>0</v>
      </c>
    </row>
    <row r="152" spans="1:14" ht="12.5" x14ac:dyDescent="0.25">
      <c r="A152" s="1288" t="s">
        <v>170</v>
      </c>
      <c r="B152" s="1245">
        <f>IF(OR(Fiscalitat!$H$21="a",Fiscalitat!$H$21="B",Fiscalitat!$H$21="D"),B141*$B137+$B136*(1+$F$6),B141*$B137+$B136)</f>
        <v>0</v>
      </c>
      <c r="C152" s="1245">
        <f>IF(OR(Fiscalitat!$H$21="a",Fiscalitat!$H$21="B",Fiscalitat!$H$21="D"),C141*$B137+$B136*(1+$F$6),C141*$B137+$B136)</f>
        <v>0</v>
      </c>
      <c r="D152" s="1245">
        <f>IF(OR(Fiscalitat!$H$21="a",Fiscalitat!$H$21="B",Fiscalitat!$H$21="D"),D141*$B137+$B136*(1+$F$6),D141*$B137+$B136)</f>
        <v>0</v>
      </c>
      <c r="E152" s="1245">
        <f>IF(OR(Fiscalitat!$H$21="a",Fiscalitat!$H$21="B",Fiscalitat!$H$21="D"),E141*$B137+$B136*(1+$F$6),E141*$B137+$B136)</f>
        <v>0</v>
      </c>
      <c r="F152" s="1245">
        <f>IF(OR(Fiscalitat!$H$21="a",Fiscalitat!$H$21="B",Fiscalitat!$H$21="D"),F141*$B137+$B136*(1+$F$6),F141*$B137+$B136)</f>
        <v>0</v>
      </c>
      <c r="G152" s="1245">
        <f>IF(OR(Fiscalitat!$H$21="a",Fiscalitat!$H$21="B",Fiscalitat!$H$21="D"),G141*$B137+$B136*(1+$F$6),G141*$B137+$B136)</f>
        <v>0</v>
      </c>
      <c r="H152" s="1245">
        <f>IF(OR(Fiscalitat!$H$21="a",Fiscalitat!$H$21="B",Fiscalitat!$H$21="D"),H141*$B137+$B136*(1+$F$6),H141*$B137+$B136)</f>
        <v>0</v>
      </c>
      <c r="I152" s="1245">
        <f>IF(OR(Fiscalitat!$H$21="a",Fiscalitat!$H$21="B",Fiscalitat!$H$21="D"),I141*$B137+$B136*(1+$F$6),I141*$B137+$B136)</f>
        <v>0</v>
      </c>
      <c r="J152" s="1245">
        <f>IF(OR(Fiscalitat!$H$21="a",Fiscalitat!$H$21="B",Fiscalitat!$H$21="D"),J141*$B137+$B136*(1+$F$6),J141*$B137+$B136)</f>
        <v>0</v>
      </c>
      <c r="K152" s="1245">
        <f>IF(OR(Fiscalitat!$H$21="a",Fiscalitat!$H$21="B",Fiscalitat!$H$21="D"),K141*$B137+$B136*(1+$F$6),K141*$B137+$B136)</f>
        <v>0</v>
      </c>
      <c r="L152" s="1245">
        <f>IF(OR(Fiscalitat!$H$21="a",Fiscalitat!$H$21="B",Fiscalitat!$H$21="D"),L141*$B137+$B136*(1+$F$6),L141*$B137+$B136)</f>
        <v>0</v>
      </c>
      <c r="M152" s="1245">
        <f>IF(OR(Fiscalitat!$H$21="a",Fiscalitat!$H$21="B",Fiscalitat!$H$21="D"),M141*$B137+$B136*(1+$F$6),M141*$B137+$B136)</f>
        <v>0</v>
      </c>
      <c r="N152" s="1243">
        <f t="shared" si="35"/>
        <v>0</v>
      </c>
    </row>
    <row r="153" spans="1:14" ht="12.5" x14ac:dyDescent="0.25">
      <c r="A153" s="1288" t="s">
        <v>179</v>
      </c>
      <c r="B153" s="1246">
        <f>SUM(B154:B158)</f>
        <v>0</v>
      </c>
      <c r="C153" s="1246">
        <f t="shared" ref="C153:M153" si="39">SUM(C154:C158)</f>
        <v>0</v>
      </c>
      <c r="D153" s="1246">
        <f t="shared" si="39"/>
        <v>0</v>
      </c>
      <c r="E153" s="1246">
        <f t="shared" si="39"/>
        <v>0</v>
      </c>
      <c r="F153" s="1246">
        <f t="shared" si="39"/>
        <v>0</v>
      </c>
      <c r="G153" s="1246">
        <f t="shared" si="39"/>
        <v>0</v>
      </c>
      <c r="H153" s="1246">
        <f t="shared" si="39"/>
        <v>0</v>
      </c>
      <c r="I153" s="1246">
        <f t="shared" si="39"/>
        <v>0</v>
      </c>
      <c r="J153" s="1246">
        <f t="shared" si="39"/>
        <v>0</v>
      </c>
      <c r="K153" s="1246">
        <f t="shared" si="39"/>
        <v>0</v>
      </c>
      <c r="L153" s="1246">
        <f t="shared" si="39"/>
        <v>0</v>
      </c>
      <c r="M153" s="1246">
        <f t="shared" si="39"/>
        <v>0</v>
      </c>
      <c r="N153" s="1243">
        <f t="shared" si="35"/>
        <v>0</v>
      </c>
    </row>
    <row r="154" spans="1:14" ht="12.5" x14ac:dyDescent="0.25">
      <c r="A154" s="1288" t="s">
        <v>180</v>
      </c>
      <c r="B154" s="1242">
        <f>IF(OR(Fiscalitat!$H$21="a",Fiscalitat!$H$21="B",Fiscalitat!$H$21="D"),'Introducció dades'!C275*(1+$F$6),'Introducció dades'!C275)</f>
        <v>0</v>
      </c>
      <c r="C154" s="1242">
        <f>IF(OR(Fiscalitat!$H$21="a",Fiscalitat!$H$21="B",Fiscalitat!$H$21="D"),'Introducció dades'!D275*(1+$F$6),'Introducció dades'!D275)</f>
        <v>0</v>
      </c>
      <c r="D154" s="1242">
        <f>IF(OR(Fiscalitat!$H$21="a",Fiscalitat!$H$21="B",Fiscalitat!$H$21="D"),'Introducció dades'!E275*(1+$F$6),'Introducció dades'!E275)</f>
        <v>0</v>
      </c>
      <c r="E154" s="1242">
        <f>IF(OR(Fiscalitat!$H$21="a",Fiscalitat!$H$21="B",Fiscalitat!$H$21="D"),'Introducció dades'!F275*(1+$F$6),'Introducció dades'!F275)</f>
        <v>0</v>
      </c>
      <c r="F154" s="1242">
        <f>IF(OR(Fiscalitat!$H$21="a",Fiscalitat!$H$21="B",Fiscalitat!$H$21="D"),'Introducció dades'!G275*(1+$F$6),'Introducció dades'!G275)</f>
        <v>0</v>
      </c>
      <c r="G154" s="1242">
        <f>IF(OR(Fiscalitat!$H$21="a",Fiscalitat!$H$21="B",Fiscalitat!$H$21="D"),'Introducció dades'!H275*(1+$F$6),'Introducció dades'!H275)</f>
        <v>0</v>
      </c>
      <c r="H154" s="1242">
        <f>IF(OR(Fiscalitat!$H$21="a",Fiscalitat!$H$21="B",Fiscalitat!$H$21="D"),'Introducció dades'!I275*(1+$F$6),'Introducció dades'!I275)</f>
        <v>0</v>
      </c>
      <c r="I154" s="1242">
        <f>IF(OR(Fiscalitat!$H$21="a",Fiscalitat!$H$21="B",Fiscalitat!$H$21="D"),'Introducció dades'!J275*(1+$F$6),'Introducció dades'!J275)</f>
        <v>0</v>
      </c>
      <c r="J154" s="1242">
        <f>IF(OR(Fiscalitat!$H$21="a",Fiscalitat!$H$21="B",Fiscalitat!$H$21="D"),'Introducció dades'!K275*(1+$F$6),'Introducció dades'!K275)</f>
        <v>0</v>
      </c>
      <c r="K154" s="1242">
        <f>IF(OR(Fiscalitat!$H$21="a",Fiscalitat!$H$21="B",Fiscalitat!$H$21="D"),'Introducció dades'!L275*(1+$F$6),'Introducció dades'!L275)</f>
        <v>0</v>
      </c>
      <c r="L154" s="1242">
        <f>IF(OR(Fiscalitat!$H$21="a",Fiscalitat!$H$21="B",Fiscalitat!$H$21="D"),'Introducció dades'!M275*(1+$F$6),'Introducció dades'!M275)</f>
        <v>0</v>
      </c>
      <c r="M154" s="1242">
        <f>IF(OR(Fiscalitat!$H$21="a",Fiscalitat!$H$21="B",Fiscalitat!$H$21="D"),'Introducció dades'!N275*(1+$F$6),'Introducció dades'!N275)</f>
        <v>0</v>
      </c>
      <c r="N154" s="1243">
        <f t="shared" si="35"/>
        <v>0</v>
      </c>
    </row>
    <row r="155" spans="1:14" ht="12.5" x14ac:dyDescent="0.25">
      <c r="A155" s="1288" t="s">
        <v>181</v>
      </c>
      <c r="B155" s="1242">
        <f>IF(OR(Fiscalitat!$H$21="a",Fiscalitat!$H$21="B",Fiscalitat!$H$21="D"),'Introducció dades'!C276*(1+$F$6),'Introducció dades'!C276)</f>
        <v>0</v>
      </c>
      <c r="C155" s="1242">
        <f>IF(OR(Fiscalitat!$H$21="a",Fiscalitat!$H$21="B",Fiscalitat!$H$21="D"),'Introducció dades'!D276*(1+$F$6),'Introducció dades'!D276)</f>
        <v>0</v>
      </c>
      <c r="D155" s="1242">
        <f>IF(OR(Fiscalitat!$H$21="a",Fiscalitat!$H$21="B",Fiscalitat!$H$21="D"),'Introducció dades'!E276*(1+$F$6),'Introducció dades'!E276)</f>
        <v>0</v>
      </c>
      <c r="E155" s="1242">
        <f>IF(OR(Fiscalitat!$H$21="a",Fiscalitat!$H$21="B",Fiscalitat!$H$21="D"),'Introducció dades'!F276*(1+$F$6),'Introducció dades'!F276)</f>
        <v>0</v>
      </c>
      <c r="F155" s="1242">
        <f>IF(OR(Fiscalitat!$H$21="a",Fiscalitat!$H$21="B",Fiscalitat!$H$21="D"),'Introducció dades'!G276*(1+$F$6),'Introducció dades'!G276)</f>
        <v>0</v>
      </c>
      <c r="G155" s="1242">
        <f>IF(OR(Fiscalitat!$H$21="a",Fiscalitat!$H$21="B",Fiscalitat!$H$21="D"),'Introducció dades'!H276*(1+$F$6),'Introducció dades'!H276)</f>
        <v>0</v>
      </c>
      <c r="H155" s="1242">
        <f>IF(OR(Fiscalitat!$H$21="a",Fiscalitat!$H$21="B",Fiscalitat!$H$21="D"),'Introducció dades'!I276*(1+$F$6),'Introducció dades'!I276)</f>
        <v>0</v>
      </c>
      <c r="I155" s="1242">
        <f>IF(OR(Fiscalitat!$H$21="a",Fiscalitat!$H$21="B",Fiscalitat!$H$21="D"),'Introducció dades'!J276*(1+$F$6),'Introducció dades'!J276)</f>
        <v>0</v>
      </c>
      <c r="J155" s="1242">
        <f>IF(OR(Fiscalitat!$H$21="a",Fiscalitat!$H$21="B",Fiscalitat!$H$21="D"),'Introducció dades'!K276*(1+$F$6),'Introducció dades'!K276)</f>
        <v>0</v>
      </c>
      <c r="K155" s="1242">
        <f>IF(OR(Fiscalitat!$H$21="a",Fiscalitat!$H$21="B",Fiscalitat!$H$21="D"),'Introducció dades'!L276*(1+$F$6),'Introducció dades'!L276)</f>
        <v>0</v>
      </c>
      <c r="L155" s="1242">
        <f>IF(OR(Fiscalitat!$H$21="a",Fiscalitat!$H$21="B",Fiscalitat!$H$21="D"),'Introducció dades'!M276*(1+$F$6),'Introducció dades'!M276)</f>
        <v>0</v>
      </c>
      <c r="M155" s="1242">
        <f>IF(OR(Fiscalitat!$H$21="a",Fiscalitat!$H$21="B",Fiscalitat!$H$21="D"),'Introducció dades'!N276*(1+$F$6),'Introducció dades'!N276)</f>
        <v>0</v>
      </c>
      <c r="N155" s="1243">
        <f t="shared" si="35"/>
        <v>0</v>
      </c>
    </row>
    <row r="156" spans="1:14" ht="12.5" x14ac:dyDescent="0.25">
      <c r="A156" s="1288" t="s">
        <v>182</v>
      </c>
      <c r="B156" s="1242">
        <f>IF(OR(Fiscalitat!$H$21="a",Fiscalitat!$H$21="B",Fiscalitat!$H$21="D"),'Introducció dades'!C277*(1+$F$6),'Introducció dades'!C277)</f>
        <v>0</v>
      </c>
      <c r="C156" s="1242">
        <f>IF(OR(Fiscalitat!$H$21="a",Fiscalitat!$H$21="B",Fiscalitat!$H$21="D"),'Introducció dades'!D277*(1+$F$6),'Introducció dades'!D277)</f>
        <v>0</v>
      </c>
      <c r="D156" s="1242">
        <f>IF(OR(Fiscalitat!$H$21="a",Fiscalitat!$H$21="B",Fiscalitat!$H$21="D"),'Introducció dades'!E277*(1+$F$6),'Introducció dades'!E277)</f>
        <v>0</v>
      </c>
      <c r="E156" s="1242">
        <f>IF(OR(Fiscalitat!$H$21="a",Fiscalitat!$H$21="B",Fiscalitat!$H$21="D"),'Introducció dades'!F277*(1+$F$6),'Introducció dades'!F277)</f>
        <v>0</v>
      </c>
      <c r="F156" s="1242">
        <f>IF(OR(Fiscalitat!$H$21="a",Fiscalitat!$H$21="B",Fiscalitat!$H$21="D"),'Introducció dades'!G277*(1+$F$6),'Introducció dades'!G277)</f>
        <v>0</v>
      </c>
      <c r="G156" s="1242">
        <f>IF(OR(Fiscalitat!$H$21="a",Fiscalitat!$H$21="B",Fiscalitat!$H$21="D"),'Introducció dades'!H277*(1+$F$6),'Introducció dades'!H277)</f>
        <v>0</v>
      </c>
      <c r="H156" s="1242">
        <f>IF(OR(Fiscalitat!$H$21="a",Fiscalitat!$H$21="B",Fiscalitat!$H$21="D"),'Introducció dades'!I277*(1+$F$6),'Introducció dades'!I277)</f>
        <v>0</v>
      </c>
      <c r="I156" s="1242">
        <f>IF(OR(Fiscalitat!$H$21="a",Fiscalitat!$H$21="B",Fiscalitat!$H$21="D"),'Introducció dades'!J277*(1+$F$6),'Introducció dades'!J277)</f>
        <v>0</v>
      </c>
      <c r="J156" s="1242">
        <f>IF(OR(Fiscalitat!$H$21="a",Fiscalitat!$H$21="B",Fiscalitat!$H$21="D"),'Introducció dades'!K277*(1+$F$6),'Introducció dades'!K277)</f>
        <v>0</v>
      </c>
      <c r="K156" s="1242">
        <f>IF(OR(Fiscalitat!$H$21="a",Fiscalitat!$H$21="B",Fiscalitat!$H$21="D"),'Introducció dades'!L277*(1+$F$6),'Introducció dades'!L277)</f>
        <v>0</v>
      </c>
      <c r="L156" s="1242">
        <f>IF(OR(Fiscalitat!$H$21="a",Fiscalitat!$H$21="B",Fiscalitat!$H$21="D"),'Introducció dades'!M277*(1+$F$6),'Introducció dades'!M277)</f>
        <v>0</v>
      </c>
      <c r="M156" s="1242">
        <f>IF(OR(Fiscalitat!$H$21="a",Fiscalitat!$H$21="B",Fiscalitat!$H$21="D"),'Introducció dades'!N277*(1+$F$6),'Introducció dades'!N277)</f>
        <v>0</v>
      </c>
      <c r="N156" s="1243">
        <f t="shared" si="35"/>
        <v>0</v>
      </c>
    </row>
    <row r="157" spans="1:14" ht="12.5" x14ac:dyDescent="0.25">
      <c r="A157" s="1288" t="s">
        <v>183</v>
      </c>
      <c r="B157" s="1242">
        <f>IF(OR(Fiscalitat!$H$21="a",Fiscalitat!$H$21="B",Fiscalitat!$H$21="D"),'Introducció dades'!C278*(1+$F$6),'Introducció dades'!C278)</f>
        <v>0</v>
      </c>
      <c r="C157" s="1242">
        <f>IF(OR(Fiscalitat!$H$21="a",Fiscalitat!$H$21="B",Fiscalitat!$H$21="D"),'Introducció dades'!D278*(1+$F$6),'Introducció dades'!D278)</f>
        <v>0</v>
      </c>
      <c r="D157" s="1242">
        <f>IF(OR(Fiscalitat!$H$21="a",Fiscalitat!$H$21="B",Fiscalitat!$H$21="D"),'Introducció dades'!E278*(1+$F$6),'Introducció dades'!E278)</f>
        <v>0</v>
      </c>
      <c r="E157" s="1242">
        <f>IF(OR(Fiscalitat!$H$21="a",Fiscalitat!$H$21="B",Fiscalitat!$H$21="D"),'Introducció dades'!F278*(1+$F$6),'Introducció dades'!F278)</f>
        <v>0</v>
      </c>
      <c r="F157" s="1242">
        <f>IF(OR(Fiscalitat!$H$21="a",Fiscalitat!$H$21="B",Fiscalitat!$H$21="D"),'Introducció dades'!G278*(1+$F$6),'Introducció dades'!G278)</f>
        <v>0</v>
      </c>
      <c r="G157" s="1242">
        <f>IF(OR(Fiscalitat!$H$21="a",Fiscalitat!$H$21="B",Fiscalitat!$H$21="D"),'Introducció dades'!H278*(1+$F$6),'Introducció dades'!H278)</f>
        <v>0</v>
      </c>
      <c r="H157" s="1242">
        <f>IF(OR(Fiscalitat!$H$21="a",Fiscalitat!$H$21="B",Fiscalitat!$H$21="D"),'Introducció dades'!I278*(1+$F$6),'Introducció dades'!I278)</f>
        <v>0</v>
      </c>
      <c r="I157" s="1242">
        <f>IF(OR(Fiscalitat!$H$21="a",Fiscalitat!$H$21="B",Fiscalitat!$H$21="D"),'Introducció dades'!J278*(1+$F$6),'Introducció dades'!J278)</f>
        <v>0</v>
      </c>
      <c r="J157" s="1242">
        <f>IF(OR(Fiscalitat!$H$21="a",Fiscalitat!$H$21="B",Fiscalitat!$H$21="D"),'Introducció dades'!K278*(1+$F$6),'Introducció dades'!K278)</f>
        <v>0</v>
      </c>
      <c r="K157" s="1242">
        <f>IF(OR(Fiscalitat!$H$21="a",Fiscalitat!$H$21="B",Fiscalitat!$H$21="D"),'Introducció dades'!L278*(1+$F$6),'Introducció dades'!L278)</f>
        <v>0</v>
      </c>
      <c r="L157" s="1242">
        <f>IF(OR(Fiscalitat!$H$21="a",Fiscalitat!$H$21="B",Fiscalitat!$H$21="D"),'Introducció dades'!M278*(1+$F$6),'Introducció dades'!M278)</f>
        <v>0</v>
      </c>
      <c r="M157" s="1242">
        <f>IF(OR(Fiscalitat!$H$21="a",Fiscalitat!$H$21="B",Fiscalitat!$H$21="D"),'Introducció dades'!N278*(1+$F$6),'Introducció dades'!N278)</f>
        <v>0</v>
      </c>
      <c r="N157" s="1243">
        <f t="shared" si="35"/>
        <v>0</v>
      </c>
    </row>
    <row r="158" spans="1:14" ht="12.5" x14ac:dyDescent="0.25">
      <c r="A158" s="1288" t="s">
        <v>184</v>
      </c>
      <c r="B158" s="1242">
        <f>IF(OR(Fiscalitat!$H$21="a",Fiscalitat!$H$21="B",Fiscalitat!$H$21="D"),'Introducció dades'!C279*(1+$F$6),'Introducció dades'!C279)</f>
        <v>0</v>
      </c>
      <c r="C158" s="1242">
        <f>IF(OR(Fiscalitat!$H$21="a",Fiscalitat!$H$21="B",Fiscalitat!$H$21="D"),'Introducció dades'!D279*(1+$F$6),'Introducció dades'!D279)</f>
        <v>0</v>
      </c>
      <c r="D158" s="1242">
        <f>IF(OR(Fiscalitat!$H$21="a",Fiscalitat!$H$21="B",Fiscalitat!$H$21="D"),'Introducció dades'!E279*(1+$F$6),'Introducció dades'!E279)</f>
        <v>0</v>
      </c>
      <c r="E158" s="1242">
        <f>IF(OR(Fiscalitat!$H$21="a",Fiscalitat!$H$21="B",Fiscalitat!$H$21="D"),'Introducció dades'!F279*(1+$F$6),'Introducció dades'!F279)</f>
        <v>0</v>
      </c>
      <c r="F158" s="1242">
        <f>IF(OR(Fiscalitat!$H$21="a",Fiscalitat!$H$21="B",Fiscalitat!$H$21="D"),'Introducció dades'!G279*(1+$F$6),'Introducció dades'!G279)</f>
        <v>0</v>
      </c>
      <c r="G158" s="1242">
        <f>IF(OR(Fiscalitat!$H$21="a",Fiscalitat!$H$21="B",Fiscalitat!$H$21="D"),'Introducció dades'!H279*(1+$F$6),'Introducció dades'!H279)</f>
        <v>0</v>
      </c>
      <c r="H158" s="1242">
        <f>IF(OR(Fiscalitat!$H$21="a",Fiscalitat!$H$21="B",Fiscalitat!$H$21="D"),'Introducció dades'!I279*(1+$F$6),'Introducció dades'!I279)</f>
        <v>0</v>
      </c>
      <c r="I158" s="1242">
        <f>IF(OR(Fiscalitat!$H$21="a",Fiscalitat!$H$21="B",Fiscalitat!$H$21="D"),'Introducció dades'!J279*(1+$F$6),'Introducció dades'!J279)</f>
        <v>0</v>
      </c>
      <c r="J158" s="1242">
        <f>IF(OR(Fiscalitat!$H$21="a",Fiscalitat!$H$21="B",Fiscalitat!$H$21="D"),'Introducció dades'!K279*(1+$F$6),'Introducció dades'!K279)</f>
        <v>0</v>
      </c>
      <c r="K158" s="1242">
        <f>IF(OR(Fiscalitat!$H$21="a",Fiscalitat!$H$21="B",Fiscalitat!$H$21="D"),'Introducció dades'!L279*(1+$F$6),'Introducció dades'!L279)</f>
        <v>0</v>
      </c>
      <c r="L158" s="1242">
        <f>IF(OR(Fiscalitat!$H$21="a",Fiscalitat!$H$21="B",Fiscalitat!$H$21="D"),'Introducció dades'!M279*(1+$F$6),'Introducció dades'!M279)</f>
        <v>0</v>
      </c>
      <c r="M158" s="1242">
        <f>IF(OR(Fiscalitat!$H$21="a",Fiscalitat!$H$21="B",Fiscalitat!$H$21="D"),'Introducció dades'!N279*(1+$F$6),'Introducció dades'!N279)</f>
        <v>0</v>
      </c>
      <c r="N158" s="1243">
        <f t="shared" si="35"/>
        <v>0</v>
      </c>
    </row>
    <row r="159" spans="1:14" ht="12.5" x14ac:dyDescent="0.25">
      <c r="A159" s="1288" t="s">
        <v>185</v>
      </c>
      <c r="B159" s="1246">
        <f>SUM(B160:B163)</f>
        <v>0</v>
      </c>
      <c r="C159" s="1246">
        <f t="shared" ref="C159:M159" si="40">SUM(C160:C163)</f>
        <v>0</v>
      </c>
      <c r="D159" s="1246">
        <f t="shared" si="40"/>
        <v>0</v>
      </c>
      <c r="E159" s="1246">
        <f t="shared" si="40"/>
        <v>0</v>
      </c>
      <c r="F159" s="1246">
        <f t="shared" si="40"/>
        <v>0</v>
      </c>
      <c r="G159" s="1246">
        <f t="shared" si="40"/>
        <v>0</v>
      </c>
      <c r="H159" s="1246">
        <f t="shared" si="40"/>
        <v>0</v>
      </c>
      <c r="I159" s="1246">
        <f t="shared" si="40"/>
        <v>0</v>
      </c>
      <c r="J159" s="1246">
        <f t="shared" si="40"/>
        <v>0</v>
      </c>
      <c r="K159" s="1246">
        <f t="shared" si="40"/>
        <v>0</v>
      </c>
      <c r="L159" s="1246">
        <f t="shared" si="40"/>
        <v>0</v>
      </c>
      <c r="M159" s="1246">
        <f t="shared" si="40"/>
        <v>0</v>
      </c>
      <c r="N159" s="1243">
        <f t="shared" si="35"/>
        <v>0</v>
      </c>
    </row>
    <row r="160" spans="1:14" ht="12.5" x14ac:dyDescent="0.25">
      <c r="A160" s="1288" t="s">
        <v>186</v>
      </c>
      <c r="B160" s="1242">
        <f>IF(OR(Fiscalitat!$H$21="a",Fiscalitat!$H$21="B",Fiscalitat!$H$21="D"),'Introducció dades'!C281*(1+$F$6),'Introducció dades'!C281)</f>
        <v>0</v>
      </c>
      <c r="C160" s="1242">
        <f>IF(OR(Fiscalitat!$H$21="a",Fiscalitat!$H$21="B",Fiscalitat!$H$21="D"),'Introducció dades'!D281*(1+$F$6),'Introducció dades'!D281)</f>
        <v>0</v>
      </c>
      <c r="D160" s="1242">
        <f>IF(OR(Fiscalitat!$H$21="a",Fiscalitat!$H$21="B",Fiscalitat!$H$21="D"),'Introducció dades'!E281*(1+$F$6),'Introducció dades'!E281)</f>
        <v>0</v>
      </c>
      <c r="E160" s="1242">
        <f>IF(OR(Fiscalitat!$H$21="a",Fiscalitat!$H$21="B",Fiscalitat!$H$21="D"),'Introducció dades'!F281*(1+$F$6),'Introducció dades'!F281)</f>
        <v>0</v>
      </c>
      <c r="F160" s="1242">
        <f>IF(OR(Fiscalitat!$H$21="a",Fiscalitat!$H$21="B",Fiscalitat!$H$21="D"),'Introducció dades'!G281*(1+$F$6),'Introducció dades'!G281)</f>
        <v>0</v>
      </c>
      <c r="G160" s="1242">
        <f>IF(OR(Fiscalitat!$H$21="a",Fiscalitat!$H$21="B",Fiscalitat!$H$21="D"),'Introducció dades'!H281*(1+$F$6),'Introducció dades'!H281)</f>
        <v>0</v>
      </c>
      <c r="H160" s="1242">
        <f>IF(OR(Fiscalitat!$H$21="a",Fiscalitat!$H$21="B",Fiscalitat!$H$21="D"),'Introducció dades'!I281*(1+$F$6),'Introducció dades'!I281)</f>
        <v>0</v>
      </c>
      <c r="I160" s="1242">
        <f>IF(OR(Fiscalitat!$H$21="a",Fiscalitat!$H$21="B",Fiscalitat!$H$21="D"),'Introducció dades'!J281*(1+$F$6),'Introducció dades'!J281)</f>
        <v>0</v>
      </c>
      <c r="J160" s="1242">
        <f>IF(OR(Fiscalitat!$H$21="a",Fiscalitat!$H$21="B",Fiscalitat!$H$21="D"),'Introducció dades'!K281*(1+$F$6),'Introducció dades'!K281)</f>
        <v>0</v>
      </c>
      <c r="K160" s="1242">
        <f>IF(OR(Fiscalitat!$H$21="a",Fiscalitat!$H$21="B",Fiscalitat!$H$21="D"),'Introducció dades'!L281*(1+$F$6),'Introducció dades'!L281)</f>
        <v>0</v>
      </c>
      <c r="L160" s="1242">
        <f>IF(OR(Fiscalitat!$H$21="a",Fiscalitat!$H$21="B",Fiscalitat!$H$21="D"),'Introducció dades'!M281*(1+$F$6),'Introducció dades'!M281)</f>
        <v>0</v>
      </c>
      <c r="M160" s="1242">
        <f>IF(OR(Fiscalitat!$H$21="a",Fiscalitat!$H$21="B",Fiscalitat!$H$21="D"),'Introducció dades'!N281*(1+$F$6),'Introducció dades'!N281)</f>
        <v>0</v>
      </c>
      <c r="N160" s="1243">
        <f t="shared" si="35"/>
        <v>0</v>
      </c>
    </row>
    <row r="161" spans="1:14" ht="12.5" x14ac:dyDescent="0.25">
      <c r="A161" s="1288" t="s">
        <v>187</v>
      </c>
      <c r="B161" s="1242">
        <f>IF(OR(Fiscalitat!$H$21="a",Fiscalitat!$H$21="B",Fiscalitat!$H$21="D"),'Introducció dades'!C282*(1+$F$6),'Introducció dades'!C282)</f>
        <v>0</v>
      </c>
      <c r="C161" s="1242">
        <f>IF(OR(Fiscalitat!$H$21="a",Fiscalitat!$H$21="B",Fiscalitat!$H$21="D"),'Introducció dades'!D282*(1+$F$6),'Introducció dades'!D282)</f>
        <v>0</v>
      </c>
      <c r="D161" s="1242">
        <f>IF(OR(Fiscalitat!$H$21="a",Fiscalitat!$H$21="B",Fiscalitat!$H$21="D"),'Introducció dades'!E282*(1+$F$6),'Introducció dades'!E282)</f>
        <v>0</v>
      </c>
      <c r="E161" s="1242">
        <f>IF(OR(Fiscalitat!$H$21="a",Fiscalitat!$H$21="B",Fiscalitat!$H$21="D"),'Introducció dades'!F282*(1+$F$6),'Introducció dades'!F282)</f>
        <v>0</v>
      </c>
      <c r="F161" s="1242">
        <f>IF(OR(Fiscalitat!$H$21="a",Fiscalitat!$H$21="B",Fiscalitat!$H$21="D"),'Introducció dades'!G282*(1+$F$6),'Introducció dades'!G282)</f>
        <v>0</v>
      </c>
      <c r="G161" s="1242">
        <f>IF(OR(Fiscalitat!$H$21="a",Fiscalitat!$H$21="B",Fiscalitat!$H$21="D"),'Introducció dades'!H282*(1+$F$6),'Introducció dades'!H282)</f>
        <v>0</v>
      </c>
      <c r="H161" s="1242">
        <f>IF(OR(Fiscalitat!$H$21="a",Fiscalitat!$H$21="B",Fiscalitat!$H$21="D"),'Introducció dades'!I282*(1+$F$6),'Introducció dades'!I282)</f>
        <v>0</v>
      </c>
      <c r="I161" s="1242">
        <f>IF(OR(Fiscalitat!$H$21="a",Fiscalitat!$H$21="B",Fiscalitat!$H$21="D"),'Introducció dades'!J282*(1+$F$6),'Introducció dades'!J282)</f>
        <v>0</v>
      </c>
      <c r="J161" s="1242">
        <f>IF(OR(Fiscalitat!$H$21="a",Fiscalitat!$H$21="B",Fiscalitat!$H$21="D"),'Introducció dades'!K282*(1+$F$6),'Introducció dades'!K282)</f>
        <v>0</v>
      </c>
      <c r="K161" s="1242">
        <f>IF(OR(Fiscalitat!$H$21="a",Fiscalitat!$H$21="B",Fiscalitat!$H$21="D"),'Introducció dades'!L282*(1+$F$6),'Introducció dades'!L282)</f>
        <v>0</v>
      </c>
      <c r="L161" s="1242">
        <f>IF(OR(Fiscalitat!$H$21="a",Fiscalitat!$H$21="B",Fiscalitat!$H$21="D"),'Introducció dades'!M282*(1+$F$6),'Introducció dades'!M282)</f>
        <v>0</v>
      </c>
      <c r="M161" s="1242">
        <f>IF(OR(Fiscalitat!$H$21="a",Fiscalitat!$H$21="B",Fiscalitat!$H$21="D"),'Introducció dades'!N282*(1+$F$6),'Introducció dades'!N282)</f>
        <v>0</v>
      </c>
      <c r="N161" s="1243">
        <f t="shared" si="35"/>
        <v>0</v>
      </c>
    </row>
    <row r="162" spans="1:14" ht="12.5" x14ac:dyDescent="0.25">
      <c r="A162" s="1288" t="s">
        <v>188</v>
      </c>
      <c r="B162" s="1242">
        <f>IF(OR(Fiscalitat!$H$21="a",Fiscalitat!$H$21="B",Fiscalitat!$H$21="D"),'Introducció dades'!C283*(1+$F$6),'Introducció dades'!C283)</f>
        <v>0</v>
      </c>
      <c r="C162" s="1242">
        <f>IF(OR(Fiscalitat!$H$21="a",Fiscalitat!$H$21="B",Fiscalitat!$H$21="D"),'Introducció dades'!D283*(1+$F$6),'Introducció dades'!D283)</f>
        <v>0</v>
      </c>
      <c r="D162" s="1242">
        <f>IF(OR(Fiscalitat!$H$21="a",Fiscalitat!$H$21="B",Fiscalitat!$H$21="D"),'Introducció dades'!E283*(1+$F$6),'Introducció dades'!E283)</f>
        <v>0</v>
      </c>
      <c r="E162" s="1242">
        <f>IF(OR(Fiscalitat!$H$21="a",Fiscalitat!$H$21="B",Fiscalitat!$H$21="D"),'Introducció dades'!F283*(1+$F$6),'Introducció dades'!F283)</f>
        <v>0</v>
      </c>
      <c r="F162" s="1242">
        <f>IF(OR(Fiscalitat!$H$21="a",Fiscalitat!$H$21="B",Fiscalitat!$H$21="D"),'Introducció dades'!G283*(1+$F$6),'Introducció dades'!G283)</f>
        <v>0</v>
      </c>
      <c r="G162" s="1242">
        <f>IF(OR(Fiscalitat!$H$21="a",Fiscalitat!$H$21="B",Fiscalitat!$H$21="D"),'Introducció dades'!H283*(1+$F$6),'Introducció dades'!H283)</f>
        <v>0</v>
      </c>
      <c r="H162" s="1242">
        <f>IF(OR(Fiscalitat!$H$21="a",Fiscalitat!$H$21="B",Fiscalitat!$H$21="D"),'Introducció dades'!I283*(1+$F$6),'Introducció dades'!I283)</f>
        <v>0</v>
      </c>
      <c r="I162" s="1242">
        <f>IF(OR(Fiscalitat!$H$21="a",Fiscalitat!$H$21="B",Fiscalitat!$H$21="D"),'Introducció dades'!J283*(1+$F$6),'Introducció dades'!J283)</f>
        <v>0</v>
      </c>
      <c r="J162" s="1242">
        <f>IF(OR(Fiscalitat!$H$21="a",Fiscalitat!$H$21="B",Fiscalitat!$H$21="D"),'Introducció dades'!K283*(1+$F$6),'Introducció dades'!K283)</f>
        <v>0</v>
      </c>
      <c r="K162" s="1242">
        <f>IF(OR(Fiscalitat!$H$21="a",Fiscalitat!$H$21="B",Fiscalitat!$H$21="D"),'Introducció dades'!L283*(1+$F$6),'Introducció dades'!L283)</f>
        <v>0</v>
      </c>
      <c r="L162" s="1242">
        <f>IF(OR(Fiscalitat!$H$21="a",Fiscalitat!$H$21="B",Fiscalitat!$H$21="D"),'Introducció dades'!M283*(1+$F$6),'Introducció dades'!M283)</f>
        <v>0</v>
      </c>
      <c r="M162" s="1242">
        <f>IF(OR(Fiscalitat!$H$21="a",Fiscalitat!$H$21="B",Fiscalitat!$H$21="D"),'Introducció dades'!N283*(1+$F$6),'Introducció dades'!N283)</f>
        <v>0</v>
      </c>
      <c r="N162" s="1243">
        <f t="shared" si="35"/>
        <v>0</v>
      </c>
    </row>
    <row r="163" spans="1:14" ht="12.5" x14ac:dyDescent="0.25">
      <c r="A163" s="1289" t="s">
        <v>189</v>
      </c>
      <c r="B163" s="1242">
        <f>IF(OR(Fiscalitat!$H$21="a",Fiscalitat!$H$21="B",Fiscalitat!$H$21="D"),'Introducció dades'!C284*(1+$F$6),'Introducció dades'!C284)</f>
        <v>0</v>
      </c>
      <c r="C163" s="1242">
        <f>IF(OR(Fiscalitat!$H$21="a",Fiscalitat!$H$21="B",Fiscalitat!$H$21="D"),'Introducció dades'!D284*(1+$F$6),'Introducció dades'!D284)</f>
        <v>0</v>
      </c>
      <c r="D163" s="1242">
        <f>IF(OR(Fiscalitat!$H$21="a",Fiscalitat!$H$21="B",Fiscalitat!$H$21="D"),'Introducció dades'!E284*(1+$F$6),'Introducció dades'!E284)</f>
        <v>0</v>
      </c>
      <c r="E163" s="1242">
        <f>IF(OR(Fiscalitat!$H$21="a",Fiscalitat!$H$21="B",Fiscalitat!$H$21="D"),'Introducció dades'!F284*(1+$F$6),'Introducció dades'!F284)</f>
        <v>0</v>
      </c>
      <c r="F163" s="1242">
        <f>IF(OR(Fiscalitat!$H$21="a",Fiscalitat!$H$21="B",Fiscalitat!$H$21="D"),'Introducció dades'!G284*(1+$F$6),'Introducció dades'!G284)</f>
        <v>0</v>
      </c>
      <c r="G163" s="1242">
        <f>IF(OR(Fiscalitat!$H$21="a",Fiscalitat!$H$21="B",Fiscalitat!$H$21="D"),'Introducció dades'!H284*(1+$F$6),'Introducció dades'!H284)</f>
        <v>0</v>
      </c>
      <c r="H163" s="1242">
        <f>IF(OR(Fiscalitat!$H$21="a",Fiscalitat!$H$21="B",Fiscalitat!$H$21="D"),'Introducció dades'!I284*(1+$F$6),'Introducció dades'!I284)</f>
        <v>0</v>
      </c>
      <c r="I163" s="1242">
        <f>IF(OR(Fiscalitat!$H$21="a",Fiscalitat!$H$21="B",Fiscalitat!$H$21="D"),'Introducció dades'!J284*(1+$F$6),'Introducció dades'!J284)</f>
        <v>0</v>
      </c>
      <c r="J163" s="1242">
        <f>IF(OR(Fiscalitat!$H$21="a",Fiscalitat!$H$21="B",Fiscalitat!$H$21="D"),'Introducció dades'!K284*(1+$F$6),'Introducció dades'!K284)</f>
        <v>0</v>
      </c>
      <c r="K163" s="1242">
        <f>IF(OR(Fiscalitat!$H$21="a",Fiscalitat!$H$21="B",Fiscalitat!$H$21="D"),'Introducció dades'!L284*(1+$F$6),'Introducció dades'!L284)</f>
        <v>0</v>
      </c>
      <c r="L163" s="1242">
        <f>IF(OR(Fiscalitat!$H$21="a",Fiscalitat!$H$21="B",Fiscalitat!$H$21="D"),'Introducció dades'!M284*(1+$F$6),'Introducció dades'!M284)</f>
        <v>0</v>
      </c>
      <c r="M163" s="1242">
        <f>IF(OR(Fiscalitat!$H$21="a",Fiscalitat!$H$21="B",Fiscalitat!$H$21="D"),'Introducció dades'!N284*(1+$F$6),'Introducció dades'!N284)</f>
        <v>0</v>
      </c>
      <c r="N163" s="1248">
        <f t="shared" si="35"/>
        <v>0</v>
      </c>
    </row>
    <row r="164" spans="1:14" x14ac:dyDescent="0.3">
      <c r="B164" s="1249"/>
      <c r="C164" s="12"/>
      <c r="D164" s="12"/>
      <c r="E164" s="12"/>
      <c r="F164" s="12"/>
      <c r="G164" s="12"/>
      <c r="H164" s="12"/>
      <c r="I164" s="12"/>
      <c r="J164" s="12"/>
      <c r="K164" s="12"/>
      <c r="L164" s="12"/>
      <c r="M164" s="12"/>
      <c r="N164" s="18"/>
    </row>
    <row r="165" spans="1:14" ht="12.5" x14ac:dyDescent="0.25">
      <c r="A165"/>
      <c r="B165" s="12"/>
      <c r="C165" s="12"/>
      <c r="D165" s="12"/>
      <c r="E165" s="12"/>
      <c r="F165" s="12"/>
      <c r="G165" s="12"/>
      <c r="H165" s="12"/>
      <c r="I165" s="12"/>
      <c r="J165" s="12"/>
      <c r="K165" s="12"/>
      <c r="L165" s="12"/>
      <c r="M165" s="12"/>
      <c r="N165" s="12"/>
    </row>
    <row r="166" spans="1:14" x14ac:dyDescent="0.3">
      <c r="A166" s="1250" t="s">
        <v>163</v>
      </c>
      <c r="B166" s="1251" t="str">
        <f>B140</f>
        <v>GENER</v>
      </c>
      <c r="C166" s="1252" t="str">
        <f t="shared" ref="C166:M166" si="41">C140</f>
        <v>FEBRER</v>
      </c>
      <c r="D166" s="1252" t="str">
        <f t="shared" si="41"/>
        <v>MARÇ</v>
      </c>
      <c r="E166" s="1252" t="str">
        <f t="shared" si="41"/>
        <v>ABRIL</v>
      </c>
      <c r="F166" s="1252" t="str">
        <f t="shared" si="41"/>
        <v>MAIG</v>
      </c>
      <c r="G166" s="1252" t="str">
        <f t="shared" si="41"/>
        <v>JUNY</v>
      </c>
      <c r="H166" s="1252" t="str">
        <f t="shared" si="41"/>
        <v>JULIOL</v>
      </c>
      <c r="I166" s="1252" t="str">
        <f t="shared" si="41"/>
        <v>AGOST</v>
      </c>
      <c r="J166" s="1252" t="str">
        <f t="shared" si="41"/>
        <v>SETEMBRE</v>
      </c>
      <c r="K166" s="1252" t="str">
        <f t="shared" si="41"/>
        <v>OCTUBRE</v>
      </c>
      <c r="L166" s="1252" t="str">
        <f t="shared" si="41"/>
        <v>NOVEMBRE</v>
      </c>
      <c r="M166" s="1253" t="str">
        <f t="shared" si="41"/>
        <v>DESEMBRE</v>
      </c>
      <c r="N166" s="1254" t="s">
        <v>245</v>
      </c>
    </row>
    <row r="167" spans="1:14" x14ac:dyDescent="0.3">
      <c r="A167" s="1290" t="s">
        <v>398</v>
      </c>
      <c r="B167" s="1256">
        <f t="shared" ref="B167:M167" si="42">B144*$F136</f>
        <v>0</v>
      </c>
      <c r="C167" s="1257">
        <f t="shared" si="42"/>
        <v>0</v>
      </c>
      <c r="D167" s="1257">
        <f t="shared" si="42"/>
        <v>0</v>
      </c>
      <c r="E167" s="1257">
        <f t="shared" si="42"/>
        <v>0</v>
      </c>
      <c r="F167" s="1257">
        <f t="shared" si="42"/>
        <v>0</v>
      </c>
      <c r="G167" s="1257">
        <f t="shared" si="42"/>
        <v>0</v>
      </c>
      <c r="H167" s="1257">
        <f t="shared" si="42"/>
        <v>0</v>
      </c>
      <c r="I167" s="1257">
        <f t="shared" si="42"/>
        <v>0</v>
      </c>
      <c r="J167" s="1257">
        <f t="shared" si="42"/>
        <v>0</v>
      </c>
      <c r="K167" s="1257">
        <f t="shared" si="42"/>
        <v>0</v>
      </c>
      <c r="L167" s="1257">
        <f t="shared" si="42"/>
        <v>0</v>
      </c>
      <c r="M167" s="1258">
        <f t="shared" si="42"/>
        <v>0</v>
      </c>
      <c r="N167" s="1259">
        <f>SUM(B167:M167)</f>
        <v>0</v>
      </c>
    </row>
    <row r="168" spans="1:14" x14ac:dyDescent="0.3">
      <c r="A168" s="1290" t="s">
        <v>399</v>
      </c>
      <c r="B168" s="1291">
        <f t="shared" ref="B168:M168" si="43">B147*$F137</f>
        <v>0</v>
      </c>
      <c r="C168" s="794">
        <f t="shared" si="43"/>
        <v>0</v>
      </c>
      <c r="D168" s="794">
        <f t="shared" si="43"/>
        <v>0</v>
      </c>
      <c r="E168" s="794">
        <f t="shared" si="43"/>
        <v>0</v>
      </c>
      <c r="F168" s="794">
        <f t="shared" si="43"/>
        <v>0</v>
      </c>
      <c r="G168" s="794">
        <f t="shared" si="43"/>
        <v>0</v>
      </c>
      <c r="H168" s="794">
        <f t="shared" si="43"/>
        <v>0</v>
      </c>
      <c r="I168" s="794">
        <f t="shared" si="43"/>
        <v>0</v>
      </c>
      <c r="J168" s="794">
        <f t="shared" si="43"/>
        <v>0</v>
      </c>
      <c r="K168" s="794">
        <f t="shared" si="43"/>
        <v>0</v>
      </c>
      <c r="L168" s="794">
        <f t="shared" si="43"/>
        <v>0</v>
      </c>
      <c r="M168" s="1292">
        <f t="shared" si="43"/>
        <v>0</v>
      </c>
      <c r="N168" s="1293">
        <f>SUM(B168:M168)</f>
        <v>0</v>
      </c>
    </row>
    <row r="169" spans="1:14" x14ac:dyDescent="0.3">
      <c r="A169" s="1294" t="s">
        <v>401</v>
      </c>
      <c r="B169" s="1295">
        <f t="shared" ref="B169:M169" si="44">SUM(B167:B168)</f>
        <v>0</v>
      </c>
      <c r="C169" s="1268">
        <f t="shared" si="44"/>
        <v>0</v>
      </c>
      <c r="D169" s="1268">
        <f t="shared" si="44"/>
        <v>0</v>
      </c>
      <c r="E169" s="1268">
        <f t="shared" si="44"/>
        <v>0</v>
      </c>
      <c r="F169" s="1268">
        <f t="shared" si="44"/>
        <v>0</v>
      </c>
      <c r="G169" s="1268">
        <f t="shared" si="44"/>
        <v>0</v>
      </c>
      <c r="H169" s="1268">
        <f t="shared" si="44"/>
        <v>0</v>
      </c>
      <c r="I169" s="1268">
        <f t="shared" si="44"/>
        <v>0</v>
      </c>
      <c r="J169" s="1268">
        <f t="shared" si="44"/>
        <v>0</v>
      </c>
      <c r="K169" s="1268">
        <f t="shared" si="44"/>
        <v>0</v>
      </c>
      <c r="L169" s="1268">
        <f t="shared" si="44"/>
        <v>0</v>
      </c>
      <c r="M169" s="1296">
        <f t="shared" si="44"/>
        <v>0</v>
      </c>
      <c r="N169" s="1297">
        <f>SUM(B169:M169)</f>
        <v>0</v>
      </c>
    </row>
    <row r="170" spans="1:14" x14ac:dyDescent="0.3">
      <c r="A170" s="1290" t="s">
        <v>63</v>
      </c>
      <c r="B170" s="1291">
        <f>B169-B171</f>
        <v>0</v>
      </c>
      <c r="C170" s="794">
        <f t="shared" ref="C170:M170" si="45">C169+B170-C171</f>
        <v>0</v>
      </c>
      <c r="D170" s="794">
        <f t="shared" si="45"/>
        <v>0</v>
      </c>
      <c r="E170" s="794">
        <f t="shared" si="45"/>
        <v>0</v>
      </c>
      <c r="F170" s="794">
        <f t="shared" si="45"/>
        <v>0</v>
      </c>
      <c r="G170" s="794">
        <f t="shared" si="45"/>
        <v>0</v>
      </c>
      <c r="H170" s="794">
        <f t="shared" si="45"/>
        <v>0</v>
      </c>
      <c r="I170" s="794">
        <f t="shared" si="45"/>
        <v>0</v>
      </c>
      <c r="J170" s="794">
        <f t="shared" si="45"/>
        <v>0</v>
      </c>
      <c r="K170" s="794">
        <f t="shared" si="45"/>
        <v>0</v>
      </c>
      <c r="L170" s="794">
        <f t="shared" si="45"/>
        <v>0</v>
      </c>
      <c r="M170" s="1292">
        <f t="shared" si="45"/>
        <v>0</v>
      </c>
      <c r="N170" s="1293">
        <f>M170</f>
        <v>0</v>
      </c>
    </row>
    <row r="171" spans="1:14" x14ac:dyDescent="0.3">
      <c r="A171" s="1298" t="s">
        <v>159</v>
      </c>
      <c r="B171" s="1261">
        <f t="shared" ref="B171:M171" si="46">IF(OR(A166="MARÇ",A166="JUNY",A166="SETEMBRE",A166="DESEMBRE"),A170,0)</f>
        <v>0</v>
      </c>
      <c r="C171" s="1262">
        <f t="shared" si="46"/>
        <v>0</v>
      </c>
      <c r="D171" s="1262">
        <f t="shared" si="46"/>
        <v>0</v>
      </c>
      <c r="E171" s="1262">
        <f t="shared" si="46"/>
        <v>0</v>
      </c>
      <c r="F171" s="1262">
        <f t="shared" si="46"/>
        <v>0</v>
      </c>
      <c r="G171" s="1262">
        <f t="shared" si="46"/>
        <v>0</v>
      </c>
      <c r="H171" s="1262">
        <f t="shared" si="46"/>
        <v>0</v>
      </c>
      <c r="I171" s="1262">
        <f t="shared" si="46"/>
        <v>0</v>
      </c>
      <c r="J171" s="1262">
        <f t="shared" si="46"/>
        <v>0</v>
      </c>
      <c r="K171" s="1262">
        <f t="shared" si="46"/>
        <v>0</v>
      </c>
      <c r="L171" s="1262">
        <f t="shared" si="46"/>
        <v>0</v>
      </c>
      <c r="M171" s="1263">
        <f t="shared" si="46"/>
        <v>0</v>
      </c>
      <c r="N171" s="1264">
        <f>SUM(B171:M171)</f>
        <v>0</v>
      </c>
    </row>
    <row r="172" spans="1:14" ht="12.5" x14ac:dyDescent="0.25">
      <c r="A172"/>
      <c r="B172" s="12"/>
      <c r="C172" s="12"/>
      <c r="D172" s="12"/>
      <c r="E172" s="12"/>
      <c r="F172" s="12"/>
      <c r="G172" s="12"/>
      <c r="H172" s="12"/>
      <c r="I172" s="12"/>
      <c r="J172" s="12"/>
      <c r="K172" s="12"/>
      <c r="L172" s="12"/>
      <c r="M172" s="12"/>
      <c r="N172" s="12"/>
    </row>
    <row r="173" spans="1:14" x14ac:dyDescent="0.3">
      <c r="A173" s="1265" t="s">
        <v>414</v>
      </c>
      <c r="B173" s="1266" t="str">
        <f t="shared" ref="B173:M173" si="47">B166</f>
        <v>GENER</v>
      </c>
      <c r="C173" s="1266" t="str">
        <f t="shared" si="47"/>
        <v>FEBRER</v>
      </c>
      <c r="D173" s="1266" t="str">
        <f t="shared" si="47"/>
        <v>MARÇ</v>
      </c>
      <c r="E173" s="1266" t="str">
        <f t="shared" si="47"/>
        <v>ABRIL</v>
      </c>
      <c r="F173" s="1266" t="str">
        <f t="shared" si="47"/>
        <v>MAIG</v>
      </c>
      <c r="G173" s="1266" t="str">
        <f t="shared" si="47"/>
        <v>JUNY</v>
      </c>
      <c r="H173" s="1266" t="str">
        <f t="shared" si="47"/>
        <v>JULIOL</v>
      </c>
      <c r="I173" s="1266" t="str">
        <f t="shared" si="47"/>
        <v>AGOST</v>
      </c>
      <c r="J173" s="1266" t="str">
        <f t="shared" si="47"/>
        <v>SETEMBRE</v>
      </c>
      <c r="K173" s="1266" t="str">
        <f t="shared" si="47"/>
        <v>OCTUBRE</v>
      </c>
      <c r="L173" s="1266" t="str">
        <f t="shared" si="47"/>
        <v>NOVEMBRE</v>
      </c>
      <c r="M173" s="1266" t="str">
        <f t="shared" si="47"/>
        <v>DESEMBRE</v>
      </c>
      <c r="N173" s="1266" t="s">
        <v>245</v>
      </c>
    </row>
    <row r="174" spans="1:14" x14ac:dyDescent="0.3">
      <c r="A174" s="108" t="s">
        <v>415</v>
      </c>
      <c r="B174" s="794">
        <f>MERCADERIES!DC161+SERVEIS!CB64</f>
        <v>0</v>
      </c>
      <c r="C174" s="794">
        <f>MERCADERIES!DD161+SERVEIS!CC64</f>
        <v>0</v>
      </c>
      <c r="D174" s="794">
        <f>MERCADERIES!DE161+SERVEIS!CD64</f>
        <v>0</v>
      </c>
      <c r="E174" s="794">
        <f>MERCADERIES!DF161+SERVEIS!CE64</f>
        <v>0</v>
      </c>
      <c r="F174" s="794">
        <f>MERCADERIES!DG161+SERVEIS!CF64</f>
        <v>0</v>
      </c>
      <c r="G174" s="794">
        <f>MERCADERIES!DH161+SERVEIS!CG64</f>
        <v>0</v>
      </c>
      <c r="H174" s="794">
        <f>MERCADERIES!DI161+SERVEIS!CH64</f>
        <v>0</v>
      </c>
      <c r="I174" s="794">
        <f>MERCADERIES!DJ161+SERVEIS!CI64</f>
        <v>0</v>
      </c>
      <c r="J174" s="794">
        <f>MERCADERIES!DK161+SERVEIS!CJ64</f>
        <v>0</v>
      </c>
      <c r="K174" s="794">
        <f>MERCADERIES!DL161+SERVEIS!CK64</f>
        <v>0</v>
      </c>
      <c r="L174" s="794">
        <f>MERCADERIES!DM161+SERVEIS!CL64</f>
        <v>0</v>
      </c>
      <c r="M174" s="794">
        <f>MERCADERIES!DN161+SERVEIS!CM64</f>
        <v>0</v>
      </c>
      <c r="N174" s="15">
        <f>SUM(B174:M174)</f>
        <v>0</v>
      </c>
    </row>
    <row r="175" spans="1:14" x14ac:dyDescent="0.3">
      <c r="A175" s="108" t="s">
        <v>416</v>
      </c>
      <c r="B175" s="794">
        <f>MERCADERIES!DC164+SERVEIS!CB66</f>
        <v>0</v>
      </c>
      <c r="C175" s="794">
        <f>MERCADERIES!DD164+SERVEIS!CC66</f>
        <v>0</v>
      </c>
      <c r="D175" s="794">
        <f>MERCADERIES!DE164+SERVEIS!CD66</f>
        <v>0</v>
      </c>
      <c r="E175" s="794">
        <f>MERCADERIES!DF164+SERVEIS!CE66</f>
        <v>0</v>
      </c>
      <c r="F175" s="794">
        <f>MERCADERIES!DG164+SERVEIS!CF66</f>
        <v>0</v>
      </c>
      <c r="G175" s="794">
        <f>MERCADERIES!DH164+SERVEIS!CG66</f>
        <v>0</v>
      </c>
      <c r="H175" s="794">
        <f>MERCADERIES!DI164+SERVEIS!CH66</f>
        <v>0</v>
      </c>
      <c r="I175" s="794">
        <f>MERCADERIES!DJ164+SERVEIS!CI66</f>
        <v>0</v>
      </c>
      <c r="J175" s="794">
        <f>MERCADERIES!DK164+SERVEIS!CJ66</f>
        <v>0</v>
      </c>
      <c r="K175" s="794">
        <f>MERCADERIES!DL164+SERVEIS!CK66</f>
        <v>0</v>
      </c>
      <c r="L175" s="794">
        <f>MERCADERIES!DM164+SERVEIS!CL66</f>
        <v>0</v>
      </c>
      <c r="M175" s="794">
        <f>MERCADERIES!DN164+SERVEIS!CM66</f>
        <v>0</v>
      </c>
      <c r="N175" s="15">
        <f>SUM(B175:M175)</f>
        <v>0</v>
      </c>
    </row>
    <row r="176" spans="1:14" x14ac:dyDescent="0.3">
      <c r="A176" s="108" t="s">
        <v>417</v>
      </c>
      <c r="B176" s="794">
        <f>(B144+B146+B147+B148+B149+B152+B153+B159)*$F134+LEASING!CQ14</f>
        <v>0</v>
      </c>
      <c r="C176" s="794">
        <f>(C144+C146+C147+C148+C149+C152+C153+C159)*$F134+LEASING!CR14</f>
        <v>0</v>
      </c>
      <c r="D176" s="794">
        <f>(D144+D146+D147+D148+D149+D152+D153+D159)*$F134+LEASING!CS14</f>
        <v>0</v>
      </c>
      <c r="E176" s="794">
        <f>(E144+E146+E147+E148+E149+E152+E153+E159)*$F134+LEASING!CT14</f>
        <v>0</v>
      </c>
      <c r="F176" s="794">
        <f>(F144+F146+F147+F148+F149+F152+F153+F159)*$F134+LEASING!CU14</f>
        <v>0</v>
      </c>
      <c r="G176" s="794">
        <f>(G144+G146+G147+G148+G149+G152+G153+G159)*$F134+LEASING!CV14</f>
        <v>0</v>
      </c>
      <c r="H176" s="794">
        <f>(H144+H146+H147+H148+H149+H152+H153+H159)*$F134+LEASING!CW14</f>
        <v>0</v>
      </c>
      <c r="I176" s="794">
        <f>(I144+I146+I147+I148+I149+I152+I153+I159)*$F134+LEASING!CX14</f>
        <v>0</v>
      </c>
      <c r="J176" s="794">
        <f>(J144+J146+J147+J148+J149+J152+J153+J159)*$F134+LEASING!CY14</f>
        <v>0</v>
      </c>
      <c r="K176" s="794">
        <f>(K144+K146+K147+K148+K149+K152+K153+K159)*$F134+LEASING!CZ14</f>
        <v>0</v>
      </c>
      <c r="L176" s="794">
        <f>(L144+L146+L147+L148+L149+L152+L153+L159)*$F134+LEASING!DA14</f>
        <v>0</v>
      </c>
      <c r="M176" s="794">
        <f>(M144+M146+M147+M148+M149+M152+M153+M159)*$F134+LEASING!DB14</f>
        <v>0</v>
      </c>
      <c r="N176" s="15">
        <f>SUM(B176:M176)</f>
        <v>0</v>
      </c>
    </row>
    <row r="177" spans="1:14" x14ac:dyDescent="0.3">
      <c r="A177" s="108" t="s">
        <v>418</v>
      </c>
      <c r="B177" s="794">
        <f>INVERSIONS!B95-INVERSIONS!C95</f>
        <v>0</v>
      </c>
      <c r="C177" s="794">
        <f>INVERSIONS!D95-INVERSIONS!E95</f>
        <v>0</v>
      </c>
      <c r="D177" s="794">
        <f>INVERSIONS!F95-INVERSIONS!G95</f>
        <v>0</v>
      </c>
      <c r="E177" s="794">
        <f>INVERSIONS!H95-INVERSIONS!I95</f>
        <v>0</v>
      </c>
      <c r="F177" s="794">
        <f>INVERSIONS!J95-INVERSIONS!K95</f>
        <v>0</v>
      </c>
      <c r="G177" s="794">
        <f>INVERSIONS!L95-INVERSIONS!M95</f>
        <v>0</v>
      </c>
      <c r="H177" s="794">
        <f>INVERSIONS!N95-INVERSIONS!O95</f>
        <v>0</v>
      </c>
      <c r="I177" s="794">
        <f>INVERSIONS!P95-INVERSIONS!Q95</f>
        <v>0</v>
      </c>
      <c r="J177" s="794">
        <f>INVERSIONS!R95-INVERSIONS!S95</f>
        <v>0</v>
      </c>
      <c r="K177" s="794">
        <f>INVERSIONS!T95-INVERSIONS!U95</f>
        <v>0</v>
      </c>
      <c r="L177" s="794">
        <f>INVERSIONS!V95-INVERSIONS!W95</f>
        <v>0</v>
      </c>
      <c r="M177" s="794">
        <f>INVERSIONS!X95-INVERSIONS!Y95</f>
        <v>0</v>
      </c>
      <c r="N177" s="15">
        <f>SUM(B177:M177)</f>
        <v>0</v>
      </c>
    </row>
    <row r="178" spans="1:14" x14ac:dyDescent="0.3">
      <c r="A178" s="1267" t="s">
        <v>419</v>
      </c>
      <c r="B178" s="1268">
        <f>IF(Fiscalitat!$H$21="A",HLOOKUP(B56,Fiscalitat!$E$14:$P$15,2,FALSE),IF(OR(B173="MARÇ",B173="JUNY",B173="SETEMBRE",B173="DESEMBRE"),SUM(A174:B174)-SUM(A175:B175)-SUM(A176:B176)-SUM(A177:B177+B183),0))</f>
        <v>0</v>
      </c>
      <c r="C178" s="1268">
        <f>IF(Fiscalitat!$H$21="A",HLOOKUP(C56,Fiscalitat!$E$14:$P$15,2,FALSE),IF(OR(C173="MARÇ",C173="JUNY",C173="SETEMBRE",C173="DESEMBRE"),SUM(B174:C174)-SUM(B175:C175)-SUM(B176:C176)-SUM(B177:C177+B183),0))</f>
        <v>0</v>
      </c>
      <c r="D178" s="1268">
        <f>IF(Fiscalitat!$H$21="A",HLOOKUP(D56,Fiscalitat!$E$14:$P$15,2,FALSE),IF(OR(D173="MARÇ",D173="JUNY",D173="SETEMBRE",D173="DESEMBRE"),SUM(B174:D174)-SUM(B175:D175)-SUM(B176:D176)-SUM(B177:D177+B183),0))</f>
        <v>0</v>
      </c>
      <c r="E178" s="1268">
        <f>IF(Fiscalitat!$H$21="A",HLOOKUP(E56,Fiscalitat!$E$14:$P$15,2,FALSE),IF(OR(E173="MARÇ",E173="JUNY",E173="SETEMBRE",E173="DESEMBRE"),SUM(C174:E174)-SUM(C175:E175)-SUM(C176:E176)-SUM(C177:E177),0))</f>
        <v>0</v>
      </c>
      <c r="F178" s="1268">
        <f>IF(Fiscalitat!$H$21="A",HLOOKUP(F56,Fiscalitat!$E$14:$P$15,2,FALSE),IF(OR(F173="MARÇ",F173="JUNY",F173="SETEMBRE",F173="DESEMBRE"),SUM(D174:F174)-SUM(D175:F175)-SUM(D176:F176)-SUM(D177:F177),0))</f>
        <v>0</v>
      </c>
      <c r="G178" s="1268">
        <f>IF(Fiscalitat!$H$21="A",HLOOKUP(G56,Fiscalitat!$E$14:$P$15,2,FALSE),IF(OR(G173="MARÇ",G173="JUNY",G173="SETEMBRE",G173="DESEMBRE"),SUM(E174:G174)-SUM(E175:G175)-SUM(E176:G176)-SUM(E177:G177),0))</f>
        <v>0</v>
      </c>
      <c r="H178" s="1268">
        <f>IF(Fiscalitat!$H$21="A",HLOOKUP(H56,Fiscalitat!$E$14:$P$15,2,FALSE),IF(OR(H173="MARÇ",H173="JUNY",H173="SETEMBRE",H173="DESEMBRE"),SUM(F174:H174)-SUM(F175:H175)-SUM(F176:H176)-SUM(F177:H177),0))</f>
        <v>0</v>
      </c>
      <c r="I178" s="1268">
        <f>IF(Fiscalitat!$H$21="A",HLOOKUP(I56,Fiscalitat!$E$14:$P$15,2,FALSE),IF(OR(I173="MARÇ",I173="JUNY",I173="SETEMBRE",I173="DESEMBRE"),SUM(G174:I174)-SUM(G175:I175)-SUM(G176:I176)-SUM(G177:I177),0))</f>
        <v>0</v>
      </c>
      <c r="J178" s="1268">
        <f>IF(Fiscalitat!$H$21="A",HLOOKUP(J56,Fiscalitat!$E$14:$P$15,2,FALSE),IF(OR(J173="MARÇ",J173="JUNY",J173="SETEMBRE",J173="DESEMBRE"),SUM(H174:J174)-SUM(H175:J175)-SUM(H176:J176)-SUM(H177:J177),0))</f>
        <v>0</v>
      </c>
      <c r="K178" s="1268">
        <f>IF(Fiscalitat!$H$21="A",HLOOKUP(K56,Fiscalitat!$E$14:$P$15,2,FALSE),IF(OR(K173="MARÇ",K173="JUNY",K173="SETEMBRE",K173="DESEMBRE"),SUM(I174:K174)-SUM(I175:K175)-SUM(I176:K176)-SUM(I177:K177),0))</f>
        <v>0</v>
      </c>
      <c r="L178" s="1268">
        <f>IF(Fiscalitat!$H$21="A",HLOOKUP(L56,Fiscalitat!$E$14:$P$15,2,FALSE),IF(OR(L173="MARÇ",L173="JUNY",L173="SETEMBRE",L173="DESEMBRE"),SUM(J174:L174)-SUM(J175:L175)-SUM(J176:L176)-SUM(J177:L177),0))</f>
        <v>0</v>
      </c>
      <c r="M178" s="1268">
        <f>IF(Fiscalitat!$H$21="A",HLOOKUP(M56,Fiscalitat!$E$14:$P$15,2,FALSE),IF(OR(M173="MARÇ",M173="JUNY",M173="SETEMBRE",M173="DESEMBRE"),SUM(K174:M174)-SUM(K175:M175)-SUM(K176:M176)-SUM(K177:M177),0))</f>
        <v>0</v>
      </c>
      <c r="N178" s="1268">
        <f>IF(OR(Fiscalitat!$H$21="A",Fiscalitat!$H$21="B"),SUM(B178:M178),N174-N175-N176-N177-B183)</f>
        <v>0</v>
      </c>
    </row>
    <row r="179" spans="1:14" x14ac:dyDescent="0.3">
      <c r="A179" s="108" t="s">
        <v>420</v>
      </c>
      <c r="B179" s="794">
        <f>IF(B178&gt;0,B178,0)</f>
        <v>0</v>
      </c>
      <c r="C179" s="794">
        <f>IF(C178&gt;0,C178,0)</f>
        <v>0</v>
      </c>
      <c r="D179" s="794">
        <f>IF(D178&gt;0,D178,0)</f>
        <v>0</v>
      </c>
      <c r="E179" s="794">
        <f t="shared" ref="E179:M179" si="48">IF(AND(E178&gt;0,B180&lt;E178),E178-B180,0)</f>
        <v>0</v>
      </c>
      <c r="F179" s="794">
        <f t="shared" si="48"/>
        <v>0</v>
      </c>
      <c r="G179" s="794">
        <f t="shared" si="48"/>
        <v>0</v>
      </c>
      <c r="H179" s="794">
        <f t="shared" si="48"/>
        <v>0</v>
      </c>
      <c r="I179" s="794">
        <f t="shared" si="48"/>
        <v>0</v>
      </c>
      <c r="J179" s="794">
        <f t="shared" si="48"/>
        <v>0</v>
      </c>
      <c r="K179" s="794">
        <f t="shared" si="48"/>
        <v>0</v>
      </c>
      <c r="L179" s="794">
        <f t="shared" si="48"/>
        <v>0</v>
      </c>
      <c r="M179" s="794">
        <f t="shared" si="48"/>
        <v>0</v>
      </c>
      <c r="N179" s="15">
        <f>SUM(B179:L179)</f>
        <v>0</v>
      </c>
    </row>
    <row r="180" spans="1:14" x14ac:dyDescent="0.3">
      <c r="A180" s="108" t="s">
        <v>421</v>
      </c>
      <c r="B180" s="794">
        <f>IF(B178&lt;0,-B178,0)</f>
        <v>0</v>
      </c>
      <c r="C180" s="794">
        <f>IF(C178&lt;0,-C178,0)</f>
        <v>0</v>
      </c>
      <c r="D180" s="794">
        <f>IF(D178&lt;0,-D178,0)</f>
        <v>0</v>
      </c>
      <c r="E180" s="794">
        <f t="shared" ref="E180:M180" si="49">IF(OR(E178&lt;0,B180&gt;E178),B180-E178,0)</f>
        <v>0</v>
      </c>
      <c r="F180" s="794">
        <f t="shared" si="49"/>
        <v>0</v>
      </c>
      <c r="G180" s="794">
        <f t="shared" si="49"/>
        <v>0</v>
      </c>
      <c r="H180" s="794">
        <f t="shared" si="49"/>
        <v>0</v>
      </c>
      <c r="I180" s="794">
        <f t="shared" si="49"/>
        <v>0</v>
      </c>
      <c r="J180" s="794">
        <f t="shared" si="49"/>
        <v>0</v>
      </c>
      <c r="K180" s="794">
        <f t="shared" si="49"/>
        <v>0</v>
      </c>
      <c r="L180" s="794">
        <f t="shared" si="49"/>
        <v>0</v>
      </c>
      <c r="M180" s="794">
        <f t="shared" si="49"/>
        <v>0</v>
      </c>
      <c r="N180" s="1269"/>
    </row>
    <row r="181" spans="1:14" x14ac:dyDescent="0.3">
      <c r="A181" s="108" t="s">
        <v>422</v>
      </c>
      <c r="B181" s="794">
        <f>TRESORERIA!C186</f>
        <v>0</v>
      </c>
      <c r="C181" s="794">
        <f>TRESORERIA!D186</f>
        <v>0</v>
      </c>
      <c r="D181" s="794">
        <f>TRESORERIA!E186</f>
        <v>0</v>
      </c>
      <c r="E181" s="794">
        <f>TRESORERIA!F186</f>
        <v>0</v>
      </c>
      <c r="F181" s="794">
        <f>TRESORERIA!G186</f>
        <v>0</v>
      </c>
      <c r="G181" s="794">
        <f>TRESORERIA!H186</f>
        <v>0</v>
      </c>
      <c r="H181" s="794">
        <f>TRESORERIA!I186</f>
        <v>0</v>
      </c>
      <c r="I181" s="794">
        <f>TRESORERIA!J186</f>
        <v>0</v>
      </c>
      <c r="J181" s="794">
        <f>TRESORERIA!K186</f>
        <v>0</v>
      </c>
      <c r="K181" s="794">
        <f>TRESORERIA!L186</f>
        <v>0</v>
      </c>
      <c r="L181" s="794">
        <f>TRESORERIA!M186</f>
        <v>0</v>
      </c>
      <c r="M181" s="794">
        <f>TRESORERIA!N186</f>
        <v>0</v>
      </c>
      <c r="N181" s="15">
        <f>SUM(B181:M181)</f>
        <v>0</v>
      </c>
    </row>
    <row r="182" spans="1:14" x14ac:dyDescent="0.3">
      <c r="A182" s="108" t="s">
        <v>423</v>
      </c>
      <c r="B182" s="794">
        <f>TRESORERIA!C223</f>
        <v>0</v>
      </c>
      <c r="C182" s="794">
        <f>TRESORERIA!D223</f>
        <v>0</v>
      </c>
      <c r="D182" s="794">
        <f>TRESORERIA!E223</f>
        <v>0</v>
      </c>
      <c r="E182" s="794">
        <f>TRESORERIA!F223</f>
        <v>0</v>
      </c>
      <c r="F182" s="794">
        <f>TRESORERIA!G223</f>
        <v>0</v>
      </c>
      <c r="G182" s="794">
        <f>TRESORERIA!H223</f>
        <v>0</v>
      </c>
      <c r="H182" s="794">
        <f>TRESORERIA!I223</f>
        <v>0</v>
      </c>
      <c r="I182" s="794">
        <f>TRESORERIA!J223</f>
        <v>0</v>
      </c>
      <c r="J182" s="794">
        <f>TRESORERIA!K223</f>
        <v>0</v>
      </c>
      <c r="K182" s="794">
        <f>TRESORERIA!L223</f>
        <v>0</v>
      </c>
      <c r="L182" s="794">
        <f>TRESORERIA!M223</f>
        <v>0</v>
      </c>
      <c r="M182" s="794">
        <f>TRESORERIA!N223</f>
        <v>0</v>
      </c>
      <c r="N182" s="15">
        <f>SUM(B182:M182)</f>
        <v>0</v>
      </c>
    </row>
    <row r="183" spans="1:14" ht="12.5" x14ac:dyDescent="0.25">
      <c r="A183" s="1299" t="s">
        <v>425</v>
      </c>
      <c r="B183" s="1101">
        <f>N118</f>
        <v>0</v>
      </c>
      <c r="C183" s="12"/>
      <c r="D183" s="12"/>
      <c r="E183" s="12"/>
      <c r="F183" s="12"/>
      <c r="G183" s="12"/>
      <c r="H183" s="12"/>
      <c r="I183" s="12"/>
      <c r="J183" s="12"/>
      <c r="K183" s="12"/>
      <c r="L183" s="1910" t="s">
        <v>424</v>
      </c>
      <c r="M183" s="1910"/>
      <c r="N183" s="1101">
        <f>IF(N178&gt;0,N178-N179,0)</f>
        <v>0</v>
      </c>
    </row>
    <row r="184" spans="1:14" x14ac:dyDescent="0.3">
      <c r="B184" s="1249"/>
      <c r="C184" s="12"/>
      <c r="D184" s="12"/>
      <c r="E184" s="12"/>
      <c r="F184" s="12"/>
      <c r="G184" s="12"/>
      <c r="H184" s="12"/>
      <c r="I184" s="12"/>
      <c r="J184" s="12"/>
      <c r="K184" s="12"/>
      <c r="L184" s="1910" t="s">
        <v>425</v>
      </c>
      <c r="M184" s="1910"/>
      <c r="N184" s="1101">
        <f>IF(N178&lt;0,-N178,0)</f>
        <v>0</v>
      </c>
    </row>
    <row r="186" spans="1:14" x14ac:dyDescent="0.3">
      <c r="A186" s="28" t="s">
        <v>426</v>
      </c>
      <c r="B186" s="1045" t="str">
        <f>+B12</f>
        <v>GENER</v>
      </c>
      <c r="C186" s="1045" t="str">
        <f t="shared" ref="C186:M186" si="50">+C12</f>
        <v>FEBRER</v>
      </c>
      <c r="D186" s="1045" t="str">
        <f t="shared" si="50"/>
        <v>MARÇ</v>
      </c>
      <c r="E186" s="1045" t="str">
        <f t="shared" si="50"/>
        <v>ABRIL</v>
      </c>
      <c r="F186" s="1045" t="str">
        <f t="shared" si="50"/>
        <v>MAIG</v>
      </c>
      <c r="G186" s="1045" t="str">
        <f t="shared" si="50"/>
        <v>JUNY</v>
      </c>
      <c r="H186" s="1045" t="str">
        <f t="shared" si="50"/>
        <v>JULIOL</v>
      </c>
      <c r="I186" s="1045" t="str">
        <f t="shared" si="50"/>
        <v>AGOST</v>
      </c>
      <c r="J186" s="1045" t="str">
        <f t="shared" si="50"/>
        <v>SETEMBRE</v>
      </c>
      <c r="K186" s="1045" t="str">
        <f t="shared" si="50"/>
        <v>OCTUBRE</v>
      </c>
      <c r="L186" s="1045" t="str">
        <f t="shared" si="50"/>
        <v>NOVEMBRE</v>
      </c>
      <c r="M186" s="1045" t="str">
        <f t="shared" si="50"/>
        <v>DESEMBRE</v>
      </c>
      <c r="N186" s="1045" t="s">
        <v>245</v>
      </c>
    </row>
    <row r="187" spans="1:14" x14ac:dyDescent="0.3">
      <c r="A187" s="23" t="s">
        <v>427</v>
      </c>
      <c r="B187" s="1022">
        <f>+'Resultats per mesos'!C104</f>
        <v>0</v>
      </c>
      <c r="C187" s="1022">
        <f>+'Resultats per mesos'!D104</f>
        <v>0</v>
      </c>
      <c r="D187" s="1022">
        <f>+'Resultats per mesos'!E104</f>
        <v>0</v>
      </c>
      <c r="E187" s="1022">
        <f>+'Resultats per mesos'!F104</f>
        <v>0</v>
      </c>
      <c r="F187" s="1022">
        <f>+'Resultats per mesos'!G104</f>
        <v>0</v>
      </c>
      <c r="G187" s="1022">
        <f>+'Resultats per mesos'!H104</f>
        <v>0</v>
      </c>
      <c r="H187" s="1022">
        <f>+'Resultats per mesos'!C127</f>
        <v>0</v>
      </c>
      <c r="I187" s="1022">
        <f>+'Resultats per mesos'!D127</f>
        <v>0</v>
      </c>
      <c r="J187" s="1022">
        <f>+'Resultats per mesos'!E127</f>
        <v>0</v>
      </c>
      <c r="K187" s="1022">
        <f>+'Resultats per mesos'!F127</f>
        <v>0</v>
      </c>
      <c r="L187" s="1022">
        <f>+'Resultats per mesos'!G127</f>
        <v>0</v>
      </c>
      <c r="M187" s="1022">
        <f>+'Resultats per mesos'!H127</f>
        <v>0</v>
      </c>
      <c r="N187" s="29">
        <f>SUM(B187:M187)</f>
        <v>0</v>
      </c>
    </row>
    <row r="188" spans="1:14" x14ac:dyDescent="0.3">
      <c r="A188" s="23" t="s">
        <v>428</v>
      </c>
      <c r="B188" s="1022">
        <f>+'Resultats per mesos'!C106+'Resultats per mesos'!C107+'Resultats per mesos'!C109+'Resultats per mesos'!C110+'Resultats per mesos'!C115+'Resultats per mesos'!C112+'Resultats per mesos'!C113</f>
        <v>0</v>
      </c>
      <c r="C188" s="1022">
        <f>+'Resultats per mesos'!D106+'Resultats per mesos'!D107+'Resultats per mesos'!D109+'Resultats per mesos'!D110+'Resultats per mesos'!D115+'Resultats per mesos'!D112+'Resultats per mesos'!D113</f>
        <v>0</v>
      </c>
      <c r="D188" s="1022">
        <f>+'Resultats per mesos'!E106+'Resultats per mesos'!E107+'Resultats per mesos'!E109+'Resultats per mesos'!E110+'Resultats per mesos'!E115+'Resultats per mesos'!E112+'Resultats per mesos'!E113</f>
        <v>0</v>
      </c>
      <c r="E188" s="1022">
        <f>+'Resultats per mesos'!F106+'Resultats per mesos'!F107+'Resultats per mesos'!F109+'Resultats per mesos'!F110+'Resultats per mesos'!F115+'Resultats per mesos'!F112+'Resultats per mesos'!F113</f>
        <v>0</v>
      </c>
      <c r="F188" s="1022">
        <f>+'Resultats per mesos'!G106+'Resultats per mesos'!G107+'Resultats per mesos'!G109+'Resultats per mesos'!G110+'Resultats per mesos'!G115+'Resultats per mesos'!G112+'Resultats per mesos'!G113</f>
        <v>0</v>
      </c>
      <c r="G188" s="1022">
        <f>+'Resultats per mesos'!H106+'Resultats per mesos'!H107+'Resultats per mesos'!H109+'Resultats per mesos'!H110+'Resultats per mesos'!H115+'Resultats per mesos'!H112+'Resultats per mesos'!H113</f>
        <v>0</v>
      </c>
      <c r="H188" s="1022">
        <f>+'Resultats per mesos'!C129+'Resultats per mesos'!C130+'Resultats per mesos'!C132+'Resultats per mesos'!C133+'Resultats per mesos'!C138+'Resultats per mesos'!C135+'Resultats per mesos'!C136</f>
        <v>0</v>
      </c>
      <c r="I188" s="1022">
        <f>+'Resultats per mesos'!D129+'Resultats per mesos'!D130+'Resultats per mesos'!D132+'Resultats per mesos'!D133+'Resultats per mesos'!D138+'Resultats per mesos'!D135+'Resultats per mesos'!D136</f>
        <v>0</v>
      </c>
      <c r="J188" s="1022">
        <f>+'Resultats per mesos'!E129+'Resultats per mesos'!E130+'Resultats per mesos'!E132+'Resultats per mesos'!E133+'Resultats per mesos'!E138+'Resultats per mesos'!E135+'Resultats per mesos'!E136</f>
        <v>0</v>
      </c>
      <c r="K188" s="1022">
        <f>+'Resultats per mesos'!F129+'Resultats per mesos'!F130+'Resultats per mesos'!F132+'Resultats per mesos'!F133+'Resultats per mesos'!F138+'Resultats per mesos'!F135+'Resultats per mesos'!F136</f>
        <v>0</v>
      </c>
      <c r="L188" s="1022">
        <f>+'Resultats per mesos'!G129+'Resultats per mesos'!G130+'Resultats per mesos'!G132+'Resultats per mesos'!G133+'Resultats per mesos'!G138+'Resultats per mesos'!G135+'Resultats per mesos'!G136</f>
        <v>0</v>
      </c>
      <c r="M188" s="1022">
        <f>+'Resultats per mesos'!H129+'Resultats per mesos'!H130+'Resultats per mesos'!H132+'Resultats per mesos'!H133+'Resultats per mesos'!H138+'Resultats per mesos'!H135+'Resultats per mesos'!H136</f>
        <v>0</v>
      </c>
      <c r="N188" s="29">
        <f>SUM(B188:M188)</f>
        <v>0</v>
      </c>
    </row>
    <row r="189" spans="1:14" x14ac:dyDescent="0.3">
      <c r="A189" s="23" t="s">
        <v>429</v>
      </c>
      <c r="B189" s="29">
        <f>IF(Fiscalitat!$H$21="e",IF(OR(B186="ABRIL",B186="OCTUBRE",B186="DESEMBRE"),$N$123*$H$9,IF(B186="JULIOL",($N$126),0)),IF(OR(Fiscalitat!$H$21="A",Fiscalitat!$H$21="B"),HLOOKUP(B186,Fiscalitat!$E$9:$P$10,2,FALSE),IF(OR(A186="MARÇ",A186="JUNY",A186="SETEMBRE",A186="DESEMBRE"),SUM(A187:B187)-SUM(A188:B188),0)*$H$8))</f>
        <v>0</v>
      </c>
      <c r="C189" s="29">
        <f>IF(Fiscalitat!$H$21="e",IF(OR(C186="ABRIL",C186="OCTUBRE",C186="DESEMBRE"),$N$123*$H$9,IF(C186="JULIOL",($N$126),0)),IF(OR(Fiscalitat!$H$21="A",Fiscalitat!$H$21="B"),HLOOKUP(C186,Fiscalitat!$E$9:$P$10,2,FALSE),IF(OR(B186="MARÇ",B186="JUNY",B186="SETEMBRE",B186="DESEMBRE"),SUM(A187:B187)-SUM(A188:B188),0)*$H$8))</f>
        <v>0</v>
      </c>
      <c r="D189" s="29">
        <f>IF(Fiscalitat!$H$21="e",IF(OR(D186="ABRIL",D186="OCTUBRE",D186="DESEMBRE"),$N$123*$H$9,IF(D186="JULIOL",($N$126),0)),IF(OR(Fiscalitat!$H$21="A",Fiscalitat!$H$21="B"),HLOOKUP(D186,Fiscalitat!$E$9:$P$10,2,FALSE),IF(OR(C186="MARÇ",C186="JUNY",C186="SETEMBRE",C186="DESEMBRE"),SUM(A187:C187)-SUM(A188:C188),0)*$H$8))</f>
        <v>0</v>
      </c>
      <c r="E189" s="29">
        <f>IF(Fiscalitat!$H$21="e",IF(OR(E186="ABRIL",E186="OCTUBRE",E186="DESEMBRE"),$N$123*$H$9,IF(E186="JULIOL",($N$126),0)),IF(OR(Fiscalitat!$H$21="A",Fiscalitat!$H$21="B"),HLOOKUP(E186,Fiscalitat!$E$9:$P$10,2,FALSE),IF(OR(D186="MARÇ",D186="JUNY",D186="SETEMBRE",D186="DESEMBRE"),SUM(B187:D187)-SUM(B188:D188),0)*$H$8))</f>
        <v>0</v>
      </c>
      <c r="F189" s="29">
        <f>IF(Fiscalitat!$H$21="e",IF(OR(F186="ABRIL",F186="OCTUBRE",F186="DESEMBRE"),$N$123*$H$9,IF(F186="JULIOL",($N$126),0)),IF(OR(Fiscalitat!$H$21="A",Fiscalitat!$H$21="B"),HLOOKUP(F186,Fiscalitat!$E$9:$P$10,2,FALSE),IF(OR(E186="MARÇ",E186="JUNY",E186="SETEMBRE",E186="DESEMBRE"),SUM(C187:E187)-SUM(C188:E188),0)*$H$8))</f>
        <v>0</v>
      </c>
      <c r="G189" s="29">
        <f>IF(Fiscalitat!$H$21="e",IF(OR(G186="ABRIL",G186="OCTUBRE",G186="DESEMBRE"),$N$123*$H$9,IF(G186="JULIOL",($N$126),0)),IF(OR(Fiscalitat!$H$21="A",Fiscalitat!$H$21="B"),HLOOKUP(G186,Fiscalitat!$E$9:$P$10,2,FALSE),IF(OR(F186="MARÇ",F186="JUNY",F186="SETEMBRE",F186="DESEMBRE"),SUM(D187:F187)-SUM(D188:F188),0)*$H$8))</f>
        <v>0</v>
      </c>
      <c r="H189" s="29">
        <f>IF(Fiscalitat!$H$21="e",IF(OR(H186="ABRIL",H186="OCTUBRE",H186="DESEMBRE"),$N$123*$H$9,IF(H186="JULIOL",($N$126),0)),IF(OR(Fiscalitat!$H$21="A",Fiscalitat!$H$21="B"),HLOOKUP(H186,Fiscalitat!$E$9:$P$10,2,FALSE),IF(OR(G186="MARÇ",G186="JUNY",G186="SETEMBRE",G186="DESEMBRE"),SUM(E187:G187)-SUM(E188:G188),0)*$H$8))</f>
        <v>0</v>
      </c>
      <c r="I189" s="29">
        <f>IF(Fiscalitat!$H$21="e",IF(OR(I186="ABRIL",I186="OCTUBRE",I186="DESEMBRE"),$N$123*$H$9,IF(I186="JULIOL",($N$126),0)),IF(OR(Fiscalitat!$H$21="A",Fiscalitat!$H$21="B"),HLOOKUP(I186,Fiscalitat!$E$9:$P$10,2,FALSE),IF(OR(H186="MARÇ",H186="JUNY",H186="SETEMBRE",H186="DESEMBRE"),SUM(F187:H187)-SUM(F188:H188),0)*$H$8))</f>
        <v>0</v>
      </c>
      <c r="J189" s="29">
        <f>IF(Fiscalitat!$H$21="e",IF(OR(J186="ABRIL",J186="OCTUBRE",J186="DESEMBRE"),$N$123*$H$9,IF(J186="JULIOL",($N$126),0)),IF(OR(Fiscalitat!$H$21="A",Fiscalitat!$H$21="B"),HLOOKUP(J186,Fiscalitat!$E$9:$P$10,2,FALSE),IF(OR(I186="MARÇ",I186="JUNY",I186="SETEMBRE",I186="DESEMBRE"),SUM(G187:I187)-SUM(G188:I188),0)*$H$8))</f>
        <v>0</v>
      </c>
      <c r="K189" s="29">
        <f>IF(Fiscalitat!$H$21="e",IF(OR(K186="ABRIL",K186="OCTUBRE",K186="DESEMBRE"),$N$123*$H$9,IF(K186="JULIOL",($N$126),0)),IF(OR(Fiscalitat!$H$21="A",Fiscalitat!$H$21="B"),HLOOKUP(K186,Fiscalitat!$E$9:$P$10,2,FALSE),IF(OR(J186="MARÇ",J186="JUNY",J186="SETEMBRE",J186="DESEMBRE"),SUM(H187:J187)-SUM(H188:J188),0)*$H$8))</f>
        <v>0</v>
      </c>
      <c r="L189" s="29">
        <f>IF(Fiscalitat!$H$21="e",IF(OR(L186="ABRIL",L186="OCTUBRE",L186="DESEMBRE"),$N$123*$H$9,IF(L186="JULIOL",($N$126),0)),IF(OR(Fiscalitat!$H$21="A",Fiscalitat!$H$21="B"),HLOOKUP(L186,Fiscalitat!$E$9:$P$10,2,FALSE),IF(OR(K186="MARÇ",K186="JUNY",K186="SETEMBRE",K186="DESEMBRE"),SUM(I187:K187)-SUM(I188:K188),0)*$H$8))</f>
        <v>0</v>
      </c>
      <c r="M189" s="29">
        <f>IF(Fiscalitat!$H$21="e",IF(OR(M186="ABRIL",M186="OCTUBRE",M186="DESEMBRE"),$N$123*$H$9,IF(M186="JULIOL",($N$126),0)),IF(OR(Fiscalitat!$H$21="A",Fiscalitat!$H$21="B"),HLOOKUP(M186,Fiscalitat!$E$9:$P$10,2,FALSE),IF(OR(L186="MARÇ",L186="JUNY",L186="SETEMBRE",L186="DESEMBRE"),SUM(J187:L187)-SUM(J188:L188),0)*$H$8))</f>
        <v>0</v>
      </c>
      <c r="N189" s="29">
        <f>IF(Fiscalitat!$H$21="e",IF((N187-N188)&lt;0,0,((N187-N188)*$H$8)),IF(OR(Fiscalitat!$H$21="A",Fiscalitat!$H$21="B"),SUM(B189:M189),IF(((N187-N188)&lt;0),0,((N187-N188)*$H$8))))</f>
        <v>0</v>
      </c>
    </row>
    <row r="190" spans="1:14" x14ac:dyDescent="0.3">
      <c r="A190" s="23" t="s">
        <v>430</v>
      </c>
      <c r="B190" s="1022">
        <f>IF(B189&gt;0,B189,0)</f>
        <v>0</v>
      </c>
      <c r="C190" s="1022">
        <f>IF(C189&gt;0,C189,0)</f>
        <v>0</v>
      </c>
      <c r="D190" s="1022">
        <f>IF(D189&gt;0,D189,0)</f>
        <v>0</v>
      </c>
      <c r="E190" s="1022">
        <f t="shared" ref="E190:M190" si="51">IF(AND(E189&gt;0,B191&lt;E189),E189-B191,0)</f>
        <v>0</v>
      </c>
      <c r="F190" s="1022">
        <f t="shared" si="51"/>
        <v>0</v>
      </c>
      <c r="G190" s="1022">
        <f t="shared" si="51"/>
        <v>0</v>
      </c>
      <c r="H190" s="1022">
        <f t="shared" si="51"/>
        <v>0</v>
      </c>
      <c r="I190" s="1022">
        <f t="shared" si="51"/>
        <v>0</v>
      </c>
      <c r="J190" s="1022">
        <f t="shared" si="51"/>
        <v>0</v>
      </c>
      <c r="K190" s="1022">
        <f t="shared" si="51"/>
        <v>0</v>
      </c>
      <c r="L190" s="1022">
        <f t="shared" si="51"/>
        <v>0</v>
      </c>
      <c r="M190" s="1022">
        <f t="shared" si="51"/>
        <v>0</v>
      </c>
      <c r="N190" s="29">
        <f>SUM(B190:M190)</f>
        <v>0</v>
      </c>
    </row>
    <row r="191" spans="1:14" x14ac:dyDescent="0.3">
      <c r="A191" s="23" t="s">
        <v>431</v>
      </c>
      <c r="B191" s="1022">
        <f>IF(Fiscalitat!H21="e",IF(B189&lt;0,-B189,0),IF(B189&lt;0,-B189,0)+B192)</f>
        <v>0</v>
      </c>
      <c r="C191" s="1022">
        <f>IF(C189&lt;0,-C189,0)</f>
        <v>0</v>
      </c>
      <c r="D191" s="1022">
        <f>IF(D189&lt;0,-D189,0)</f>
        <v>0</v>
      </c>
      <c r="E191" s="1022">
        <f t="shared" ref="E191:M191" si="52">IF(OR(E189&lt;0,B191&gt;E189),B191-E189,0)</f>
        <v>0</v>
      </c>
      <c r="F191" s="1022">
        <f t="shared" si="52"/>
        <v>0</v>
      </c>
      <c r="G191" s="1022">
        <f t="shared" si="52"/>
        <v>0</v>
      </c>
      <c r="H191" s="1022">
        <f t="shared" si="52"/>
        <v>0</v>
      </c>
      <c r="I191" s="1022">
        <f t="shared" si="52"/>
        <v>0</v>
      </c>
      <c r="J191" s="1022">
        <f t="shared" si="52"/>
        <v>0</v>
      </c>
      <c r="K191" s="1022">
        <f t="shared" si="52"/>
        <v>0</v>
      </c>
      <c r="L191" s="1022">
        <f t="shared" si="52"/>
        <v>0</v>
      </c>
      <c r="M191" s="1022">
        <f t="shared" si="52"/>
        <v>0</v>
      </c>
      <c r="N191" s="29">
        <f>SUM(B191:M191)</f>
        <v>0</v>
      </c>
    </row>
    <row r="192" spans="1:14" ht="12.5" x14ac:dyDescent="0.25">
      <c r="A192" s="1300" t="s">
        <v>433</v>
      </c>
      <c r="B192" s="1270">
        <f>+N127</f>
        <v>0</v>
      </c>
      <c r="C192" s="1301"/>
      <c r="D192" s="1301"/>
      <c r="E192" s="1301"/>
      <c r="F192" s="1301"/>
      <c r="G192" s="1301"/>
      <c r="H192" s="1301"/>
      <c r="I192" s="1301"/>
      <c r="J192" s="1301"/>
      <c r="K192" s="1301"/>
      <c r="L192" s="1909" t="s">
        <v>432</v>
      </c>
      <c r="M192" s="1909"/>
      <c r="N192" s="1270">
        <f>IF(Fiscalitat!$H$21="e",IF(VARIABLES!N189-($N$123*$H$9*3)&gt;=0,(VARIABLES!N189-($N$123*$H$9*3)),0),IF((N189-N190-B192)&gt;=0,N189-N190-B192,0))</f>
        <v>0</v>
      </c>
    </row>
    <row r="193" spans="1:14" x14ac:dyDescent="0.3">
      <c r="A193" s="88"/>
      <c r="B193" s="296"/>
      <c r="C193" s="296"/>
      <c r="D193" s="296"/>
      <c r="E193" s="296"/>
      <c r="F193" s="296"/>
      <c r="G193" s="296"/>
      <c r="H193" s="296"/>
      <c r="I193" s="296"/>
      <c r="J193" s="296"/>
      <c r="K193" s="296"/>
      <c r="L193" s="1909" t="s">
        <v>433</v>
      </c>
      <c r="M193" s="1909"/>
      <c r="N193" s="1270">
        <f>IF(Fiscalitat!$H$21="e",IF(VARIABLES!N189-($N$123*$H$9*3)&lt;0,-(VARIABLES!N189-($N$123*$H$9*3)),0),IF((N189-N190-B192)&lt;0,-(N189-N190-B192),0))</f>
        <v>0</v>
      </c>
    </row>
  </sheetData>
  <sheetProtection password="CC2F" sheet="1" objects="1" scenarios="1"/>
  <mergeCells count="12">
    <mergeCell ref="L192:M192"/>
    <mergeCell ref="L193:M193"/>
    <mergeCell ref="L118:M118"/>
    <mergeCell ref="L126:M126"/>
    <mergeCell ref="L127:M127"/>
    <mergeCell ref="L183:M183"/>
    <mergeCell ref="L184:M184"/>
    <mergeCell ref="L53:M53"/>
    <mergeCell ref="L54:M54"/>
    <mergeCell ref="L62:M62"/>
    <mergeCell ref="L63:M63"/>
    <mergeCell ref="L117:M117"/>
  </mergeCells>
  <phoneticPr fontId="22" type="noConversion"/>
  <pageMargins left="0.74791666666666667" right="0.74791666666666667" top="0.98402777777777783" bottom="0.98402777777777783" header="0.51180555555555562" footer="0.51180555555555562"/>
  <pageSetup paperSize="9" scale="65" firstPageNumber="0" orientation="landscape" horizontalDpi="300" verticalDpi="300" r:id="rId1"/>
  <headerFooter alignWithMargins="0"/>
  <rowBreaks count="2" manualBreakCount="2">
    <brk id="62" max="16383" man="1"/>
    <brk id="128"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2"/>
  <dimension ref="A1:R254"/>
  <sheetViews>
    <sheetView workbookViewId="0">
      <selection activeCell="C15" sqref="C15"/>
    </sheetView>
  </sheetViews>
  <sheetFormatPr defaultColWidth="11.453125" defaultRowHeight="12.5" x14ac:dyDescent="0.25"/>
  <cols>
    <col min="1" max="1" width="15.7265625" style="935" customWidth="1"/>
    <col min="2" max="2" width="21.81640625" style="935" customWidth="1"/>
    <col min="3" max="4" width="12.1796875" style="935" customWidth="1"/>
    <col min="5" max="12" width="11.453125" style="935"/>
    <col min="13" max="13" width="12.54296875" style="935" customWidth="1"/>
    <col min="14" max="14" width="13.1796875" style="935" customWidth="1"/>
    <col min="15" max="15" width="12.81640625" style="935" customWidth="1"/>
    <col min="16" max="16384" width="11.453125" style="935"/>
  </cols>
  <sheetData>
    <row r="1" spans="1:18" ht="13" x14ac:dyDescent="0.25">
      <c r="B1" s="608" t="s">
        <v>17</v>
      </c>
    </row>
    <row r="3" spans="1:18" ht="13" x14ac:dyDescent="0.25">
      <c r="A3" s="1911" t="s">
        <v>156</v>
      </c>
      <c r="B3" s="1911"/>
      <c r="C3" s="1911"/>
      <c r="D3" s="1305" t="s">
        <v>157</v>
      </c>
      <c r="E3" s="1306">
        <v>30</v>
      </c>
      <c r="F3" s="1306">
        <f>E3+30</f>
        <v>60</v>
      </c>
      <c r="G3" s="1306">
        <f t="shared" ref="G3:O3" si="0">F3+30</f>
        <v>90</v>
      </c>
      <c r="H3" s="1306">
        <f t="shared" si="0"/>
        <v>120</v>
      </c>
      <c r="I3" s="1306">
        <f t="shared" si="0"/>
        <v>150</v>
      </c>
      <c r="J3" s="1306">
        <f t="shared" si="0"/>
        <v>180</v>
      </c>
      <c r="K3" s="1306">
        <f t="shared" si="0"/>
        <v>210</v>
      </c>
      <c r="L3" s="1306">
        <f t="shared" si="0"/>
        <v>240</v>
      </c>
      <c r="M3" s="1306">
        <f t="shared" si="0"/>
        <v>270</v>
      </c>
      <c r="N3" s="1306">
        <f t="shared" si="0"/>
        <v>300</v>
      </c>
      <c r="O3" s="1306">
        <f t="shared" si="0"/>
        <v>330</v>
      </c>
    </row>
    <row r="4" spans="1:18" ht="12.75" hidden="1" customHeight="1" x14ac:dyDescent="0.25">
      <c r="B4" s="1307" t="e">
        <f>'Introducció dades'!#REF!</f>
        <v>#REF!</v>
      </c>
      <c r="C4" s="1308">
        <f>SUM(D4:O4)</f>
        <v>1</v>
      </c>
      <c r="D4" s="1309">
        <v>1</v>
      </c>
      <c r="E4" s="1310">
        <v>0</v>
      </c>
      <c r="F4" s="1310">
        <v>0</v>
      </c>
      <c r="G4" s="1310">
        <v>0</v>
      </c>
      <c r="H4" s="1310">
        <v>0</v>
      </c>
      <c r="I4" s="1310">
        <v>0</v>
      </c>
      <c r="J4" s="1310">
        <v>0</v>
      </c>
      <c r="K4" s="1310">
        <v>0</v>
      </c>
      <c r="L4" s="1310">
        <v>0</v>
      </c>
      <c r="M4" s="1310">
        <v>0</v>
      </c>
      <c r="N4" s="1310">
        <v>0</v>
      </c>
      <c r="O4" s="1310">
        <v>0</v>
      </c>
    </row>
    <row r="5" spans="1:18" ht="13" x14ac:dyDescent="0.25">
      <c r="A5" s="1311" t="s">
        <v>158</v>
      </c>
      <c r="B5" s="1312" t="str">
        <f>'Introducció dades'!C391</f>
        <v>COBRAMENT</v>
      </c>
      <c r="C5" s="1308">
        <f>SUM(D5:O5)</f>
        <v>1</v>
      </c>
      <c r="D5" s="1309">
        <f>'Introducció dades'!E391</f>
        <v>1</v>
      </c>
      <c r="E5" s="1310">
        <f>'Introducció dades'!F391</f>
        <v>0</v>
      </c>
      <c r="F5" s="1310">
        <f>'Introducció dades'!G391</f>
        <v>0</v>
      </c>
      <c r="G5" s="1310">
        <f>'Introducció dades'!H391</f>
        <v>0</v>
      </c>
      <c r="H5" s="1310">
        <f>'Introducció dades'!I391</f>
        <v>0</v>
      </c>
      <c r="I5" s="1310">
        <f>'Introducció dades'!J391</f>
        <v>0</v>
      </c>
      <c r="J5" s="1310">
        <f>'Introducció dades'!K391</f>
        <v>0</v>
      </c>
      <c r="K5" s="1310">
        <f>'Introducció dades'!L391</f>
        <v>0</v>
      </c>
      <c r="L5" s="1310">
        <f>'Introducció dades'!M391</f>
        <v>0</v>
      </c>
      <c r="M5" s="1310">
        <f>'Introducció dades'!N391</f>
        <v>0</v>
      </c>
      <c r="N5" s="1310">
        <f>'Introducció dades'!O391</f>
        <v>0</v>
      </c>
      <c r="O5" s="1310">
        <f>'Introducció dades'!P391</f>
        <v>0</v>
      </c>
    </row>
    <row r="6" spans="1:18" ht="12.75" hidden="1" customHeight="1" x14ac:dyDescent="0.25">
      <c r="B6" s="1312" t="e">
        <f>'Introducció dades'!#REF!</f>
        <v>#REF!</v>
      </c>
      <c r="C6" s="1308">
        <f>SUM(D6:O6)</f>
        <v>1</v>
      </c>
      <c r="D6" s="1309">
        <v>1</v>
      </c>
      <c r="E6" s="1310">
        <v>0</v>
      </c>
      <c r="F6" s="1310">
        <v>0</v>
      </c>
      <c r="G6" s="1310">
        <v>0</v>
      </c>
      <c r="H6" s="1310">
        <v>0</v>
      </c>
      <c r="I6" s="1310">
        <v>0</v>
      </c>
      <c r="J6" s="1310">
        <v>0</v>
      </c>
      <c r="K6" s="1310">
        <v>0</v>
      </c>
      <c r="L6" s="1310">
        <v>0</v>
      </c>
      <c r="M6" s="1310">
        <v>0</v>
      </c>
      <c r="N6" s="1310">
        <v>0</v>
      </c>
      <c r="O6" s="1310">
        <v>0</v>
      </c>
      <c r="Q6" s="1313" t="s">
        <v>434</v>
      </c>
      <c r="R6" s="1314">
        <f>O59+AJUSTAMENTS!B3+AJUSTAMENTS!E3-AJUSTAMENTS!B15-AJUSTAMENTS!E15-'Resultats per mesos'!I47-IF(Fiscalitat!H21="a",VARIABLES!N53,0)</f>
        <v>0</v>
      </c>
    </row>
    <row r="7" spans="1:18" ht="13" x14ac:dyDescent="0.25">
      <c r="A7" s="1315" t="s">
        <v>159</v>
      </c>
      <c r="B7" s="1312" t="str">
        <f>'Introducció dades'!C392</f>
        <v>PAGAMENT</v>
      </c>
      <c r="C7" s="1308">
        <f>SUM(D7:O7)</f>
        <v>1</v>
      </c>
      <c r="D7" s="1309">
        <f>'Introducció dades'!E392</f>
        <v>1</v>
      </c>
      <c r="E7" s="1310">
        <f>'Introducció dades'!F392</f>
        <v>0</v>
      </c>
      <c r="F7" s="1310">
        <f>'Introducció dades'!G392</f>
        <v>0</v>
      </c>
      <c r="G7" s="1310">
        <f>'Introducció dades'!H392</f>
        <v>0</v>
      </c>
      <c r="H7" s="1310">
        <f>'Introducció dades'!I392</f>
        <v>0</v>
      </c>
      <c r="I7" s="1310">
        <f>'Introducció dades'!J392</f>
        <v>0</v>
      </c>
      <c r="J7" s="1310">
        <f>'Introducció dades'!K392</f>
        <v>0</v>
      </c>
      <c r="K7" s="1310">
        <f>'Introducció dades'!L392</f>
        <v>0</v>
      </c>
      <c r="L7" s="1310">
        <f>'Introducció dades'!M392</f>
        <v>0</v>
      </c>
      <c r="M7" s="1310">
        <f>'Introducció dades'!N392</f>
        <v>0</v>
      </c>
      <c r="N7" s="1310">
        <f>'Introducció dades'!O392</f>
        <v>0</v>
      </c>
      <c r="O7" s="1310">
        <f>'Introducció dades'!P392</f>
        <v>0</v>
      </c>
    </row>
    <row r="8" spans="1:18" ht="13" x14ac:dyDescent="0.25">
      <c r="O8" s="912"/>
    </row>
    <row r="9" spans="1:18" ht="13" x14ac:dyDescent="0.25">
      <c r="A9" s="1316"/>
      <c r="B9" s="1317"/>
      <c r="C9" s="1835" t="s">
        <v>435</v>
      </c>
      <c r="D9" s="1835"/>
      <c r="E9" s="1835"/>
      <c r="F9" s="1835"/>
      <c r="G9" s="1835"/>
      <c r="H9" s="1835"/>
      <c r="I9" s="1835"/>
      <c r="J9" s="1835"/>
      <c r="K9" s="1835"/>
      <c r="L9" s="1835"/>
      <c r="M9" s="1835"/>
      <c r="N9" s="1835"/>
      <c r="O9" s="1912" t="s">
        <v>245</v>
      </c>
    </row>
    <row r="10" spans="1:18" ht="13" x14ac:dyDescent="0.25">
      <c r="A10" s="1320"/>
      <c r="B10" s="1321"/>
      <c r="C10" s="1322" t="str">
        <f>VARIABLES!B12</f>
        <v>GENER</v>
      </c>
      <c r="D10" s="1322" t="str">
        <f>VARIABLES!C12</f>
        <v>FEBRER</v>
      </c>
      <c r="E10" s="1322" t="str">
        <f>VARIABLES!D12</f>
        <v>MARÇ</v>
      </c>
      <c r="F10" s="1322" t="str">
        <f>VARIABLES!E12</f>
        <v>ABRIL</v>
      </c>
      <c r="G10" s="1322" t="str">
        <f>VARIABLES!F12</f>
        <v>MAIG</v>
      </c>
      <c r="H10" s="1322" t="str">
        <f>VARIABLES!G12</f>
        <v>JUNY</v>
      </c>
      <c r="I10" s="1322" t="str">
        <f>VARIABLES!H12</f>
        <v>JULIOL</v>
      </c>
      <c r="J10" s="1322" t="str">
        <f>VARIABLES!I12</f>
        <v>AGOST</v>
      </c>
      <c r="K10" s="1322" t="str">
        <f>VARIABLES!J12</f>
        <v>SETEMBRE</v>
      </c>
      <c r="L10" s="1322" t="str">
        <f>VARIABLES!K12</f>
        <v>OCTUBRE</v>
      </c>
      <c r="M10" s="1322" t="str">
        <f>VARIABLES!L12</f>
        <v>NOVEMBRE</v>
      </c>
      <c r="N10" s="1322" t="str">
        <f>VARIABLES!M12</f>
        <v>DESEMBRE</v>
      </c>
      <c r="O10" s="1912"/>
    </row>
    <row r="11" spans="1:18" ht="13" x14ac:dyDescent="0.25">
      <c r="A11" s="1913" t="s">
        <v>64</v>
      </c>
      <c r="B11" s="1913"/>
      <c r="C11" s="1323"/>
      <c r="D11" s="1323"/>
      <c r="E11" s="1323"/>
      <c r="F11" s="1323"/>
      <c r="G11" s="1323"/>
      <c r="H11" s="1323"/>
      <c r="I11" s="1323"/>
      <c r="J11" s="1323"/>
      <c r="K11" s="1323"/>
      <c r="L11" s="1323"/>
      <c r="M11" s="1323"/>
      <c r="N11" s="1323"/>
      <c r="O11" s="908"/>
    </row>
    <row r="12" spans="1:18" ht="13" x14ac:dyDescent="0.25">
      <c r="A12" s="1914" t="s">
        <v>436</v>
      </c>
      <c r="B12" s="1914"/>
      <c r="C12" s="1324">
        <f>SUM(C13:C14)</f>
        <v>0</v>
      </c>
      <c r="D12" s="1324">
        <f t="shared" ref="D12:N12" si="1">SUM(D13:D14)</f>
        <v>0</v>
      </c>
      <c r="E12" s="1324">
        <f t="shared" si="1"/>
        <v>0</v>
      </c>
      <c r="F12" s="1324">
        <f t="shared" si="1"/>
        <v>0</v>
      </c>
      <c r="G12" s="1324">
        <f t="shared" si="1"/>
        <v>0</v>
      </c>
      <c r="H12" s="1324">
        <f t="shared" si="1"/>
        <v>0</v>
      </c>
      <c r="I12" s="1324">
        <f t="shared" si="1"/>
        <v>0</v>
      </c>
      <c r="J12" s="1324">
        <f t="shared" si="1"/>
        <v>0</v>
      </c>
      <c r="K12" s="1324">
        <f t="shared" si="1"/>
        <v>0</v>
      </c>
      <c r="L12" s="1324">
        <f t="shared" si="1"/>
        <v>0</v>
      </c>
      <c r="M12" s="1324">
        <f t="shared" si="1"/>
        <v>0</v>
      </c>
      <c r="N12" s="1324">
        <f t="shared" si="1"/>
        <v>0</v>
      </c>
      <c r="O12" s="1325">
        <f>SUM(C12:N12)</f>
        <v>0</v>
      </c>
    </row>
    <row r="13" spans="1:18" x14ac:dyDescent="0.25">
      <c r="A13" s="1915" t="s">
        <v>354</v>
      </c>
      <c r="B13" s="1915"/>
      <c r="C13" s="1326">
        <f>'INGRESSOS _ COMPRES'!C16</f>
        <v>0</v>
      </c>
      <c r="D13" s="1326">
        <f>'INGRESSOS _ COMPRES'!D16</f>
        <v>0</v>
      </c>
      <c r="E13" s="1326">
        <f>'INGRESSOS _ COMPRES'!E16</f>
        <v>0</v>
      </c>
      <c r="F13" s="1326">
        <f>'INGRESSOS _ COMPRES'!F16</f>
        <v>0</v>
      </c>
      <c r="G13" s="1326">
        <f>'INGRESSOS _ COMPRES'!G16</f>
        <v>0</v>
      </c>
      <c r="H13" s="1326">
        <f>'INGRESSOS _ COMPRES'!H16</f>
        <v>0</v>
      </c>
      <c r="I13" s="1326">
        <f>'INGRESSOS _ COMPRES'!I16</f>
        <v>0</v>
      </c>
      <c r="J13" s="1326">
        <f>'INGRESSOS _ COMPRES'!J16</f>
        <v>0</v>
      </c>
      <c r="K13" s="1326">
        <f>'INGRESSOS _ COMPRES'!K16</f>
        <v>0</v>
      </c>
      <c r="L13" s="1326">
        <f>'INGRESSOS _ COMPRES'!L16</f>
        <v>0</v>
      </c>
      <c r="M13" s="1326">
        <f>'INGRESSOS _ COMPRES'!M16</f>
        <v>0</v>
      </c>
      <c r="N13" s="1326">
        <f>'INGRESSOS _ COMPRES'!N16</f>
        <v>0</v>
      </c>
      <c r="O13" s="1326">
        <f t="shared" ref="O13:O18" si="2">SUM(C13:N13)</f>
        <v>0</v>
      </c>
    </row>
    <row r="14" spans="1:18" x14ac:dyDescent="0.25">
      <c r="A14" s="1916" t="s">
        <v>343</v>
      </c>
      <c r="B14" s="1916"/>
      <c r="C14" s="1327">
        <f>'INGRESSOS _ COMPRES'!C31</f>
        <v>0</v>
      </c>
      <c r="D14" s="1327">
        <f>'INGRESSOS _ COMPRES'!D31</f>
        <v>0</v>
      </c>
      <c r="E14" s="1327">
        <f>'INGRESSOS _ COMPRES'!E31</f>
        <v>0</v>
      </c>
      <c r="F14" s="1327">
        <f>'INGRESSOS _ COMPRES'!F31</f>
        <v>0</v>
      </c>
      <c r="G14" s="1327">
        <f>'INGRESSOS _ COMPRES'!G31</f>
        <v>0</v>
      </c>
      <c r="H14" s="1327">
        <f>'INGRESSOS _ COMPRES'!H31</f>
        <v>0</v>
      </c>
      <c r="I14" s="1327">
        <f>'INGRESSOS _ COMPRES'!I31</f>
        <v>0</v>
      </c>
      <c r="J14" s="1327">
        <f>'INGRESSOS _ COMPRES'!J31</f>
        <v>0</v>
      </c>
      <c r="K14" s="1327">
        <f>'INGRESSOS _ COMPRES'!K31</f>
        <v>0</v>
      </c>
      <c r="L14" s="1327">
        <f>'INGRESSOS _ COMPRES'!L31</f>
        <v>0</v>
      </c>
      <c r="M14" s="1327">
        <f>'INGRESSOS _ COMPRES'!M31</f>
        <v>0</v>
      </c>
      <c r="N14" s="1327">
        <f>'INGRESSOS _ COMPRES'!N31</f>
        <v>0</v>
      </c>
      <c r="O14" s="1327">
        <f t="shared" si="2"/>
        <v>0</v>
      </c>
    </row>
    <row r="15" spans="1:18" ht="13" x14ac:dyDescent="0.25">
      <c r="A15" s="1917" t="s">
        <v>422</v>
      </c>
      <c r="B15" s="1917"/>
      <c r="C15" s="1328">
        <f>C13*MERCADERIES!$DO25+C14*SERVEIS!$CN25</f>
        <v>0</v>
      </c>
      <c r="D15" s="1328">
        <f>D13*MERCADERIES!$DO25+D14*SERVEIS!$CN25</f>
        <v>0</v>
      </c>
      <c r="E15" s="1328">
        <f>E13*MERCADERIES!$DO25+E14*SERVEIS!$CN25</f>
        <v>0</v>
      </c>
      <c r="F15" s="1328">
        <f>F13*MERCADERIES!$DO25+F14*SERVEIS!$CN25</f>
        <v>0</v>
      </c>
      <c r="G15" s="1328">
        <f>G13*MERCADERIES!$DO25+G14*SERVEIS!$CN25</f>
        <v>0</v>
      </c>
      <c r="H15" s="1328">
        <f>H13*MERCADERIES!$DO25+H14*SERVEIS!$CN25</f>
        <v>0</v>
      </c>
      <c r="I15" s="1328">
        <f>I13*MERCADERIES!$DO25+I14*SERVEIS!$CN25</f>
        <v>0</v>
      </c>
      <c r="J15" s="1328">
        <f>J13*MERCADERIES!$DO25+J14*SERVEIS!$CN25</f>
        <v>0</v>
      </c>
      <c r="K15" s="1328">
        <f>K13*MERCADERIES!$DO25+K14*SERVEIS!$CN25</f>
        <v>0</v>
      </c>
      <c r="L15" s="1328">
        <f>L13*MERCADERIES!$DO25+L14*SERVEIS!$CN25</f>
        <v>0</v>
      </c>
      <c r="M15" s="1328">
        <f>M13*MERCADERIES!$DO25+M14*SERVEIS!$CN25</f>
        <v>0</v>
      </c>
      <c r="N15" s="1328">
        <f>N13*MERCADERIES!$DO25+N14*SERVEIS!$CN25</f>
        <v>0</v>
      </c>
      <c r="O15" s="1329">
        <f t="shared" si="2"/>
        <v>0</v>
      </c>
    </row>
    <row r="16" spans="1:18" ht="13" x14ac:dyDescent="0.25">
      <c r="A16" s="1917" t="s">
        <v>437</v>
      </c>
      <c r="B16" s="1917"/>
      <c r="C16" s="1328"/>
      <c r="D16" s="1328">
        <f>C84</f>
        <v>0</v>
      </c>
      <c r="E16" s="1328">
        <f t="shared" ref="E16:N16" si="3">D84</f>
        <v>0</v>
      </c>
      <c r="F16" s="1328">
        <f t="shared" si="3"/>
        <v>0</v>
      </c>
      <c r="G16" s="1328">
        <f t="shared" si="3"/>
        <v>0</v>
      </c>
      <c r="H16" s="1328">
        <f t="shared" si="3"/>
        <v>0</v>
      </c>
      <c r="I16" s="1328">
        <f t="shared" si="3"/>
        <v>0</v>
      </c>
      <c r="J16" s="1328">
        <f t="shared" si="3"/>
        <v>0</v>
      </c>
      <c r="K16" s="1328">
        <f t="shared" si="3"/>
        <v>0</v>
      </c>
      <c r="L16" s="1328">
        <f t="shared" si="3"/>
        <v>0</v>
      </c>
      <c r="M16" s="1328">
        <f t="shared" si="3"/>
        <v>0</v>
      </c>
      <c r="N16" s="1328">
        <f t="shared" si="3"/>
        <v>0</v>
      </c>
      <c r="O16" s="1329">
        <f t="shared" si="2"/>
        <v>0</v>
      </c>
    </row>
    <row r="17" spans="1:15" ht="13" x14ac:dyDescent="0.25">
      <c r="A17" s="1917" t="s">
        <v>438</v>
      </c>
      <c r="B17" s="1917"/>
      <c r="C17" s="1328">
        <f>IF(C10=FINANÇAMENT!$B16,FINANÇAMENT!$B12,0)</f>
        <v>0</v>
      </c>
      <c r="D17" s="1328">
        <f>IF(D10=FINANÇAMENT!$B16,FINANÇAMENT!$B12,0)</f>
        <v>0</v>
      </c>
      <c r="E17" s="1328">
        <f>IF(E10=FINANÇAMENT!$B16,FINANÇAMENT!$B12,0)</f>
        <v>0</v>
      </c>
      <c r="F17" s="1328">
        <f>IF(F10=FINANÇAMENT!$B16,FINANÇAMENT!$B12,0)</f>
        <v>0</v>
      </c>
      <c r="G17" s="1328">
        <f>IF(G10=FINANÇAMENT!$B16,FINANÇAMENT!$B12,0)</f>
        <v>0</v>
      </c>
      <c r="H17" s="1328">
        <f>IF(H10=FINANÇAMENT!$B16,FINANÇAMENT!$B12,0)</f>
        <v>0</v>
      </c>
      <c r="I17" s="1328">
        <f>IF(I10=FINANÇAMENT!$B16,FINANÇAMENT!$B12,0)</f>
        <v>0</v>
      </c>
      <c r="J17" s="1328">
        <f>IF(J10=FINANÇAMENT!$B16,FINANÇAMENT!$B12,0)</f>
        <v>0</v>
      </c>
      <c r="K17" s="1328">
        <f>IF(K10=FINANÇAMENT!$B16,FINANÇAMENT!$B12,0)</f>
        <v>0</v>
      </c>
      <c r="L17" s="1328">
        <f>IF(L10=FINANÇAMENT!$B16,FINANÇAMENT!$B12,0)</f>
        <v>0</v>
      </c>
      <c r="M17" s="1328">
        <f>IF(M10=FINANÇAMENT!$B16,FINANÇAMENT!$B12,0)</f>
        <v>0</v>
      </c>
      <c r="N17" s="1328">
        <f>IF(N10=FINANÇAMENT!$B16,FINANÇAMENT!$B12,0)</f>
        <v>0</v>
      </c>
      <c r="O17" s="1329">
        <f>SUM(C17:N17)</f>
        <v>0</v>
      </c>
    </row>
    <row r="18" spans="1:15" ht="13" x14ac:dyDescent="0.25">
      <c r="A18" s="1917" t="s">
        <v>439</v>
      </c>
      <c r="B18" s="1917"/>
      <c r="C18" s="1328">
        <f>'Pla inversions i finançament'!B21-'Pla inversions i finançament'!B20</f>
        <v>0</v>
      </c>
      <c r="D18" s="1328"/>
      <c r="E18" s="1328"/>
      <c r="F18" s="1328"/>
      <c r="G18" s="1328"/>
      <c r="H18" s="1328"/>
      <c r="I18" s="1328"/>
      <c r="J18" s="1328"/>
      <c r="K18" s="1328"/>
      <c r="L18" s="1328"/>
      <c r="M18" s="1328"/>
      <c r="N18" s="1328"/>
      <c r="O18" s="1329">
        <f t="shared" si="2"/>
        <v>0</v>
      </c>
    </row>
    <row r="19" spans="1:15" ht="13" x14ac:dyDescent="0.25">
      <c r="A19" s="1918" t="s">
        <v>440</v>
      </c>
      <c r="B19" s="1918"/>
      <c r="C19" s="1330">
        <f>C12+SUM(C15:C18)</f>
        <v>0</v>
      </c>
      <c r="D19" s="1330">
        <f t="shared" ref="D19:O19" si="4">D12+SUM(D15:D18)</f>
        <v>0</v>
      </c>
      <c r="E19" s="1330">
        <f t="shared" si="4"/>
        <v>0</v>
      </c>
      <c r="F19" s="1330">
        <f t="shared" si="4"/>
        <v>0</v>
      </c>
      <c r="G19" s="1330">
        <f t="shared" si="4"/>
        <v>0</v>
      </c>
      <c r="H19" s="1330">
        <f t="shared" si="4"/>
        <v>0</v>
      </c>
      <c r="I19" s="1330">
        <f t="shared" si="4"/>
        <v>0</v>
      </c>
      <c r="J19" s="1330">
        <f t="shared" si="4"/>
        <v>0</v>
      </c>
      <c r="K19" s="1330">
        <f t="shared" si="4"/>
        <v>0</v>
      </c>
      <c r="L19" s="1330">
        <f t="shared" si="4"/>
        <v>0</v>
      </c>
      <c r="M19" s="1330">
        <f t="shared" si="4"/>
        <v>0</v>
      </c>
      <c r="N19" s="1330">
        <f t="shared" si="4"/>
        <v>0</v>
      </c>
      <c r="O19" s="1330">
        <f t="shared" si="4"/>
        <v>0</v>
      </c>
    </row>
    <row r="20" spans="1:15" ht="13" x14ac:dyDescent="0.25">
      <c r="C20" s="1331"/>
      <c r="D20" s="1331"/>
      <c r="E20" s="1331"/>
      <c r="F20" s="1331"/>
      <c r="G20" s="1331"/>
      <c r="H20" s="1331"/>
      <c r="I20" s="1331"/>
      <c r="J20" s="1331"/>
      <c r="K20" s="1331"/>
      <c r="L20" s="1331"/>
      <c r="M20" s="1331"/>
      <c r="N20" s="1331"/>
      <c r="O20" s="1332"/>
    </row>
    <row r="21" spans="1:15" ht="13" x14ac:dyDescent="0.25">
      <c r="A21" s="1913" t="s">
        <v>65</v>
      </c>
      <c r="B21" s="1913"/>
      <c r="C21" s="1328"/>
      <c r="D21" s="1328"/>
      <c r="E21" s="1328"/>
      <c r="F21" s="1328"/>
      <c r="G21" s="1328"/>
      <c r="H21" s="1328"/>
      <c r="I21" s="1328"/>
      <c r="J21" s="1328"/>
      <c r="K21" s="1328"/>
      <c r="L21" s="1328"/>
      <c r="M21" s="1328"/>
      <c r="N21" s="1328"/>
      <c r="O21" s="1329"/>
    </row>
    <row r="22" spans="1:15" ht="13" x14ac:dyDescent="0.25">
      <c r="A22" s="1914" t="s">
        <v>441</v>
      </c>
      <c r="B22" s="1914"/>
      <c r="C22" s="1324">
        <f>SUM(C23:C25)</f>
        <v>0</v>
      </c>
      <c r="D22" s="1324">
        <f t="shared" ref="D22:N22" si="5">SUM(D23:D25)</f>
        <v>0</v>
      </c>
      <c r="E22" s="1324">
        <f t="shared" si="5"/>
        <v>0</v>
      </c>
      <c r="F22" s="1324">
        <f t="shared" si="5"/>
        <v>0</v>
      </c>
      <c r="G22" s="1324">
        <f t="shared" si="5"/>
        <v>0</v>
      </c>
      <c r="H22" s="1324">
        <f t="shared" si="5"/>
        <v>0</v>
      </c>
      <c r="I22" s="1324">
        <f t="shared" si="5"/>
        <v>0</v>
      </c>
      <c r="J22" s="1324">
        <f t="shared" si="5"/>
        <v>0</v>
      </c>
      <c r="K22" s="1324">
        <f t="shared" si="5"/>
        <v>0</v>
      </c>
      <c r="L22" s="1324">
        <f t="shared" si="5"/>
        <v>0</v>
      </c>
      <c r="M22" s="1324">
        <f t="shared" si="5"/>
        <v>0</v>
      </c>
      <c r="N22" s="1324">
        <f t="shared" si="5"/>
        <v>0</v>
      </c>
      <c r="O22" s="1325">
        <f t="shared" ref="O22:O37" si="6">SUM(C22:N22)</f>
        <v>0</v>
      </c>
    </row>
    <row r="23" spans="1:15" hidden="1" x14ac:dyDescent="0.25">
      <c r="A23" s="1915" t="s">
        <v>345</v>
      </c>
      <c r="B23" s="1915"/>
      <c r="C23" s="1326">
        <f>'INGRESSOS _ COMPRES'!C48</f>
        <v>0</v>
      </c>
      <c r="D23" s="1326">
        <f>'INGRESSOS _ COMPRES'!D48</f>
        <v>0</v>
      </c>
      <c r="E23" s="1326">
        <f>'INGRESSOS _ COMPRES'!E48</f>
        <v>0</v>
      </c>
      <c r="F23" s="1326">
        <f>'INGRESSOS _ COMPRES'!F48</f>
        <v>0</v>
      </c>
      <c r="G23" s="1326">
        <f>'INGRESSOS _ COMPRES'!G48</f>
        <v>0</v>
      </c>
      <c r="H23" s="1326">
        <f>'INGRESSOS _ COMPRES'!H48</f>
        <v>0</v>
      </c>
      <c r="I23" s="1326">
        <f>'INGRESSOS _ COMPRES'!I48</f>
        <v>0</v>
      </c>
      <c r="J23" s="1326">
        <f>'INGRESSOS _ COMPRES'!J48</f>
        <v>0</v>
      </c>
      <c r="K23" s="1326">
        <f>'INGRESSOS _ COMPRES'!K48</f>
        <v>0</v>
      </c>
      <c r="L23" s="1326">
        <f>'INGRESSOS _ COMPRES'!L48</f>
        <v>0</v>
      </c>
      <c r="M23" s="1326">
        <f>'INGRESSOS _ COMPRES'!M48</f>
        <v>0</v>
      </c>
      <c r="N23" s="1326">
        <f>'INGRESSOS _ COMPRES'!N48</f>
        <v>0</v>
      </c>
      <c r="O23" s="1326">
        <f t="shared" ref="O23:O28" si="7">SUM(C23:N23)</f>
        <v>0</v>
      </c>
    </row>
    <row r="24" spans="1:15" hidden="1" x14ac:dyDescent="0.25">
      <c r="A24" s="1915" t="s">
        <v>442</v>
      </c>
      <c r="B24" s="1915"/>
      <c r="C24" s="1326">
        <f>'INGRESSOS _ COMPRES'!C63</f>
        <v>0</v>
      </c>
      <c r="D24" s="1326">
        <f>'INGRESSOS _ COMPRES'!D63</f>
        <v>0</v>
      </c>
      <c r="E24" s="1326">
        <f>'INGRESSOS _ COMPRES'!E63</f>
        <v>0</v>
      </c>
      <c r="F24" s="1326">
        <f>'INGRESSOS _ COMPRES'!F63</f>
        <v>0</v>
      </c>
      <c r="G24" s="1326">
        <f>'INGRESSOS _ COMPRES'!G63</f>
        <v>0</v>
      </c>
      <c r="H24" s="1326">
        <f>'INGRESSOS _ COMPRES'!H63</f>
        <v>0</v>
      </c>
      <c r="I24" s="1326">
        <f>'INGRESSOS _ COMPRES'!I63</f>
        <v>0</v>
      </c>
      <c r="J24" s="1326">
        <f>'INGRESSOS _ COMPRES'!J63</f>
        <v>0</v>
      </c>
      <c r="K24" s="1326">
        <f>'INGRESSOS _ COMPRES'!K63</f>
        <v>0</v>
      </c>
      <c r="L24" s="1326">
        <f>'INGRESSOS _ COMPRES'!L63</f>
        <v>0</v>
      </c>
      <c r="M24" s="1326">
        <f>'INGRESSOS _ COMPRES'!M63</f>
        <v>0</v>
      </c>
      <c r="N24" s="1326">
        <f>'INGRESSOS _ COMPRES'!N63</f>
        <v>0</v>
      </c>
      <c r="O24" s="1326">
        <f t="shared" si="7"/>
        <v>0</v>
      </c>
    </row>
    <row r="25" spans="1:15" hidden="1" x14ac:dyDescent="0.25">
      <c r="A25" s="1916" t="s">
        <v>443</v>
      </c>
      <c r="B25" s="1916"/>
      <c r="C25" s="1327">
        <f>IF(OR(Fiscalitat!$H$21="a",Fiscalitat!$H$21="B",Fiscalitat!$H$21="D"),'Introducció dades'!C11,'Introducció dades'!C11/(1+'Introducció dades'!I11))</f>
        <v>0</v>
      </c>
      <c r="D25" s="1327">
        <v>0</v>
      </c>
      <c r="E25" s="1327">
        <v>0</v>
      </c>
      <c r="F25" s="1327">
        <v>0</v>
      </c>
      <c r="G25" s="1327">
        <v>0</v>
      </c>
      <c r="H25" s="1327">
        <v>0</v>
      </c>
      <c r="I25" s="1327">
        <v>0</v>
      </c>
      <c r="J25" s="1327">
        <v>0</v>
      </c>
      <c r="K25" s="1327">
        <v>0</v>
      </c>
      <c r="L25" s="1327">
        <v>0</v>
      </c>
      <c r="M25" s="1327">
        <v>0</v>
      </c>
      <c r="N25" s="1327">
        <v>0</v>
      </c>
      <c r="O25" s="1327">
        <f t="shared" si="7"/>
        <v>0</v>
      </c>
    </row>
    <row r="26" spans="1:15" ht="13" x14ac:dyDescent="0.25">
      <c r="A26" s="1914" t="s">
        <v>444</v>
      </c>
      <c r="B26" s="1914"/>
      <c r="C26" s="1324">
        <f t="shared" ref="C26:N26" si="8">SUM(C27:C37)</f>
        <v>0</v>
      </c>
      <c r="D26" s="1324">
        <f t="shared" si="8"/>
        <v>0</v>
      </c>
      <c r="E26" s="1324">
        <f t="shared" si="8"/>
        <v>0</v>
      </c>
      <c r="F26" s="1324">
        <f t="shared" si="8"/>
        <v>0</v>
      </c>
      <c r="G26" s="1324">
        <f t="shared" si="8"/>
        <v>0</v>
      </c>
      <c r="H26" s="1324">
        <f t="shared" si="8"/>
        <v>0</v>
      </c>
      <c r="I26" s="1324">
        <f t="shared" si="8"/>
        <v>0</v>
      </c>
      <c r="J26" s="1324">
        <f t="shared" si="8"/>
        <v>0</v>
      </c>
      <c r="K26" s="1324">
        <f t="shared" si="8"/>
        <v>0</v>
      </c>
      <c r="L26" s="1324">
        <f t="shared" si="8"/>
        <v>0</v>
      </c>
      <c r="M26" s="1324">
        <f t="shared" si="8"/>
        <v>0</v>
      </c>
      <c r="N26" s="1324">
        <f t="shared" si="8"/>
        <v>0</v>
      </c>
      <c r="O26" s="1325">
        <f t="shared" si="7"/>
        <v>0</v>
      </c>
    </row>
    <row r="27" spans="1:15" x14ac:dyDescent="0.25">
      <c r="A27" s="1919" t="s">
        <v>164</v>
      </c>
      <c r="B27" s="1919"/>
      <c r="C27" s="1326">
        <f>VARIABLES!B16-VARIABLES!B39</f>
        <v>0</v>
      </c>
      <c r="D27" s="1326">
        <f>VARIABLES!C16-VARIABLES!C39</f>
        <v>0</v>
      </c>
      <c r="E27" s="1326">
        <f>VARIABLES!D16-VARIABLES!D39</f>
        <v>0</v>
      </c>
      <c r="F27" s="1326">
        <f>VARIABLES!E16-VARIABLES!E39</f>
        <v>0</v>
      </c>
      <c r="G27" s="1326">
        <f>VARIABLES!F16-VARIABLES!F39</f>
        <v>0</v>
      </c>
      <c r="H27" s="1326">
        <f>VARIABLES!G16-VARIABLES!G39</f>
        <v>0</v>
      </c>
      <c r="I27" s="1326">
        <f>VARIABLES!H16-VARIABLES!H39</f>
        <v>0</v>
      </c>
      <c r="J27" s="1326">
        <f>VARIABLES!I16-VARIABLES!I39</f>
        <v>0</v>
      </c>
      <c r="K27" s="1326">
        <f>VARIABLES!J16-VARIABLES!J39</f>
        <v>0</v>
      </c>
      <c r="L27" s="1326">
        <f>VARIABLES!K16-VARIABLES!K39</f>
        <v>0</v>
      </c>
      <c r="M27" s="1326">
        <f>VARIABLES!L16-VARIABLES!L39</f>
        <v>0</v>
      </c>
      <c r="N27" s="1326">
        <f>VARIABLES!M16-VARIABLES!M39</f>
        <v>0</v>
      </c>
      <c r="O27" s="1333">
        <f t="shared" si="7"/>
        <v>0</v>
      </c>
    </row>
    <row r="28" spans="1:15" x14ac:dyDescent="0.25">
      <c r="A28" s="1920" t="s">
        <v>716</v>
      </c>
      <c r="B28" s="1921"/>
      <c r="C28" s="1326">
        <f>+LEASING!G16</f>
        <v>0</v>
      </c>
      <c r="D28" s="1326">
        <f>+LEASING!G17</f>
        <v>0</v>
      </c>
      <c r="E28" s="1326">
        <f>+LEASING!G18</f>
        <v>0</v>
      </c>
      <c r="F28" s="1326">
        <f>+LEASING!G19</f>
        <v>0</v>
      </c>
      <c r="G28" s="1326">
        <f>+LEASING!G20</f>
        <v>0</v>
      </c>
      <c r="H28" s="1326">
        <f>+LEASING!G21</f>
        <v>0</v>
      </c>
      <c r="I28" s="1326">
        <f>+LEASING!G22</f>
        <v>0</v>
      </c>
      <c r="J28" s="1326">
        <f>+LEASING!G23</f>
        <v>0</v>
      </c>
      <c r="K28" s="1326">
        <f>+LEASING!G24</f>
        <v>0</v>
      </c>
      <c r="L28" s="1326">
        <f>+LEASING!G25</f>
        <v>0</v>
      </c>
      <c r="M28" s="1326">
        <f>+LEASING!G26</f>
        <v>0</v>
      </c>
      <c r="N28" s="1326">
        <f>+LEASING!G27</f>
        <v>0</v>
      </c>
      <c r="O28" s="1333">
        <f t="shared" si="7"/>
        <v>0</v>
      </c>
    </row>
    <row r="29" spans="1:15" x14ac:dyDescent="0.25">
      <c r="A29" s="1919" t="s">
        <v>445</v>
      </c>
      <c r="B29" s="1919"/>
      <c r="C29" s="1326">
        <f>VARIABLES!B18</f>
        <v>0</v>
      </c>
      <c r="D29" s="1326">
        <f>VARIABLES!C18</f>
        <v>0</v>
      </c>
      <c r="E29" s="1326">
        <f>VARIABLES!D18</f>
        <v>0</v>
      </c>
      <c r="F29" s="1326">
        <f>VARIABLES!E18</f>
        <v>0</v>
      </c>
      <c r="G29" s="1326">
        <f>VARIABLES!F18</f>
        <v>0</v>
      </c>
      <c r="H29" s="1326">
        <f>VARIABLES!G18</f>
        <v>0</v>
      </c>
      <c r="I29" s="1326">
        <f>VARIABLES!H18</f>
        <v>0</v>
      </c>
      <c r="J29" s="1326">
        <f>VARIABLES!I18</f>
        <v>0</v>
      </c>
      <c r="K29" s="1326">
        <f>VARIABLES!J18</f>
        <v>0</v>
      </c>
      <c r="L29" s="1326">
        <f>VARIABLES!K18</f>
        <v>0</v>
      </c>
      <c r="M29" s="1326">
        <f>VARIABLES!L18</f>
        <v>0</v>
      </c>
      <c r="N29" s="1326">
        <f>VARIABLES!M18</f>
        <v>0</v>
      </c>
      <c r="O29" s="1333">
        <f t="shared" si="6"/>
        <v>0</v>
      </c>
    </row>
    <row r="30" spans="1:15" x14ac:dyDescent="0.25">
      <c r="A30" s="1919" t="s">
        <v>446</v>
      </c>
      <c r="B30" s="1919"/>
      <c r="C30" s="1326">
        <f>VARIABLES!B19-VARIABLES!B40</f>
        <v>0</v>
      </c>
      <c r="D30" s="1326">
        <f>VARIABLES!C19-VARIABLES!C40</f>
        <v>0</v>
      </c>
      <c r="E30" s="1326">
        <f>VARIABLES!D19-VARIABLES!D40</f>
        <v>0</v>
      </c>
      <c r="F30" s="1326">
        <f>VARIABLES!E19-VARIABLES!E40</f>
        <v>0</v>
      </c>
      <c r="G30" s="1326">
        <f>VARIABLES!F19-VARIABLES!F40</f>
        <v>0</v>
      </c>
      <c r="H30" s="1326">
        <f>VARIABLES!G19-VARIABLES!G40</f>
        <v>0</v>
      </c>
      <c r="I30" s="1326">
        <f>VARIABLES!H19-VARIABLES!H40</f>
        <v>0</v>
      </c>
      <c r="J30" s="1326">
        <f>VARIABLES!I19-VARIABLES!I40</f>
        <v>0</v>
      </c>
      <c r="K30" s="1326">
        <f>VARIABLES!J19-VARIABLES!J40</f>
        <v>0</v>
      </c>
      <c r="L30" s="1326">
        <f>VARIABLES!K19-VARIABLES!K40</f>
        <v>0</v>
      </c>
      <c r="M30" s="1326">
        <f>VARIABLES!L19-VARIABLES!L40</f>
        <v>0</v>
      </c>
      <c r="N30" s="1326">
        <f>VARIABLES!M19-VARIABLES!M40</f>
        <v>0</v>
      </c>
      <c r="O30" s="1333">
        <f t="shared" si="6"/>
        <v>0</v>
      </c>
    </row>
    <row r="31" spans="1:15" x14ac:dyDescent="0.25">
      <c r="A31" s="1919" t="s">
        <v>447</v>
      </c>
      <c r="B31" s="1919"/>
      <c r="C31" s="1326">
        <f>VARIABLES!B20</f>
        <v>0</v>
      </c>
      <c r="D31" s="1326">
        <f>VARIABLES!C20</f>
        <v>0</v>
      </c>
      <c r="E31" s="1326">
        <f>VARIABLES!D20</f>
        <v>0</v>
      </c>
      <c r="F31" s="1326">
        <f>VARIABLES!E20</f>
        <v>0</v>
      </c>
      <c r="G31" s="1326">
        <f>VARIABLES!F20</f>
        <v>0</v>
      </c>
      <c r="H31" s="1326">
        <f>VARIABLES!G20</f>
        <v>0</v>
      </c>
      <c r="I31" s="1326">
        <f>VARIABLES!H20</f>
        <v>0</v>
      </c>
      <c r="J31" s="1326">
        <f>VARIABLES!I20</f>
        <v>0</v>
      </c>
      <c r="K31" s="1326">
        <f>VARIABLES!J20</f>
        <v>0</v>
      </c>
      <c r="L31" s="1326">
        <f>VARIABLES!K20</f>
        <v>0</v>
      </c>
      <c r="M31" s="1326">
        <f>VARIABLES!L20</f>
        <v>0</v>
      </c>
      <c r="N31" s="1326">
        <f>VARIABLES!M20</f>
        <v>0</v>
      </c>
      <c r="O31" s="1333">
        <f t="shared" si="6"/>
        <v>0</v>
      </c>
    </row>
    <row r="32" spans="1:15" x14ac:dyDescent="0.25">
      <c r="A32" s="1919" t="s">
        <v>448</v>
      </c>
      <c r="B32" s="1919"/>
      <c r="C32" s="1326">
        <f>VARIABLES!B21</f>
        <v>0</v>
      </c>
      <c r="D32" s="1326">
        <f>VARIABLES!C21</f>
        <v>0</v>
      </c>
      <c r="E32" s="1326">
        <f>VARIABLES!D21</f>
        <v>0</v>
      </c>
      <c r="F32" s="1326">
        <f>VARIABLES!E21</f>
        <v>0</v>
      </c>
      <c r="G32" s="1326">
        <f>VARIABLES!F21</f>
        <v>0</v>
      </c>
      <c r="H32" s="1326">
        <f>VARIABLES!G21</f>
        <v>0</v>
      </c>
      <c r="I32" s="1326">
        <f>VARIABLES!H21</f>
        <v>0</v>
      </c>
      <c r="J32" s="1326">
        <f>VARIABLES!I21</f>
        <v>0</v>
      </c>
      <c r="K32" s="1326">
        <f>VARIABLES!J21</f>
        <v>0</v>
      </c>
      <c r="L32" s="1326">
        <f>VARIABLES!K21</f>
        <v>0</v>
      </c>
      <c r="M32" s="1326">
        <f>VARIABLES!L21</f>
        <v>0</v>
      </c>
      <c r="N32" s="1326">
        <f>VARIABLES!M21</f>
        <v>0</v>
      </c>
      <c r="O32" s="1333">
        <f t="shared" si="6"/>
        <v>0</v>
      </c>
    </row>
    <row r="33" spans="1:17" x14ac:dyDescent="0.25">
      <c r="A33" s="1919" t="s">
        <v>449</v>
      </c>
      <c r="B33" s="1919"/>
      <c r="C33" s="1326">
        <f>VARIABLES!B22</f>
        <v>0</v>
      </c>
      <c r="D33" s="1326">
        <f>VARIABLES!C22</f>
        <v>0</v>
      </c>
      <c r="E33" s="1326">
        <f>VARIABLES!D22</f>
        <v>0</v>
      </c>
      <c r="F33" s="1326">
        <f>VARIABLES!E22</f>
        <v>0</v>
      </c>
      <c r="G33" s="1326">
        <f>VARIABLES!F22</f>
        <v>0</v>
      </c>
      <c r="H33" s="1326">
        <f>VARIABLES!G22</f>
        <v>0</v>
      </c>
      <c r="I33" s="1326">
        <f>VARIABLES!H22</f>
        <v>0</v>
      </c>
      <c r="J33" s="1326">
        <f>VARIABLES!I22</f>
        <v>0</v>
      </c>
      <c r="K33" s="1326">
        <f>VARIABLES!J22</f>
        <v>0</v>
      </c>
      <c r="L33" s="1326">
        <f>VARIABLES!K22</f>
        <v>0</v>
      </c>
      <c r="M33" s="1326">
        <f>VARIABLES!L22</f>
        <v>0</v>
      </c>
      <c r="N33" s="1326">
        <f>VARIABLES!M22</f>
        <v>0</v>
      </c>
      <c r="O33" s="1333">
        <f t="shared" si="6"/>
        <v>0</v>
      </c>
      <c r="Q33" s="1334"/>
    </row>
    <row r="34" spans="1:17" x14ac:dyDescent="0.25">
      <c r="A34" s="1919" t="s">
        <v>450</v>
      </c>
      <c r="B34" s="1919"/>
      <c r="C34" s="1326">
        <f>VARIABLES!B23</f>
        <v>0</v>
      </c>
      <c r="D34" s="1326">
        <f>VARIABLES!C23</f>
        <v>0</v>
      </c>
      <c r="E34" s="1326">
        <f>VARIABLES!D23</f>
        <v>0</v>
      </c>
      <c r="F34" s="1326">
        <f>VARIABLES!E23</f>
        <v>0</v>
      </c>
      <c r="G34" s="1326">
        <f>VARIABLES!F23</f>
        <v>0</v>
      </c>
      <c r="H34" s="1326">
        <f>VARIABLES!G23</f>
        <v>0</v>
      </c>
      <c r="I34" s="1326">
        <f>VARIABLES!H23</f>
        <v>0</v>
      </c>
      <c r="J34" s="1326">
        <f>VARIABLES!I23</f>
        <v>0</v>
      </c>
      <c r="K34" s="1326">
        <f>VARIABLES!J23</f>
        <v>0</v>
      </c>
      <c r="L34" s="1326">
        <f>VARIABLES!K23</f>
        <v>0</v>
      </c>
      <c r="M34" s="1326">
        <f>VARIABLES!L23</f>
        <v>0</v>
      </c>
      <c r="N34" s="1326">
        <f>VARIABLES!M23</f>
        <v>0</v>
      </c>
      <c r="O34" s="1333">
        <f t="shared" si="6"/>
        <v>0</v>
      </c>
      <c r="Q34" s="1334"/>
    </row>
    <row r="35" spans="1:17" x14ac:dyDescent="0.25">
      <c r="A35" s="1919" t="s">
        <v>451</v>
      </c>
      <c r="B35" s="1919"/>
      <c r="C35" s="1326">
        <f>VARIABLES!B24</f>
        <v>0</v>
      </c>
      <c r="D35" s="1326">
        <f>VARIABLES!C24</f>
        <v>0</v>
      </c>
      <c r="E35" s="1326">
        <f>VARIABLES!D24</f>
        <v>0</v>
      </c>
      <c r="F35" s="1326">
        <f>VARIABLES!E24</f>
        <v>0</v>
      </c>
      <c r="G35" s="1326">
        <f>VARIABLES!F24</f>
        <v>0</v>
      </c>
      <c r="H35" s="1326">
        <f>VARIABLES!G24</f>
        <v>0</v>
      </c>
      <c r="I35" s="1326">
        <f>VARIABLES!H24</f>
        <v>0</v>
      </c>
      <c r="J35" s="1326">
        <f>VARIABLES!I24</f>
        <v>0</v>
      </c>
      <c r="K35" s="1326">
        <f>VARIABLES!J24</f>
        <v>0</v>
      </c>
      <c r="L35" s="1326">
        <f>VARIABLES!K24</f>
        <v>0</v>
      </c>
      <c r="M35" s="1326">
        <f>VARIABLES!L24</f>
        <v>0</v>
      </c>
      <c r="N35" s="1326">
        <f>VARIABLES!M24</f>
        <v>0</v>
      </c>
      <c r="O35" s="1333">
        <f t="shared" si="6"/>
        <v>0</v>
      </c>
      <c r="Q35" s="1334"/>
    </row>
    <row r="36" spans="1:17" x14ac:dyDescent="0.25">
      <c r="A36" s="1919" t="s">
        <v>452</v>
      </c>
      <c r="B36" s="1919"/>
      <c r="C36" s="1326">
        <f>VARIABLES!B25</f>
        <v>0</v>
      </c>
      <c r="D36" s="1326">
        <f>VARIABLES!C25</f>
        <v>0</v>
      </c>
      <c r="E36" s="1326">
        <f>VARIABLES!D25</f>
        <v>0</v>
      </c>
      <c r="F36" s="1326">
        <f>VARIABLES!E25</f>
        <v>0</v>
      </c>
      <c r="G36" s="1326">
        <f>VARIABLES!F25</f>
        <v>0</v>
      </c>
      <c r="H36" s="1326">
        <f>VARIABLES!G25</f>
        <v>0</v>
      </c>
      <c r="I36" s="1326">
        <f>VARIABLES!H25</f>
        <v>0</v>
      </c>
      <c r="J36" s="1326">
        <f>VARIABLES!I25</f>
        <v>0</v>
      </c>
      <c r="K36" s="1326">
        <f>VARIABLES!J25</f>
        <v>0</v>
      </c>
      <c r="L36" s="1326">
        <f>VARIABLES!K25</f>
        <v>0</v>
      </c>
      <c r="M36" s="1326">
        <f>VARIABLES!L25</f>
        <v>0</v>
      </c>
      <c r="N36" s="1326">
        <f>VARIABLES!M25</f>
        <v>0</v>
      </c>
      <c r="O36" s="1333">
        <f t="shared" si="6"/>
        <v>0</v>
      </c>
      <c r="Q36" s="1334"/>
    </row>
    <row r="37" spans="1:17" x14ac:dyDescent="0.25">
      <c r="A37" s="1922" t="s">
        <v>453</v>
      </c>
      <c r="B37" s="1922"/>
      <c r="C37" s="1327">
        <f>VARIABLES!B31</f>
        <v>0</v>
      </c>
      <c r="D37" s="1327">
        <f>VARIABLES!C31</f>
        <v>0</v>
      </c>
      <c r="E37" s="1327">
        <f>VARIABLES!D31</f>
        <v>0</v>
      </c>
      <c r="F37" s="1327">
        <f>VARIABLES!E31</f>
        <v>0</v>
      </c>
      <c r="G37" s="1327">
        <f>VARIABLES!F31</f>
        <v>0</v>
      </c>
      <c r="H37" s="1327">
        <f>VARIABLES!G31</f>
        <v>0</v>
      </c>
      <c r="I37" s="1327">
        <f>VARIABLES!H31</f>
        <v>0</v>
      </c>
      <c r="J37" s="1327">
        <f>VARIABLES!I31</f>
        <v>0</v>
      </c>
      <c r="K37" s="1327">
        <f>VARIABLES!J31</f>
        <v>0</v>
      </c>
      <c r="L37" s="1327">
        <f>VARIABLES!K31</f>
        <v>0</v>
      </c>
      <c r="M37" s="1327">
        <f>VARIABLES!L31</f>
        <v>0</v>
      </c>
      <c r="N37" s="1327">
        <f>VARIABLES!M31</f>
        <v>0</v>
      </c>
      <c r="O37" s="1335">
        <f t="shared" si="6"/>
        <v>0</v>
      </c>
      <c r="Q37" s="1334"/>
    </row>
    <row r="38" spans="1:17" ht="13" x14ac:dyDescent="0.25">
      <c r="A38" s="1914" t="s">
        <v>454</v>
      </c>
      <c r="B38" s="1914"/>
      <c r="C38" s="1324">
        <f>C39+C42</f>
        <v>0</v>
      </c>
      <c r="D38" s="1324">
        <f t="shared" ref="D38:N38" si="9">D39+D42</f>
        <v>0</v>
      </c>
      <c r="E38" s="1324">
        <f t="shared" si="9"/>
        <v>0</v>
      </c>
      <c r="F38" s="1324">
        <f t="shared" si="9"/>
        <v>0</v>
      </c>
      <c r="G38" s="1324">
        <f t="shared" si="9"/>
        <v>0</v>
      </c>
      <c r="H38" s="1324">
        <f t="shared" si="9"/>
        <v>0</v>
      </c>
      <c r="I38" s="1324">
        <f t="shared" si="9"/>
        <v>0</v>
      </c>
      <c r="J38" s="1324">
        <f t="shared" si="9"/>
        <v>0</v>
      </c>
      <c r="K38" s="1324">
        <f t="shared" si="9"/>
        <v>0</v>
      </c>
      <c r="L38" s="1324">
        <f t="shared" si="9"/>
        <v>0</v>
      </c>
      <c r="M38" s="1324">
        <f t="shared" si="9"/>
        <v>0</v>
      </c>
      <c r="N38" s="1324">
        <f t="shared" si="9"/>
        <v>0</v>
      </c>
      <c r="O38" s="1325">
        <f>SUM(C38:N38)</f>
        <v>0</v>
      </c>
      <c r="Q38" s="1334"/>
    </row>
    <row r="39" spans="1:17" x14ac:dyDescent="0.25">
      <c r="A39" s="1919" t="s">
        <v>455</v>
      </c>
      <c r="B39" s="1919"/>
      <c r="C39" s="1326">
        <f>SUM(C40:C41)</f>
        <v>0</v>
      </c>
      <c r="D39" s="1326">
        <f t="shared" ref="D39:N39" si="10">SUM(D40:D41)</f>
        <v>0</v>
      </c>
      <c r="E39" s="1326">
        <f t="shared" si="10"/>
        <v>0</v>
      </c>
      <c r="F39" s="1326">
        <f t="shared" si="10"/>
        <v>0</v>
      </c>
      <c r="G39" s="1326">
        <f t="shared" si="10"/>
        <v>0</v>
      </c>
      <c r="H39" s="1326">
        <f t="shared" si="10"/>
        <v>0</v>
      </c>
      <c r="I39" s="1326">
        <f t="shared" si="10"/>
        <v>0</v>
      </c>
      <c r="J39" s="1326">
        <f t="shared" si="10"/>
        <v>0</v>
      </c>
      <c r="K39" s="1326">
        <f t="shared" si="10"/>
        <v>0</v>
      </c>
      <c r="L39" s="1326">
        <f t="shared" si="10"/>
        <v>0</v>
      </c>
      <c r="M39" s="1326">
        <f t="shared" si="10"/>
        <v>0</v>
      </c>
      <c r="N39" s="1326">
        <f t="shared" si="10"/>
        <v>0</v>
      </c>
      <c r="O39" s="1333">
        <f>SUM(C39:N39)</f>
        <v>0</v>
      </c>
      <c r="Q39" s="1334"/>
    </row>
    <row r="40" spans="1:17" x14ac:dyDescent="0.25">
      <c r="A40" s="1923" t="s">
        <v>456</v>
      </c>
      <c r="B40" s="1923"/>
      <c r="C40" s="1326">
        <f>PERSONAL!C89</f>
        <v>0</v>
      </c>
      <c r="D40" s="1326">
        <f>PERSONAL!D89</f>
        <v>0</v>
      </c>
      <c r="E40" s="1326">
        <f>PERSONAL!E89</f>
        <v>0</v>
      </c>
      <c r="F40" s="1326">
        <f>PERSONAL!F89</f>
        <v>0</v>
      </c>
      <c r="G40" s="1326">
        <f>PERSONAL!G89</f>
        <v>0</v>
      </c>
      <c r="H40" s="1326">
        <f>PERSONAL!H89</f>
        <v>0</v>
      </c>
      <c r="I40" s="1326">
        <f>PERSONAL!I89</f>
        <v>0</v>
      </c>
      <c r="J40" s="1326">
        <f>PERSONAL!J89</f>
        <v>0</v>
      </c>
      <c r="K40" s="1326">
        <f>PERSONAL!K89</f>
        <v>0</v>
      </c>
      <c r="L40" s="1326">
        <f>PERSONAL!L89</f>
        <v>0</v>
      </c>
      <c r="M40" s="1326">
        <f>PERSONAL!M89</f>
        <v>0</v>
      </c>
      <c r="N40" s="1326">
        <f>PERSONAL!N89</f>
        <v>0</v>
      </c>
      <c r="O40" s="1333">
        <f t="shared" ref="O40:O47" si="11">SUM(C40:N40)</f>
        <v>0</v>
      </c>
      <c r="Q40" s="1334"/>
    </row>
    <row r="41" spans="1:17" x14ac:dyDescent="0.25">
      <c r="A41" s="1923" t="s">
        <v>75</v>
      </c>
      <c r="B41" s="1923"/>
      <c r="C41" s="1326">
        <f>PROMOTORS!C78</f>
        <v>0</v>
      </c>
      <c r="D41" s="1326">
        <f>PROMOTORS!D78</f>
        <v>0</v>
      </c>
      <c r="E41" s="1326">
        <f>PROMOTORS!E78</f>
        <v>0</v>
      </c>
      <c r="F41" s="1326">
        <f>PROMOTORS!F78</f>
        <v>0</v>
      </c>
      <c r="G41" s="1326">
        <f>PROMOTORS!G78</f>
        <v>0</v>
      </c>
      <c r="H41" s="1326">
        <f>PROMOTORS!H78</f>
        <v>0</v>
      </c>
      <c r="I41" s="1326">
        <f>PROMOTORS!I78</f>
        <v>0</v>
      </c>
      <c r="J41" s="1326">
        <f>PROMOTORS!J78</f>
        <v>0</v>
      </c>
      <c r="K41" s="1326">
        <f>PROMOTORS!K78</f>
        <v>0</v>
      </c>
      <c r="L41" s="1326">
        <f>PROMOTORS!L78</f>
        <v>0</v>
      </c>
      <c r="M41" s="1326">
        <f>PROMOTORS!M78</f>
        <v>0</v>
      </c>
      <c r="N41" s="1326">
        <f>PROMOTORS!N78</f>
        <v>0</v>
      </c>
      <c r="O41" s="1333">
        <f t="shared" si="11"/>
        <v>0</v>
      </c>
      <c r="Q41" s="1334"/>
    </row>
    <row r="42" spans="1:17" x14ac:dyDescent="0.25">
      <c r="A42" s="1919" t="s">
        <v>457</v>
      </c>
      <c r="B42" s="1919"/>
      <c r="C42" s="1326">
        <f>SUM(C43:C45)</f>
        <v>0</v>
      </c>
      <c r="D42" s="1326">
        <f t="shared" ref="D42:N42" si="12">SUM(D43:D45)</f>
        <v>0</v>
      </c>
      <c r="E42" s="1326">
        <f t="shared" si="12"/>
        <v>0</v>
      </c>
      <c r="F42" s="1326">
        <f t="shared" si="12"/>
        <v>0</v>
      </c>
      <c r="G42" s="1326">
        <f t="shared" si="12"/>
        <v>0</v>
      </c>
      <c r="H42" s="1326">
        <f t="shared" si="12"/>
        <v>0</v>
      </c>
      <c r="I42" s="1326">
        <f t="shared" si="12"/>
        <v>0</v>
      </c>
      <c r="J42" s="1326">
        <f t="shared" si="12"/>
        <v>0</v>
      </c>
      <c r="K42" s="1326">
        <f t="shared" si="12"/>
        <v>0</v>
      </c>
      <c r="L42" s="1326">
        <f t="shared" si="12"/>
        <v>0</v>
      </c>
      <c r="M42" s="1326">
        <f t="shared" si="12"/>
        <v>0</v>
      </c>
      <c r="N42" s="1326">
        <f t="shared" si="12"/>
        <v>0</v>
      </c>
      <c r="O42" s="1333">
        <f t="shared" si="11"/>
        <v>0</v>
      </c>
      <c r="Q42" s="1334"/>
    </row>
    <row r="43" spans="1:17" x14ac:dyDescent="0.25">
      <c r="A43" s="1923" t="s">
        <v>458</v>
      </c>
      <c r="B43" s="1923"/>
      <c r="C43" s="1326"/>
      <c r="D43" s="1326">
        <f>PERSONAL!C64</f>
        <v>0</v>
      </c>
      <c r="E43" s="1326">
        <f>PERSONAL!D64</f>
        <v>0</v>
      </c>
      <c r="F43" s="1326">
        <f>PERSONAL!E64</f>
        <v>0</v>
      </c>
      <c r="G43" s="1326">
        <f>PERSONAL!F64</f>
        <v>0</v>
      </c>
      <c r="H43" s="1326">
        <f>PERSONAL!G64</f>
        <v>0</v>
      </c>
      <c r="I43" s="1326">
        <f>PERSONAL!H64</f>
        <v>0</v>
      </c>
      <c r="J43" s="1326">
        <f>PERSONAL!I64</f>
        <v>0</v>
      </c>
      <c r="K43" s="1326">
        <f>PERSONAL!J64</f>
        <v>0</v>
      </c>
      <c r="L43" s="1326">
        <f>PERSONAL!K64</f>
        <v>0</v>
      </c>
      <c r="M43" s="1326">
        <f>PERSONAL!L64</f>
        <v>0</v>
      </c>
      <c r="N43" s="1326">
        <f>PERSONAL!M64</f>
        <v>0</v>
      </c>
      <c r="O43" s="1333">
        <f t="shared" si="11"/>
        <v>0</v>
      </c>
      <c r="Q43" s="1334"/>
    </row>
    <row r="44" spans="1:17" x14ac:dyDescent="0.25">
      <c r="A44" s="1923" t="s">
        <v>456</v>
      </c>
      <c r="B44" s="1923"/>
      <c r="C44" s="1326"/>
      <c r="D44" s="1326">
        <f>PERSONAL!C70</f>
        <v>0</v>
      </c>
      <c r="E44" s="1326">
        <f>PERSONAL!D70</f>
        <v>0</v>
      </c>
      <c r="F44" s="1326">
        <f>PERSONAL!E70</f>
        <v>0</v>
      </c>
      <c r="G44" s="1326">
        <f>PERSONAL!F70</f>
        <v>0</v>
      </c>
      <c r="H44" s="1326">
        <f>PERSONAL!G70</f>
        <v>0</v>
      </c>
      <c r="I44" s="1326">
        <f>PERSONAL!H70</f>
        <v>0</v>
      </c>
      <c r="J44" s="1326">
        <f>PERSONAL!I70</f>
        <v>0</v>
      </c>
      <c r="K44" s="1326">
        <f>PERSONAL!J70</f>
        <v>0</v>
      </c>
      <c r="L44" s="1326">
        <f>PERSONAL!K70</f>
        <v>0</v>
      </c>
      <c r="M44" s="1326">
        <f>PERSONAL!L70</f>
        <v>0</v>
      </c>
      <c r="N44" s="1326">
        <f>PERSONAL!M70</f>
        <v>0</v>
      </c>
      <c r="O44" s="1333">
        <f t="shared" si="11"/>
        <v>0</v>
      </c>
      <c r="Q44" s="1334"/>
    </row>
    <row r="45" spans="1:17" x14ac:dyDescent="0.25">
      <c r="A45" s="1924" t="s">
        <v>75</v>
      </c>
      <c r="B45" s="1924"/>
      <c r="C45" s="1327"/>
      <c r="D45" s="1327">
        <f>PROMOTORS!C44</f>
        <v>0</v>
      </c>
      <c r="E45" s="1327">
        <f>PROMOTORS!D44</f>
        <v>0</v>
      </c>
      <c r="F45" s="1327">
        <f>PROMOTORS!E44</f>
        <v>0</v>
      </c>
      <c r="G45" s="1327">
        <f>PROMOTORS!F44</f>
        <v>0</v>
      </c>
      <c r="H45" s="1327">
        <f>PROMOTORS!G44</f>
        <v>0</v>
      </c>
      <c r="I45" s="1327">
        <f>PROMOTORS!H44</f>
        <v>0</v>
      </c>
      <c r="J45" s="1327">
        <f>PROMOTORS!I44</f>
        <v>0</v>
      </c>
      <c r="K45" s="1327">
        <f>PROMOTORS!J44</f>
        <v>0</v>
      </c>
      <c r="L45" s="1327">
        <f>PROMOTORS!K44</f>
        <v>0</v>
      </c>
      <c r="M45" s="1327">
        <f>PROMOTORS!L44</f>
        <v>0</v>
      </c>
      <c r="N45" s="1327">
        <f>PROMOTORS!M44</f>
        <v>0</v>
      </c>
      <c r="O45" s="1335">
        <f t="shared" si="11"/>
        <v>0</v>
      </c>
      <c r="Q45" s="1334"/>
    </row>
    <row r="46" spans="1:17" ht="13" x14ac:dyDescent="0.25">
      <c r="A46" s="1914" t="s">
        <v>459</v>
      </c>
      <c r="B46" s="1914"/>
      <c r="C46" s="1324">
        <f>SUM(C47:C49)</f>
        <v>0</v>
      </c>
      <c r="D46" s="1324">
        <f t="shared" ref="D46:N46" si="13">SUM(D47:D49)</f>
        <v>0</v>
      </c>
      <c r="E46" s="1324">
        <f t="shared" si="13"/>
        <v>0</v>
      </c>
      <c r="F46" s="1324">
        <f t="shared" si="13"/>
        <v>0</v>
      </c>
      <c r="G46" s="1324">
        <f t="shared" si="13"/>
        <v>0</v>
      </c>
      <c r="H46" s="1324">
        <f t="shared" si="13"/>
        <v>0</v>
      </c>
      <c r="I46" s="1324">
        <f t="shared" si="13"/>
        <v>0</v>
      </c>
      <c r="J46" s="1324">
        <f t="shared" si="13"/>
        <v>0</v>
      </c>
      <c r="K46" s="1324">
        <f t="shared" si="13"/>
        <v>0</v>
      </c>
      <c r="L46" s="1324">
        <f t="shared" si="13"/>
        <v>0</v>
      </c>
      <c r="M46" s="1324">
        <f t="shared" si="13"/>
        <v>0</v>
      </c>
      <c r="N46" s="1324">
        <f t="shared" si="13"/>
        <v>0</v>
      </c>
      <c r="O46" s="1325">
        <f t="shared" si="11"/>
        <v>0</v>
      </c>
      <c r="Q46" s="1334"/>
    </row>
    <row r="47" spans="1:17" x14ac:dyDescent="0.25">
      <c r="A47" s="1915" t="s">
        <v>392</v>
      </c>
      <c r="B47" s="1915"/>
      <c r="C47" s="1326">
        <f>TRIBUTS!D18</f>
        <v>0</v>
      </c>
      <c r="D47" s="1326">
        <f>IF(D10="ENERO",TRIBUTS!$D16,0)</f>
        <v>0</v>
      </c>
      <c r="E47" s="1326">
        <f>IF(E10="ENERO",TRIBUTS!$D16,0)</f>
        <v>0</v>
      </c>
      <c r="F47" s="1326">
        <f>IF(F10="ENERO",TRIBUTS!$D16,0)</f>
        <v>0</v>
      </c>
      <c r="G47" s="1326">
        <f>IF(G10="ENERO",TRIBUTS!$D16,0)</f>
        <v>0</v>
      </c>
      <c r="H47" s="1326">
        <f>IF(H10="ENERO",TRIBUTS!$D16,0)</f>
        <v>0</v>
      </c>
      <c r="I47" s="1326">
        <f>IF(I10="ENERO",TRIBUTS!$D16,0)</f>
        <v>0</v>
      </c>
      <c r="J47" s="1326">
        <f>IF(J10="ENERO",TRIBUTS!$D16,0)</f>
        <v>0</v>
      </c>
      <c r="K47" s="1326">
        <f>IF(K10="ENERO",TRIBUTS!$D16,0)</f>
        <v>0</v>
      </c>
      <c r="L47" s="1326">
        <f>IF(L10="ENERO",TRIBUTS!$D16,0)</f>
        <v>0</v>
      </c>
      <c r="M47" s="1326">
        <f>IF(M10="ENERO",TRIBUTS!$D16,0)</f>
        <v>0</v>
      </c>
      <c r="N47" s="1326">
        <f>IF(N10="ENERO",TRIBUTS!$D16,0)</f>
        <v>0</v>
      </c>
      <c r="O47" s="1333">
        <f t="shared" si="11"/>
        <v>0</v>
      </c>
      <c r="Q47" s="1334"/>
    </row>
    <row r="48" spans="1:17" x14ac:dyDescent="0.25">
      <c r="A48" s="1915" t="s">
        <v>163</v>
      </c>
      <c r="B48" s="1915"/>
      <c r="C48" s="1326">
        <f>TRIBUTS!C32</f>
        <v>0</v>
      </c>
      <c r="D48" s="1326">
        <f>TRIBUTS!D32</f>
        <v>0</v>
      </c>
      <c r="E48" s="1326">
        <f>TRIBUTS!E32</f>
        <v>0</v>
      </c>
      <c r="F48" s="1326">
        <f>TRIBUTS!F32</f>
        <v>0</v>
      </c>
      <c r="G48" s="1326">
        <f>TRIBUTS!G32</f>
        <v>0</v>
      </c>
      <c r="H48" s="1326">
        <f>TRIBUTS!H32</f>
        <v>0</v>
      </c>
      <c r="I48" s="1326">
        <f>TRIBUTS!I32</f>
        <v>0</v>
      </c>
      <c r="J48" s="1326">
        <f>TRIBUTS!J32</f>
        <v>0</v>
      </c>
      <c r="K48" s="1326">
        <f>TRIBUTS!K32</f>
        <v>0</v>
      </c>
      <c r="L48" s="1326">
        <f>TRIBUTS!L32</f>
        <v>0</v>
      </c>
      <c r="M48" s="1326">
        <f>TRIBUTS!M32</f>
        <v>0</v>
      </c>
      <c r="N48" s="1326">
        <f>TRIBUTS!N32</f>
        <v>0</v>
      </c>
      <c r="O48" s="1333">
        <f t="shared" ref="O48:O54" si="14">SUM(C48:N48)</f>
        <v>0</v>
      </c>
      <c r="Q48" s="1334"/>
    </row>
    <row r="49" spans="1:17" x14ac:dyDescent="0.25">
      <c r="A49" s="1925" t="str">
        <f>+IF(Fiscalitat!$H$21="E","Pagos a cuenta","Pagos a cuenta IRPF")</f>
        <v>Pagos a cuenta</v>
      </c>
      <c r="B49" s="1925"/>
      <c r="C49" s="1327">
        <f>+VARIABLES!B60</f>
        <v>0</v>
      </c>
      <c r="D49" s="1327">
        <f>+VARIABLES!C60</f>
        <v>0</v>
      </c>
      <c r="E49" s="1327">
        <f>+VARIABLES!D60</f>
        <v>0</v>
      </c>
      <c r="F49" s="1327">
        <f>+VARIABLES!E60</f>
        <v>0</v>
      </c>
      <c r="G49" s="1327">
        <f>+VARIABLES!F60</f>
        <v>0</v>
      </c>
      <c r="H49" s="1327">
        <f>+VARIABLES!G60</f>
        <v>0</v>
      </c>
      <c r="I49" s="1327">
        <f>+VARIABLES!H60</f>
        <v>0</v>
      </c>
      <c r="J49" s="1327">
        <f>+VARIABLES!I60</f>
        <v>0</v>
      </c>
      <c r="K49" s="1327">
        <f>+VARIABLES!J60</f>
        <v>0</v>
      </c>
      <c r="L49" s="1327">
        <f>+VARIABLES!K60</f>
        <v>0</v>
      </c>
      <c r="M49" s="1327">
        <f>+VARIABLES!L60</f>
        <v>0</v>
      </c>
      <c r="N49" s="1327">
        <f>+VARIABLES!M60</f>
        <v>0</v>
      </c>
      <c r="O49" s="1333">
        <f t="shared" si="14"/>
        <v>0</v>
      </c>
      <c r="Q49" s="1334"/>
    </row>
    <row r="50" spans="1:17" ht="13" x14ac:dyDescent="0.25">
      <c r="A50" s="1917" t="s">
        <v>28</v>
      </c>
      <c r="B50" s="1917"/>
      <c r="C50" s="1328">
        <f>+IF(OR(Fiscalitat!$H$21="a",Fiscalitat!$H$21="B",Fiscalitat!$H$21="D"),INVERSIONS!B45+INVERSIONS!H10,INVERSIONS!C45+INVERSIONS!H10)</f>
        <v>0</v>
      </c>
      <c r="D50" s="1328">
        <f>+IF(OR(Fiscalitat!$H$21="a",Fiscalitat!$H$21="B",Fiscalitat!$H$21="D"),INVERSIONS!D45,INVERSIONS!E45)</f>
        <v>0</v>
      </c>
      <c r="E50" s="1328">
        <f>+IF(OR(Fiscalitat!$H$21="a",Fiscalitat!$H$21="B",Fiscalitat!$H$21="D"),INVERSIONS!F45,INVERSIONS!G45)</f>
        <v>0</v>
      </c>
      <c r="F50" s="1328">
        <f>+IF(OR(Fiscalitat!$H$21="a",Fiscalitat!$H$21="B",Fiscalitat!$H$21="D"),INVERSIONS!H45,INVERSIONS!I45)</f>
        <v>0</v>
      </c>
      <c r="G50" s="1328">
        <f>+IF(OR(Fiscalitat!$H$21="a",Fiscalitat!$H$21="B",Fiscalitat!$H$21="D"),INVERSIONS!J45,INVERSIONS!K45)</f>
        <v>0</v>
      </c>
      <c r="H50" s="1328">
        <f>+IF(OR(Fiscalitat!$H$21="a",Fiscalitat!$H$21="B",Fiscalitat!$H$21="D"),INVERSIONS!L45,INVERSIONS!M45)</f>
        <v>0</v>
      </c>
      <c r="I50" s="1328">
        <f>+IF(OR(Fiscalitat!$H$21="a",Fiscalitat!$H$21="B",Fiscalitat!$H$21="D"),INVERSIONS!N45,INVERSIONS!O45)</f>
        <v>0</v>
      </c>
      <c r="J50" s="1328">
        <f>+IF(OR(Fiscalitat!$H$21="a",Fiscalitat!$H$21="B",Fiscalitat!$H$21="D"),INVERSIONS!P45,INVERSIONS!Q45)</f>
        <v>0</v>
      </c>
      <c r="K50" s="1328">
        <f>+IF(OR(Fiscalitat!$H$21="a",Fiscalitat!$H$21="B",Fiscalitat!$H$21="D"),INVERSIONS!R45,INVERSIONS!S45)</f>
        <v>0</v>
      </c>
      <c r="L50" s="1328">
        <f>+IF(OR(Fiscalitat!$H$21="a",Fiscalitat!$H$21="B",Fiscalitat!$H$21="D"),INVERSIONS!T45,INVERSIONS!U45)</f>
        <v>0</v>
      </c>
      <c r="M50" s="1328">
        <f>+IF(OR(Fiscalitat!$H$21="a",Fiscalitat!$H$21="B",Fiscalitat!$H$21="D"),INVERSIONS!V45,INVERSIONS!W45)</f>
        <v>0</v>
      </c>
      <c r="N50" s="1328">
        <f>+IF(OR(Fiscalitat!$H$21="a",Fiscalitat!$H$21="B",Fiscalitat!$H$21="D"),INVERSIONS!X45,INVERSIONS!Y45)</f>
        <v>0</v>
      </c>
      <c r="O50" s="1329">
        <f>SUM(C50:N50)</f>
        <v>0</v>
      </c>
    </row>
    <row r="51" spans="1:17" ht="13" x14ac:dyDescent="0.25">
      <c r="A51" s="1917" t="s">
        <v>460</v>
      </c>
      <c r="B51" s="1917"/>
      <c r="C51" s="1328">
        <f>B72+PRÉSTECS!AC3+LEASING!BS12</f>
        <v>0</v>
      </c>
      <c r="D51" s="1328">
        <f>C72+PRÉSTECS!AD3+LEASING!BT12</f>
        <v>0</v>
      </c>
      <c r="E51" s="1328">
        <f>D72+PRÉSTECS!AE3+LEASING!BU12</f>
        <v>0</v>
      </c>
      <c r="F51" s="1328">
        <f>E72+PRÉSTECS!AF3+LEASING!BV12</f>
        <v>0</v>
      </c>
      <c r="G51" s="1328">
        <f>F72+PRÉSTECS!AG3+LEASING!BW12</f>
        <v>0</v>
      </c>
      <c r="H51" s="1328">
        <f>G72+PRÉSTECS!AH3+LEASING!BX12</f>
        <v>0</v>
      </c>
      <c r="I51" s="1328">
        <f>H72+PRÉSTECS!AI3+LEASING!BY12</f>
        <v>0</v>
      </c>
      <c r="J51" s="1328">
        <f>I72+PRÉSTECS!AJ3+LEASING!BZ12</f>
        <v>0</v>
      </c>
      <c r="K51" s="1328">
        <f>J72+PRÉSTECS!AK3+LEASING!CA12</f>
        <v>0</v>
      </c>
      <c r="L51" s="1328">
        <f>K72+PRÉSTECS!AL3+LEASING!CB12</f>
        <v>0</v>
      </c>
      <c r="M51" s="1328">
        <f>L72+PRÉSTECS!AM3+LEASING!CC12</f>
        <v>0</v>
      </c>
      <c r="N51" s="1328">
        <f>M72+PRÉSTECS!AN3+LEASING!CD12</f>
        <v>0</v>
      </c>
      <c r="O51" s="1329">
        <f t="shared" si="14"/>
        <v>0</v>
      </c>
    </row>
    <row r="52" spans="1:17" ht="13" x14ac:dyDescent="0.25">
      <c r="A52" s="1917" t="s">
        <v>461</v>
      </c>
      <c r="B52" s="1917"/>
      <c r="C52" s="1328">
        <f>PRÉSTECS!AC4</f>
        <v>0</v>
      </c>
      <c r="D52" s="1328">
        <f>PRÉSTECS!AD4</f>
        <v>0</v>
      </c>
      <c r="E52" s="1328">
        <f>PRÉSTECS!AE4</f>
        <v>0</v>
      </c>
      <c r="F52" s="1328">
        <f>PRÉSTECS!AF4</f>
        <v>0</v>
      </c>
      <c r="G52" s="1328">
        <f>PRÉSTECS!AG4</f>
        <v>0</v>
      </c>
      <c r="H52" s="1328">
        <f>PRÉSTECS!AH4</f>
        <v>0</v>
      </c>
      <c r="I52" s="1328">
        <f>PRÉSTECS!AI4</f>
        <v>0</v>
      </c>
      <c r="J52" s="1328">
        <f>PRÉSTECS!AJ4</f>
        <v>0</v>
      </c>
      <c r="K52" s="1328">
        <f>PRÉSTECS!AK4</f>
        <v>0</v>
      </c>
      <c r="L52" s="1328">
        <f>PRÉSTECS!AL4</f>
        <v>0</v>
      </c>
      <c r="M52" s="1328">
        <f>PRÉSTECS!AM4</f>
        <v>0</v>
      </c>
      <c r="N52" s="1328">
        <f>PRÉSTECS!AN4</f>
        <v>0</v>
      </c>
      <c r="O52" s="1329">
        <f t="shared" si="14"/>
        <v>0</v>
      </c>
    </row>
    <row r="53" spans="1:17" ht="13" x14ac:dyDescent="0.25">
      <c r="A53" s="1917" t="s">
        <v>423</v>
      </c>
      <c r="B53" s="1917"/>
      <c r="C53" s="1328">
        <f>IF(OR(Fiscalitat!$H$21="a",Fiscalitat!$H$21="B",Fiscalitat!$H$21="D"),0,C23*MERCADERIES!$DO28+C24*SERVEIS!$CN27+(VARIABLES!B16+C29+VARIABLES!B19+C31+C32+C35+C36+C37)*VARIABLES!$F6+VARIABLES!B47+LEASING!BS14+('Introducció dades'!C11-'Introducció dades'!C11/(1+'Introducció dades'!I11)))</f>
        <v>0</v>
      </c>
      <c r="D53" s="1328">
        <f>IF(OR(Fiscalitat!$H$21="a",Fiscalitat!$H$21="B",Fiscalitat!$H$21="D"),0,D23*MERCADERIES!$DO28+D24*SERVEIS!$CN27+(VARIABLES!C16+D29+VARIABLES!C19+D31+D32+D35+D36+D37)*VARIABLES!$F6+VARIABLES!C47+LEASING!BT14)</f>
        <v>0</v>
      </c>
      <c r="E53" s="1328">
        <f>IF(OR(Fiscalitat!$H$21="a",Fiscalitat!$H$21="B",Fiscalitat!$H$21="D"),0,E23*MERCADERIES!$DO28+E24*SERVEIS!$CN27+(VARIABLES!D16+E29+VARIABLES!D19+E31+E32+E35+E36+E37)*VARIABLES!$F6+VARIABLES!D47+LEASING!BU14)</f>
        <v>0</v>
      </c>
      <c r="F53" s="1328">
        <f>IF(OR(Fiscalitat!$H$21="a",Fiscalitat!$H$21="B",Fiscalitat!$H$21="D"),0,F23*MERCADERIES!$DO28+F24*SERVEIS!$CN27+(VARIABLES!E16+F29+VARIABLES!E19+F31+F32+F35+F36+F37)*VARIABLES!$F6+VARIABLES!E47+LEASING!BV14)</f>
        <v>0</v>
      </c>
      <c r="G53" s="1328">
        <f>IF(OR(Fiscalitat!$H$21="a",Fiscalitat!$H$21="B",Fiscalitat!$H$21="D"),0,G23*MERCADERIES!$DO28+G24*SERVEIS!$CN27+(VARIABLES!F16+G29+VARIABLES!F19+G31+G32+G35+G36+G37)*VARIABLES!$F6+VARIABLES!F47+LEASING!BW14)</f>
        <v>0</v>
      </c>
      <c r="H53" s="1328">
        <f>IF(OR(Fiscalitat!$H$21="a",Fiscalitat!$H$21="B",Fiscalitat!$H$21="D"),0,H23*MERCADERIES!$DO28+H24*SERVEIS!$CN27+(VARIABLES!G16+H29+VARIABLES!G19+H31+H32+H35+H36+H37)*VARIABLES!$F6+VARIABLES!G47+LEASING!BX14)</f>
        <v>0</v>
      </c>
      <c r="I53" s="1328">
        <f>IF(OR(Fiscalitat!$H$21="a",Fiscalitat!$H$21="B",Fiscalitat!$H$21="D"),0,I23*MERCADERIES!$DO28+I24*SERVEIS!$CN27+(VARIABLES!H16+I29+VARIABLES!H19+I31+I32+I35+I36+I37)*VARIABLES!$F6+VARIABLES!H47+LEASING!BY14)</f>
        <v>0</v>
      </c>
      <c r="J53" s="1328">
        <f>IF(OR(Fiscalitat!$H$21="a",Fiscalitat!$H$21="B",Fiscalitat!$H$21="D"),0,J23*MERCADERIES!$DO28+J24*SERVEIS!$CN27+(VARIABLES!I16+J29+VARIABLES!I19+J31+J32+J35+J36+J37)*VARIABLES!$F6+VARIABLES!I47+LEASING!BZ14)</f>
        <v>0</v>
      </c>
      <c r="K53" s="1328">
        <f>IF(OR(Fiscalitat!$H$21="a",Fiscalitat!$H$21="B",Fiscalitat!$H$21="D"),0,K23*MERCADERIES!$DO28+K24*SERVEIS!$CN27+(VARIABLES!J16+K29+VARIABLES!J19+K31+K32+K35+K36+K37)*VARIABLES!$F6+VARIABLES!J47+LEASING!CA14)</f>
        <v>0</v>
      </c>
      <c r="L53" s="1328">
        <f>IF(OR(Fiscalitat!$H$21="a",Fiscalitat!$H$21="B",Fiscalitat!$H$21="D"),0,L23*MERCADERIES!$DO28+L24*SERVEIS!$CN27+(VARIABLES!K16+L29+VARIABLES!K19+L31+L32+L35+L36+L37)*VARIABLES!$F6+VARIABLES!K47+LEASING!CB14)</f>
        <v>0</v>
      </c>
      <c r="M53" s="1328">
        <f>IF(OR(Fiscalitat!$H$21="a",Fiscalitat!$H$21="B",Fiscalitat!$H$21="D"),0,M23*MERCADERIES!$DO28+M24*SERVEIS!$CN27+(VARIABLES!L16+M29+VARIABLES!L19+M31+M32+M35+M36+M37)*VARIABLES!$F6+VARIABLES!L47+LEASING!CC14)</f>
        <v>0</v>
      </c>
      <c r="N53" s="1328">
        <f>IF(OR(Fiscalitat!$H$21="a",Fiscalitat!$H$21="B",Fiscalitat!$H$21="D"),0,N23*MERCADERIES!$DO28+N24*SERVEIS!$CN27+(VARIABLES!M16+N29+VARIABLES!M19+N31+N32+N35+N36+N37)*VARIABLES!$F6+VARIABLES!M47+LEASING!CD14)</f>
        <v>0</v>
      </c>
      <c r="O53" s="1329">
        <f t="shared" si="14"/>
        <v>0</v>
      </c>
      <c r="Q53" s="1334"/>
    </row>
    <row r="54" spans="1:17" ht="13" x14ac:dyDescent="0.25">
      <c r="A54" s="1918" t="s">
        <v>462</v>
      </c>
      <c r="B54" s="1918"/>
      <c r="C54" s="1330">
        <f>C22+C26+C38+C46+SUM(C50:C53)</f>
        <v>0</v>
      </c>
      <c r="D54" s="1330">
        <f t="shared" ref="D54:N54" si="15">D22+D26+D38+D46+SUM(D50:D53)</f>
        <v>0</v>
      </c>
      <c r="E54" s="1330">
        <f t="shared" si="15"/>
        <v>0</v>
      </c>
      <c r="F54" s="1330">
        <f t="shared" si="15"/>
        <v>0</v>
      </c>
      <c r="G54" s="1330">
        <f t="shared" si="15"/>
        <v>0</v>
      </c>
      <c r="H54" s="1330">
        <f t="shared" si="15"/>
        <v>0</v>
      </c>
      <c r="I54" s="1330">
        <f t="shared" si="15"/>
        <v>0</v>
      </c>
      <c r="J54" s="1330">
        <f t="shared" si="15"/>
        <v>0</v>
      </c>
      <c r="K54" s="1330">
        <f t="shared" si="15"/>
        <v>0</v>
      </c>
      <c r="L54" s="1330">
        <f t="shared" si="15"/>
        <v>0</v>
      </c>
      <c r="M54" s="1330">
        <f t="shared" si="15"/>
        <v>0</v>
      </c>
      <c r="N54" s="1330">
        <f t="shared" si="15"/>
        <v>0</v>
      </c>
      <c r="O54" s="1330">
        <f t="shared" si="14"/>
        <v>0</v>
      </c>
      <c r="Q54" s="1334"/>
    </row>
    <row r="55" spans="1:17" x14ac:dyDescent="0.25">
      <c r="C55" s="1331"/>
      <c r="D55" s="1331"/>
      <c r="E55" s="1331"/>
      <c r="F55" s="1331"/>
      <c r="G55" s="1331"/>
      <c r="H55" s="1331"/>
      <c r="I55" s="1331"/>
      <c r="J55" s="1331"/>
      <c r="K55" s="1331"/>
      <c r="L55" s="1331"/>
      <c r="M55" s="1331"/>
      <c r="N55" s="1331"/>
      <c r="O55" s="1331"/>
    </row>
    <row r="56" spans="1:17" ht="13" x14ac:dyDescent="0.25">
      <c r="A56" s="1926" t="s">
        <v>255</v>
      </c>
      <c r="B56" s="1926"/>
      <c r="C56" s="1330">
        <f>'Pla inversions i finançament'!B20-'Pla inversions i finançament'!B31</f>
        <v>0</v>
      </c>
      <c r="D56" s="1330">
        <f>C59+C70-C61</f>
        <v>0</v>
      </c>
      <c r="E56" s="1330">
        <f t="shared" ref="E56:N56" si="16">D59+D60-D61</f>
        <v>0</v>
      </c>
      <c r="F56" s="1330">
        <f t="shared" si="16"/>
        <v>0</v>
      </c>
      <c r="G56" s="1330">
        <f t="shared" si="16"/>
        <v>0</v>
      </c>
      <c r="H56" s="1330">
        <f t="shared" si="16"/>
        <v>0</v>
      </c>
      <c r="I56" s="1330">
        <f t="shared" si="16"/>
        <v>0</v>
      </c>
      <c r="J56" s="1330">
        <f t="shared" si="16"/>
        <v>0</v>
      </c>
      <c r="K56" s="1330">
        <f t="shared" si="16"/>
        <v>0</v>
      </c>
      <c r="L56" s="1330">
        <f t="shared" si="16"/>
        <v>0</v>
      </c>
      <c r="M56" s="1330">
        <f t="shared" si="16"/>
        <v>0</v>
      </c>
      <c r="N56" s="1330">
        <f t="shared" si="16"/>
        <v>0</v>
      </c>
      <c r="O56" s="1330">
        <f>C56</f>
        <v>0</v>
      </c>
    </row>
    <row r="57" spans="1:17" ht="13" x14ac:dyDescent="0.25">
      <c r="A57" s="1926" t="s">
        <v>463</v>
      </c>
      <c r="B57" s="1926"/>
      <c r="C57" s="1330">
        <f t="shared" ref="C57:O57" si="17">C19-C54</f>
        <v>0</v>
      </c>
      <c r="D57" s="1330">
        <f t="shared" si="17"/>
        <v>0</v>
      </c>
      <c r="E57" s="1330">
        <f t="shared" si="17"/>
        <v>0</v>
      </c>
      <c r="F57" s="1330">
        <f t="shared" si="17"/>
        <v>0</v>
      </c>
      <c r="G57" s="1330">
        <f t="shared" si="17"/>
        <v>0</v>
      </c>
      <c r="H57" s="1330">
        <f t="shared" si="17"/>
        <v>0</v>
      </c>
      <c r="I57" s="1330">
        <f t="shared" si="17"/>
        <v>0</v>
      </c>
      <c r="J57" s="1330">
        <f t="shared" si="17"/>
        <v>0</v>
      </c>
      <c r="K57" s="1330">
        <f t="shared" si="17"/>
        <v>0</v>
      </c>
      <c r="L57" s="1330">
        <f t="shared" si="17"/>
        <v>0</v>
      </c>
      <c r="M57" s="1330">
        <f t="shared" si="17"/>
        <v>0</v>
      </c>
      <c r="N57" s="1330">
        <f t="shared" si="17"/>
        <v>0</v>
      </c>
      <c r="O57" s="1330">
        <f t="shared" si="17"/>
        <v>0</v>
      </c>
    </row>
    <row r="58" spans="1:17" ht="13" x14ac:dyDescent="0.25">
      <c r="A58" s="1927" t="str">
        <f>+IF(Fiscalitat!$H$21="a","LIQUIDACIÓN MÓDULOS IVA","LIQUIDACIÓN IVA")</f>
        <v>LIQUIDACIÓN IVA</v>
      </c>
      <c r="B58" s="1927"/>
      <c r="C58" s="1328"/>
      <c r="D58" s="1328">
        <f>VARIABLES!B49</f>
        <v>0</v>
      </c>
      <c r="E58" s="1328">
        <f>VARIABLES!C49</f>
        <v>0</v>
      </c>
      <c r="F58" s="1328">
        <f>VARIABLES!D49</f>
        <v>0</v>
      </c>
      <c r="G58" s="1328">
        <f>VARIABLES!E49</f>
        <v>0</v>
      </c>
      <c r="H58" s="1328">
        <f>VARIABLES!F49</f>
        <v>0</v>
      </c>
      <c r="I58" s="1328">
        <f>VARIABLES!G49</f>
        <v>0</v>
      </c>
      <c r="J58" s="1328">
        <f>VARIABLES!H49</f>
        <v>0</v>
      </c>
      <c r="K58" s="1328">
        <f>VARIABLES!I49</f>
        <v>0</v>
      </c>
      <c r="L58" s="1328">
        <f>VARIABLES!J49</f>
        <v>0</v>
      </c>
      <c r="M58" s="1328">
        <f>VARIABLES!K49</f>
        <v>0</v>
      </c>
      <c r="N58" s="1328">
        <f>VARIABLES!L49</f>
        <v>0</v>
      </c>
      <c r="O58" s="1329">
        <f>SUM(C58:N58)</f>
        <v>0</v>
      </c>
    </row>
    <row r="59" spans="1:17" ht="13" x14ac:dyDescent="0.25">
      <c r="A59" s="1926" t="s">
        <v>254</v>
      </c>
      <c r="B59" s="1926"/>
      <c r="C59" s="1330">
        <f>C56+C57-C58</f>
        <v>0</v>
      </c>
      <c r="D59" s="1330">
        <f>D56+D57-D58</f>
        <v>0</v>
      </c>
      <c r="E59" s="1330">
        <f>E56+E57-E58</f>
        <v>0</v>
      </c>
      <c r="F59" s="1330">
        <f t="shared" ref="F59:N59" si="18">F56+F57-F58</f>
        <v>0</v>
      </c>
      <c r="G59" s="1330">
        <f t="shared" si="18"/>
        <v>0</v>
      </c>
      <c r="H59" s="1330">
        <f t="shared" si="18"/>
        <v>0</v>
      </c>
      <c r="I59" s="1330">
        <f t="shared" si="18"/>
        <v>0</v>
      </c>
      <c r="J59" s="1330">
        <f t="shared" si="18"/>
        <v>0</v>
      </c>
      <c r="K59" s="1330">
        <f t="shared" si="18"/>
        <v>0</v>
      </c>
      <c r="L59" s="1330">
        <f t="shared" si="18"/>
        <v>0</v>
      </c>
      <c r="M59" s="1330">
        <f t="shared" si="18"/>
        <v>0</v>
      </c>
      <c r="N59" s="1330">
        <f t="shared" si="18"/>
        <v>0</v>
      </c>
      <c r="O59" s="1330">
        <f>N59+N60-N61</f>
        <v>0</v>
      </c>
    </row>
    <row r="60" spans="1:17" ht="13" x14ac:dyDescent="0.25">
      <c r="A60" s="1917" t="s">
        <v>464</v>
      </c>
      <c r="B60" s="1917"/>
      <c r="C60" s="1328">
        <f t="shared" ref="C60:N60" si="19">C70</f>
        <v>0</v>
      </c>
      <c r="D60" s="1328">
        <f t="shared" si="19"/>
        <v>0</v>
      </c>
      <c r="E60" s="1328">
        <f t="shared" si="19"/>
        <v>0</v>
      </c>
      <c r="F60" s="1328">
        <f t="shared" si="19"/>
        <v>0</v>
      </c>
      <c r="G60" s="1328">
        <f t="shared" si="19"/>
        <v>0</v>
      </c>
      <c r="H60" s="1328">
        <f t="shared" si="19"/>
        <v>0</v>
      </c>
      <c r="I60" s="1328">
        <f t="shared" si="19"/>
        <v>0</v>
      </c>
      <c r="J60" s="1328">
        <f t="shared" si="19"/>
        <v>0</v>
      </c>
      <c r="K60" s="1328">
        <f t="shared" si="19"/>
        <v>0</v>
      </c>
      <c r="L60" s="1328">
        <f t="shared" si="19"/>
        <v>0</v>
      </c>
      <c r="M60" s="1328">
        <f t="shared" si="19"/>
        <v>0</v>
      </c>
      <c r="N60" s="1328">
        <f t="shared" si="19"/>
        <v>0</v>
      </c>
      <c r="O60" s="1329">
        <f>SUM(C60:N60)</f>
        <v>0</v>
      </c>
      <c r="Q60" s="1334"/>
    </row>
    <row r="61" spans="1:17" ht="13" x14ac:dyDescent="0.25">
      <c r="A61" s="1917" t="s">
        <v>465</v>
      </c>
      <c r="B61" s="1917"/>
      <c r="C61" s="1328">
        <f t="shared" ref="C61:N61" si="20">C71</f>
        <v>0</v>
      </c>
      <c r="D61" s="1328">
        <f t="shared" si="20"/>
        <v>0</v>
      </c>
      <c r="E61" s="1328">
        <f t="shared" si="20"/>
        <v>0</v>
      </c>
      <c r="F61" s="1328">
        <f t="shared" si="20"/>
        <v>0</v>
      </c>
      <c r="G61" s="1328">
        <f t="shared" si="20"/>
        <v>0</v>
      </c>
      <c r="H61" s="1328">
        <f t="shared" si="20"/>
        <v>0</v>
      </c>
      <c r="I61" s="1328">
        <f t="shared" si="20"/>
        <v>0</v>
      </c>
      <c r="J61" s="1328">
        <f t="shared" si="20"/>
        <v>0</v>
      </c>
      <c r="K61" s="1328">
        <f t="shared" si="20"/>
        <v>0</v>
      </c>
      <c r="L61" s="1328">
        <f t="shared" si="20"/>
        <v>0</v>
      </c>
      <c r="M61" s="1328">
        <f t="shared" si="20"/>
        <v>0</v>
      </c>
      <c r="N61" s="1328">
        <f t="shared" si="20"/>
        <v>0</v>
      </c>
      <c r="O61" s="1329">
        <f>SUM(C61:N61)</f>
        <v>0</v>
      </c>
      <c r="Q61" s="1334"/>
    </row>
    <row r="62" spans="1:17" ht="13" x14ac:dyDescent="0.25">
      <c r="A62" s="1917" t="s">
        <v>466</v>
      </c>
      <c r="B62" s="1917"/>
      <c r="C62" s="1328">
        <f t="shared" ref="C62:N62" si="21">B62+C60-C61</f>
        <v>0</v>
      </c>
      <c r="D62" s="1328">
        <f t="shared" si="21"/>
        <v>0</v>
      </c>
      <c r="E62" s="1328">
        <f t="shared" si="21"/>
        <v>0</v>
      </c>
      <c r="F62" s="1328">
        <f t="shared" si="21"/>
        <v>0</v>
      </c>
      <c r="G62" s="1328">
        <f t="shared" si="21"/>
        <v>0</v>
      </c>
      <c r="H62" s="1328">
        <f t="shared" si="21"/>
        <v>0</v>
      </c>
      <c r="I62" s="1328">
        <f t="shared" si="21"/>
        <v>0</v>
      </c>
      <c r="J62" s="1328">
        <f t="shared" si="21"/>
        <v>0</v>
      </c>
      <c r="K62" s="1328">
        <f t="shared" si="21"/>
        <v>0</v>
      </c>
      <c r="L62" s="1328">
        <f t="shared" si="21"/>
        <v>0</v>
      </c>
      <c r="M62" s="1328">
        <f t="shared" si="21"/>
        <v>0</v>
      </c>
      <c r="N62" s="1328">
        <f t="shared" si="21"/>
        <v>0</v>
      </c>
      <c r="O62" s="1329">
        <f>N62</f>
        <v>0</v>
      </c>
    </row>
    <row r="64" spans="1:17" ht="13" x14ac:dyDescent="0.25">
      <c r="B64" s="1336" t="s">
        <v>129</v>
      </c>
    </row>
    <row r="66" spans="1:17" x14ac:dyDescent="0.25">
      <c r="B66" s="1337" t="s">
        <v>467</v>
      </c>
      <c r="C66" s="1338" t="str">
        <f>'Introducció dades'!C146</f>
        <v>TRIMESTRAL</v>
      </c>
      <c r="D66" s="1339">
        <f>IF(C66="SEMESTRAL",2,0)+IF(C66="TRIMESTRAL",4,0)+IF(C66="MENSUAL",12,0)</f>
        <v>4</v>
      </c>
    </row>
    <row r="67" spans="1:17" x14ac:dyDescent="0.25">
      <c r="B67" s="1337" t="s">
        <v>133</v>
      </c>
      <c r="C67" s="242">
        <f>'Introducció dades'!C147</f>
        <v>4.4999999999999998E-2</v>
      </c>
      <c r="D67" s="1340">
        <f>IF(D66=12,C67/12)+IF(D66=4,C67/4)+IF(D66=2,C67/2)+IF(D66=1,C67)</f>
        <v>1.125E-2</v>
      </c>
    </row>
    <row r="68" spans="1:17" x14ac:dyDescent="0.25">
      <c r="O68" s="1912" t="s">
        <v>245</v>
      </c>
    </row>
    <row r="69" spans="1:17" ht="13" x14ac:dyDescent="0.25">
      <c r="A69" s="1912" t="s">
        <v>468</v>
      </c>
      <c r="B69" s="1912"/>
      <c r="C69" s="1322" t="str">
        <f t="shared" ref="C69:N69" si="22">C10</f>
        <v>GENER</v>
      </c>
      <c r="D69" s="1322" t="str">
        <f t="shared" si="22"/>
        <v>FEBRER</v>
      </c>
      <c r="E69" s="1322" t="str">
        <f t="shared" si="22"/>
        <v>MARÇ</v>
      </c>
      <c r="F69" s="1322" t="str">
        <f t="shared" si="22"/>
        <v>ABRIL</v>
      </c>
      <c r="G69" s="1322" t="str">
        <f t="shared" si="22"/>
        <v>MAIG</v>
      </c>
      <c r="H69" s="1322" t="str">
        <f t="shared" si="22"/>
        <v>JUNY</v>
      </c>
      <c r="I69" s="1322" t="str">
        <f t="shared" si="22"/>
        <v>JULIOL</v>
      </c>
      <c r="J69" s="1322" t="str">
        <f t="shared" si="22"/>
        <v>AGOST</v>
      </c>
      <c r="K69" s="1322" t="str">
        <f t="shared" si="22"/>
        <v>SETEMBRE</v>
      </c>
      <c r="L69" s="1322" t="str">
        <f t="shared" si="22"/>
        <v>OCTUBRE</v>
      </c>
      <c r="M69" s="1322" t="str">
        <f t="shared" si="22"/>
        <v>NOVEMBRE</v>
      </c>
      <c r="N69" s="1322" t="str">
        <f t="shared" si="22"/>
        <v>DESEMBRE</v>
      </c>
      <c r="O69" s="1912"/>
    </row>
    <row r="70" spans="1:17" ht="13" x14ac:dyDescent="0.25">
      <c r="A70" s="1917" t="s">
        <v>469</v>
      </c>
      <c r="B70" s="1917"/>
      <c r="C70" s="1328">
        <f>-IF(C59&lt;0,C59,0)</f>
        <v>0</v>
      </c>
      <c r="D70" s="1328">
        <f t="shared" ref="D70:N70" si="23">-IF(D59&lt;0,D59,0)</f>
        <v>0</v>
      </c>
      <c r="E70" s="1328">
        <f t="shared" si="23"/>
        <v>0</v>
      </c>
      <c r="F70" s="1328">
        <f t="shared" si="23"/>
        <v>0</v>
      </c>
      <c r="G70" s="1328">
        <f t="shared" si="23"/>
        <v>0</v>
      </c>
      <c r="H70" s="1328">
        <f t="shared" si="23"/>
        <v>0</v>
      </c>
      <c r="I70" s="1328">
        <f t="shared" si="23"/>
        <v>0</v>
      </c>
      <c r="J70" s="1328">
        <f t="shared" si="23"/>
        <v>0</v>
      </c>
      <c r="K70" s="1328">
        <f t="shared" si="23"/>
        <v>0</v>
      </c>
      <c r="L70" s="1328">
        <f t="shared" si="23"/>
        <v>0</v>
      </c>
      <c r="M70" s="1328">
        <f t="shared" si="23"/>
        <v>0</v>
      </c>
      <c r="N70" s="1328">
        <f t="shared" si="23"/>
        <v>0</v>
      </c>
      <c r="O70" s="1329">
        <f>SUM(C70:N70)</f>
        <v>0</v>
      </c>
      <c r="P70" s="1331"/>
      <c r="Q70" s="1331"/>
    </row>
    <row r="71" spans="1:17" ht="13" x14ac:dyDescent="0.25">
      <c r="A71" s="1917" t="s">
        <v>470</v>
      </c>
      <c r="B71" s="1917"/>
      <c r="C71" s="1328">
        <f>IF(C59&lt;B73,C59,0)+IF(C59&gt;B73,B73,0)-IF(C59&lt;0,C59,0)</f>
        <v>0</v>
      </c>
      <c r="D71" s="1328">
        <f t="shared" ref="D71:N71" si="24">IF(D59&lt;C73,D59,0)+IF(D59&gt;C73,C73,0)-IF(D59&lt;0,D59,0)</f>
        <v>0</v>
      </c>
      <c r="E71" s="1328">
        <f t="shared" si="24"/>
        <v>0</v>
      </c>
      <c r="F71" s="1328">
        <f t="shared" si="24"/>
        <v>0</v>
      </c>
      <c r="G71" s="1328">
        <f t="shared" si="24"/>
        <v>0</v>
      </c>
      <c r="H71" s="1328">
        <f t="shared" si="24"/>
        <v>0</v>
      </c>
      <c r="I71" s="1328">
        <f t="shared" si="24"/>
        <v>0</v>
      </c>
      <c r="J71" s="1328">
        <f t="shared" si="24"/>
        <v>0</v>
      </c>
      <c r="K71" s="1328">
        <f t="shared" si="24"/>
        <v>0</v>
      </c>
      <c r="L71" s="1328">
        <f t="shared" si="24"/>
        <v>0</v>
      </c>
      <c r="M71" s="1328">
        <f t="shared" si="24"/>
        <v>0</v>
      </c>
      <c r="N71" s="1328">
        <f t="shared" si="24"/>
        <v>0</v>
      </c>
      <c r="O71" s="1329">
        <f>SUM(C71:N71)</f>
        <v>0</v>
      </c>
      <c r="P71" s="1331"/>
      <c r="Q71" s="1331"/>
    </row>
    <row r="72" spans="1:17" ht="13" x14ac:dyDescent="0.25">
      <c r="A72" s="1917" t="s">
        <v>471</v>
      </c>
      <c r="B72" s="1917"/>
      <c r="C72" s="1328"/>
      <c r="D72" s="1328">
        <f>IF($D66=12,C73*$D67,0)+IF(AND(OR(D69="MARÇ",D69="JUNY",D69="SETEMBRE",D69="DESEMBRE"),$D66=4),(C73+D73)/2*$D67,0)+IF(AND(OR(D69="JUNY",D69="DESEMBRE"),$D66=2),(C73+D73)/2*$D67)</f>
        <v>0</v>
      </c>
      <c r="E72" s="1328">
        <f>IF($D66=12,E73*$D67,0)+IF(AND(OR(E69="MARç",E69="JUNy",E69="SETembre",E69="Desembre"),$D66=4),(C73+D73+E73)/3*$D67,0)+IF(AND(OR(E69="JUNy",E69="Desembre"),$D66=2),(C73+D73+E73)/3*$D67)</f>
        <v>0</v>
      </c>
      <c r="F72" s="1328">
        <f>IF($D66=12,F73*$D67,0)+IF(AND(OR(F69="MARÇ",F69="JUNY",F69="SETEMBRE",F69="DESEMBRE"),$D66=4),(D73+E73+F73)/3*$D67,0)+IF(AND(OR(F69="JUNY",F69="DESEMBRE"),$D66=2),(D73+E73+F73)/3*$D67)</f>
        <v>0</v>
      </c>
      <c r="G72" s="1328">
        <f>IF($D66=12,G73*$D67,0)+IF(AND(OR(G69="MARç",G69="JUNy",G69="SETEMBRE",G69="DesEMBRE"),$D66=4),(E73+F73+G73)/3*$D67,0)+IF(AND(OR(G69="JUNy",G69="DesEMBRE"),$D66=2),(E73+F73+G73)/3*$D67)</f>
        <v>0</v>
      </c>
      <c r="H72" s="1328">
        <f>IF($D66=12,H73*$D67,0)+IF(AND(OR(H69="MARç",H69="JUNy",H69="SETEMBRE",H69="DesEMBRE"),$D66=4),(F73+G73+H73)/3*$D67,0)+IF(AND(OR(H69="JUNy",H69="DesEMBRE"),$D66=2),(F73+G73+H73)/3*$D67)</f>
        <v>0</v>
      </c>
      <c r="I72" s="1328">
        <f>IF($D66=12,I73*$D67,0)+IF(AND(OR(I69="MARç",I69="JUNy",I69="SEtEMBRE",I69="DesEMBRE"),$D66=4),(G73+H73+I73)/3*$D67,0)+IF(AND(OR(I69="JUNIO",I69="DesEMBRE"),$D66=2),(G73+H73+I73)/3*$D67)</f>
        <v>0</v>
      </c>
      <c r="J72" s="1328">
        <f>IF($D66=12,J73*$D67,0)+IF(AND(OR(J69="MARç",J69="JUny",J69="SETEMBRE",J69="DesEMBRE"),$D66=4),(H73+I73+J73)/3*$D67,0)+IF(AND(OR(J69="JUNIO",J69="DesEMBRE"),$D66=2),(H73+I73+J73)/3*$D67)</f>
        <v>0</v>
      </c>
      <c r="K72" s="1328">
        <f>IF($D66=12,K73*$D67,0)+IF(AND(OR(K69="MARÇ",K69="JUNIO",K69="SETEMBRE",K69="DESEMBRE"),$D66=4),(I73+J73+K73)/3*$D67,0)+IF(AND(OR(K69="JUNY",K69="DESEMBRE"),$D66=2),(I73+J73+K73)/3*$D67)</f>
        <v>0</v>
      </c>
      <c r="L72" s="1328">
        <f>IF($D66=12,L73*$D67,0)+IF(AND(OR(L69="MARÇ",L69="JUNY",L69="SETEMBRE",L69="DESEMBRE"),$D66=4),(J73+K73+L73)/3*$D67,0)+IF(AND(OR(L69="JUNIY",L69="DESEMBRE"),$D66=2),(J73+K73+L73)/3*$D67)</f>
        <v>0</v>
      </c>
      <c r="M72" s="1328">
        <f>IF($D66=12,M73*$D67,0)+IF(AND(OR(M69="MARÇ",M69="JUNY",M69="SETEMBRE",M69="DESEMBRE"),$D66=4),(K73+L73+M73)/3*$D67,0)+IF(AND(OR(M69="JUNY",M69="DESEMBRE"),$D66=2),(K73+L73+M73)/3*$D67)</f>
        <v>0</v>
      </c>
      <c r="N72" s="1328">
        <f>IF($D66=12,N73*$D67,0)+IF(AND(OR(N69="MARÇ",N69="JUNY",N69="SETEMBRE",N69="DESEMBRE"),$D66=4),(L73+M73+N73)/3*$D67,0)+IF(AND(OR(N69="JUNY",N69="DESEMBRE"),$D66=2),(L73+M73+N73)/3*$D67)</f>
        <v>0</v>
      </c>
      <c r="O72" s="1329">
        <f>SUM(C72:N72)</f>
        <v>0</v>
      </c>
      <c r="P72" s="1331"/>
      <c r="Q72" s="1331"/>
    </row>
    <row r="73" spans="1:17" ht="13" x14ac:dyDescent="0.25">
      <c r="A73" s="1926" t="s">
        <v>466</v>
      </c>
      <c r="B73" s="1926"/>
      <c r="C73" s="1330">
        <f t="shared" ref="C73:N73" si="25">B73+C70-C71</f>
        <v>0</v>
      </c>
      <c r="D73" s="1330">
        <f t="shared" si="25"/>
        <v>0</v>
      </c>
      <c r="E73" s="1330">
        <f t="shared" si="25"/>
        <v>0</v>
      </c>
      <c r="F73" s="1330">
        <f t="shared" si="25"/>
        <v>0</v>
      </c>
      <c r="G73" s="1330">
        <f t="shared" si="25"/>
        <v>0</v>
      </c>
      <c r="H73" s="1330">
        <f t="shared" si="25"/>
        <v>0</v>
      </c>
      <c r="I73" s="1330">
        <f t="shared" si="25"/>
        <v>0</v>
      </c>
      <c r="J73" s="1330">
        <f t="shared" si="25"/>
        <v>0</v>
      </c>
      <c r="K73" s="1330">
        <f t="shared" si="25"/>
        <v>0</v>
      </c>
      <c r="L73" s="1330">
        <f t="shared" si="25"/>
        <v>0</v>
      </c>
      <c r="M73" s="1330">
        <f t="shared" si="25"/>
        <v>0</v>
      </c>
      <c r="N73" s="1330">
        <f t="shared" si="25"/>
        <v>0</v>
      </c>
      <c r="O73" s="1330">
        <f>O70-O71</f>
        <v>0</v>
      </c>
      <c r="P73" s="1331"/>
      <c r="Q73" s="1331"/>
    </row>
    <row r="74" spans="1:17" x14ac:dyDescent="0.25">
      <c r="B74" s="1341"/>
      <c r="C74" s="1342"/>
      <c r="D74" s="1343"/>
    </row>
    <row r="75" spans="1:17" ht="13" x14ac:dyDescent="0.25">
      <c r="B75" s="1344" t="s">
        <v>472</v>
      </c>
      <c r="C75" s="1342"/>
      <c r="D75" s="1343"/>
    </row>
    <row r="77" spans="1:17" x14ac:dyDescent="0.25">
      <c r="B77" s="1337" t="s">
        <v>473</v>
      </c>
      <c r="C77" s="1337" t="s">
        <v>82</v>
      </c>
      <c r="D77" s="1339">
        <f>IF(C77="TRIMESTRAL",4,0)</f>
        <v>4</v>
      </c>
    </row>
    <row r="78" spans="1:17" x14ac:dyDescent="0.25">
      <c r="B78" s="1337" t="s">
        <v>133</v>
      </c>
      <c r="C78" s="242">
        <v>0</v>
      </c>
      <c r="D78" s="1345">
        <f>C78/D77</f>
        <v>0</v>
      </c>
    </row>
    <row r="79" spans="1:17" x14ac:dyDescent="0.25">
      <c r="B79" s="1337" t="s">
        <v>25</v>
      </c>
      <c r="C79" s="247">
        <v>0.15</v>
      </c>
      <c r="D79" s="1343"/>
    </row>
    <row r="80" spans="1:17" x14ac:dyDescent="0.25">
      <c r="O80" s="1912" t="s">
        <v>245</v>
      </c>
    </row>
    <row r="81" spans="1:18" x14ac:dyDescent="0.25">
      <c r="A81" s="1346"/>
      <c r="B81" s="1347"/>
      <c r="C81" s="1322" t="str">
        <f t="shared" ref="C81:N81" si="26">C69</f>
        <v>GENER</v>
      </c>
      <c r="D81" s="1322" t="str">
        <f t="shared" si="26"/>
        <v>FEBRER</v>
      </c>
      <c r="E81" s="1322" t="str">
        <f t="shared" si="26"/>
        <v>MARÇ</v>
      </c>
      <c r="F81" s="1322" t="str">
        <f t="shared" si="26"/>
        <v>ABRIL</v>
      </c>
      <c r="G81" s="1322" t="str">
        <f t="shared" si="26"/>
        <v>MAIG</v>
      </c>
      <c r="H81" s="1322" t="str">
        <f t="shared" si="26"/>
        <v>JUNY</v>
      </c>
      <c r="I81" s="1322" t="str">
        <f t="shared" si="26"/>
        <v>JULIOL</v>
      </c>
      <c r="J81" s="1322" t="str">
        <f t="shared" si="26"/>
        <v>AGOST</v>
      </c>
      <c r="K81" s="1322" t="str">
        <f t="shared" si="26"/>
        <v>SETEMBRE</v>
      </c>
      <c r="L81" s="1322" t="str">
        <f t="shared" si="26"/>
        <v>OCTUBRE</v>
      </c>
      <c r="M81" s="1322" t="str">
        <f t="shared" si="26"/>
        <v>NOVEMBRE</v>
      </c>
      <c r="N81" s="1322" t="str">
        <f t="shared" si="26"/>
        <v>DESEMBRE</v>
      </c>
      <c r="O81" s="1912"/>
    </row>
    <row r="82" spans="1:18" ht="13" x14ac:dyDescent="0.25">
      <c r="A82" s="1917" t="s">
        <v>474</v>
      </c>
      <c r="B82" s="1917"/>
      <c r="C82" s="1348">
        <f>IF(AND(C59&gt;0,OR(C81="MARÇ",C81="JUNY",C81="SETEMBRE",C81="DESEMBRE")),C59*$D78,0)</f>
        <v>0</v>
      </c>
      <c r="D82" s="1348">
        <f>IF(AND(D59&gt;0,C59+D59&gt;0,OR(D81="MARÇ",D81="JUNY",D81="SETEMBRE",D81="DESEMBRE")),(C59+D59)/2*$D78,0)</f>
        <v>0</v>
      </c>
      <c r="E82" s="1348">
        <f t="shared" ref="E82:N82" si="27">IF(AND(E59&gt;0,C59+D59+E59&gt;0,OR(E81="MARÇ",E81="JUNY",E81="SETEMBRE",E81="DESEMBRE")),(C59+D59+E59)/3*$D78,0)</f>
        <v>0</v>
      </c>
      <c r="F82" s="1348">
        <f t="shared" si="27"/>
        <v>0</v>
      </c>
      <c r="G82" s="1348">
        <f t="shared" si="27"/>
        <v>0</v>
      </c>
      <c r="H82" s="1348">
        <f t="shared" si="27"/>
        <v>0</v>
      </c>
      <c r="I82" s="1348">
        <f t="shared" si="27"/>
        <v>0</v>
      </c>
      <c r="J82" s="1348">
        <f t="shared" si="27"/>
        <v>0</v>
      </c>
      <c r="K82" s="1348">
        <f t="shared" si="27"/>
        <v>0</v>
      </c>
      <c r="L82" s="1348">
        <f t="shared" si="27"/>
        <v>0</v>
      </c>
      <c r="M82" s="1348">
        <f t="shared" si="27"/>
        <v>0</v>
      </c>
      <c r="N82" s="1348">
        <f t="shared" si="27"/>
        <v>0</v>
      </c>
      <c r="O82" s="1349">
        <f>SUM(C82:N82)</f>
        <v>0</v>
      </c>
    </row>
    <row r="83" spans="1:18" ht="13" x14ac:dyDescent="0.25">
      <c r="A83" s="1917" t="s">
        <v>475</v>
      </c>
      <c r="B83" s="1917"/>
      <c r="C83" s="1348">
        <f>C82*C79</f>
        <v>0</v>
      </c>
      <c r="D83" s="1348">
        <f>D82*$C79</f>
        <v>0</v>
      </c>
      <c r="E83" s="1348">
        <f t="shared" ref="E83:N83" si="28">E82*$C79</f>
        <v>0</v>
      </c>
      <c r="F83" s="1348">
        <f t="shared" si="28"/>
        <v>0</v>
      </c>
      <c r="G83" s="1348">
        <f t="shared" si="28"/>
        <v>0</v>
      </c>
      <c r="H83" s="1348">
        <f t="shared" si="28"/>
        <v>0</v>
      </c>
      <c r="I83" s="1348">
        <f t="shared" si="28"/>
        <v>0</v>
      </c>
      <c r="J83" s="1348">
        <f t="shared" si="28"/>
        <v>0</v>
      </c>
      <c r="K83" s="1348">
        <f t="shared" si="28"/>
        <v>0</v>
      </c>
      <c r="L83" s="1348">
        <f t="shared" si="28"/>
        <v>0</v>
      </c>
      <c r="M83" s="1348">
        <f t="shared" si="28"/>
        <v>0</v>
      </c>
      <c r="N83" s="1348">
        <f t="shared" si="28"/>
        <v>0</v>
      </c>
      <c r="O83" s="1349">
        <f>SUM(C83:N83)</f>
        <v>0</v>
      </c>
    </row>
    <row r="84" spans="1:18" ht="13" x14ac:dyDescent="0.25">
      <c r="A84" s="1917" t="s">
        <v>476</v>
      </c>
      <c r="B84" s="1917"/>
      <c r="C84" s="1348">
        <f t="shared" ref="C84:N84" si="29">C82-C83</f>
        <v>0</v>
      </c>
      <c r="D84" s="1348">
        <f t="shared" si="29"/>
        <v>0</v>
      </c>
      <c r="E84" s="1348">
        <f t="shared" si="29"/>
        <v>0</v>
      </c>
      <c r="F84" s="1348">
        <f t="shared" si="29"/>
        <v>0</v>
      </c>
      <c r="G84" s="1348">
        <f t="shared" si="29"/>
        <v>0</v>
      </c>
      <c r="H84" s="1348">
        <f t="shared" si="29"/>
        <v>0</v>
      </c>
      <c r="I84" s="1348">
        <f t="shared" si="29"/>
        <v>0</v>
      </c>
      <c r="J84" s="1348">
        <f t="shared" si="29"/>
        <v>0</v>
      </c>
      <c r="K84" s="1348">
        <f t="shared" si="29"/>
        <v>0</v>
      </c>
      <c r="L84" s="1348">
        <f t="shared" si="29"/>
        <v>0</v>
      </c>
      <c r="M84" s="1348">
        <f t="shared" si="29"/>
        <v>0</v>
      </c>
      <c r="N84" s="1348">
        <f t="shared" si="29"/>
        <v>0</v>
      </c>
      <c r="O84" s="1349">
        <f>SUM(C84:N84)</f>
        <v>0</v>
      </c>
    </row>
    <row r="87" spans="1:18" ht="13" x14ac:dyDescent="0.25">
      <c r="B87" s="1350" t="s">
        <v>47</v>
      </c>
    </row>
    <row r="89" spans="1:18" ht="13" x14ac:dyDescent="0.25">
      <c r="A89" s="1928" t="s">
        <v>156</v>
      </c>
      <c r="B89" s="1928"/>
      <c r="C89" s="1928"/>
      <c r="D89" s="1319" t="s">
        <v>157</v>
      </c>
      <c r="E89" s="1306">
        <v>30</v>
      </c>
      <c r="F89" s="1306">
        <f>E89+30</f>
        <v>60</v>
      </c>
      <c r="G89" s="1306">
        <f t="shared" ref="G89:O89" si="30">F89+30</f>
        <v>90</v>
      </c>
      <c r="H89" s="1306">
        <f t="shared" si="30"/>
        <v>120</v>
      </c>
      <c r="I89" s="1306">
        <f t="shared" si="30"/>
        <v>150</v>
      </c>
      <c r="J89" s="1306">
        <f t="shared" si="30"/>
        <v>180</v>
      </c>
      <c r="K89" s="1306">
        <f t="shared" si="30"/>
        <v>210</v>
      </c>
      <c r="L89" s="1306">
        <f t="shared" si="30"/>
        <v>240</v>
      </c>
      <c r="M89" s="1306">
        <f t="shared" si="30"/>
        <v>270</v>
      </c>
      <c r="N89" s="1306">
        <f t="shared" si="30"/>
        <v>300</v>
      </c>
      <c r="O89" s="1306">
        <f t="shared" si="30"/>
        <v>330</v>
      </c>
    </row>
    <row r="90" spans="1:18" ht="13" hidden="1" x14ac:dyDescent="0.25">
      <c r="B90" s="1307" t="e">
        <f>'Introducció dades'!#REF!</f>
        <v>#REF!</v>
      </c>
      <c r="C90" s="1308">
        <f>SUM(D90:O90)</f>
        <v>1</v>
      </c>
      <c r="D90" s="1310">
        <v>1</v>
      </c>
      <c r="E90" s="1310">
        <v>0</v>
      </c>
      <c r="F90" s="1351">
        <v>0</v>
      </c>
      <c r="G90" s="1310">
        <v>0</v>
      </c>
      <c r="H90" s="1310">
        <v>0</v>
      </c>
      <c r="I90" s="1310">
        <v>0</v>
      </c>
      <c r="J90" s="1310">
        <v>0</v>
      </c>
      <c r="K90" s="1310">
        <v>0</v>
      </c>
      <c r="L90" s="1310">
        <v>0</v>
      </c>
      <c r="M90" s="1310">
        <v>0</v>
      </c>
      <c r="N90" s="1310">
        <v>0</v>
      </c>
      <c r="O90" s="1310">
        <v>0</v>
      </c>
    </row>
    <row r="91" spans="1:18" ht="13" x14ac:dyDescent="0.25">
      <c r="A91" s="1352" t="s">
        <v>158</v>
      </c>
      <c r="B91" s="1312" t="str">
        <f>B5</f>
        <v>COBRAMENT</v>
      </c>
      <c r="C91" s="1308">
        <f>SUM(D91:O91)</f>
        <v>1</v>
      </c>
      <c r="D91" s="1310">
        <f>'Introducció dades'!E395</f>
        <v>1</v>
      </c>
      <c r="E91" s="1310">
        <f>'Introducció dades'!F395</f>
        <v>0</v>
      </c>
      <c r="F91" s="1310">
        <f>'Introducció dades'!G395</f>
        <v>0</v>
      </c>
      <c r="G91" s="1310">
        <f>'Introducció dades'!H395</f>
        <v>0</v>
      </c>
      <c r="H91" s="1310">
        <f>'Introducció dades'!I395</f>
        <v>0</v>
      </c>
      <c r="I91" s="1310">
        <f>'Introducció dades'!J395</f>
        <v>0</v>
      </c>
      <c r="J91" s="1310">
        <f>'Introducció dades'!K395</f>
        <v>0</v>
      </c>
      <c r="K91" s="1310">
        <f>'Introducció dades'!L395</f>
        <v>0</v>
      </c>
      <c r="L91" s="1310">
        <f>'Introducció dades'!M395</f>
        <v>0</v>
      </c>
      <c r="M91" s="1310">
        <f>'Introducció dades'!N395</f>
        <v>0</v>
      </c>
      <c r="N91" s="1310">
        <f>'Introducció dades'!O395</f>
        <v>0</v>
      </c>
      <c r="O91" s="1310">
        <f>'Introducció dades'!P395</f>
        <v>0</v>
      </c>
    </row>
    <row r="92" spans="1:18" ht="13" hidden="1" x14ac:dyDescent="0.25">
      <c r="B92" s="1312" t="e">
        <f>B6</f>
        <v>#REF!</v>
      </c>
      <c r="C92" s="1308">
        <f>SUM(D92:O92)</f>
        <v>1</v>
      </c>
      <c r="D92" s="1310">
        <v>1</v>
      </c>
      <c r="E92" s="1310">
        <v>0</v>
      </c>
      <c r="F92" s="1351">
        <v>0</v>
      </c>
      <c r="G92" s="1310">
        <v>0</v>
      </c>
      <c r="H92" s="1310">
        <v>0</v>
      </c>
      <c r="I92" s="1310">
        <v>0</v>
      </c>
      <c r="J92" s="1310">
        <v>0</v>
      </c>
      <c r="K92" s="1310">
        <v>0</v>
      </c>
      <c r="L92" s="1310">
        <v>0</v>
      </c>
      <c r="M92" s="1310">
        <v>0</v>
      </c>
      <c r="N92" s="1310">
        <v>0</v>
      </c>
      <c r="O92" s="1310">
        <v>0</v>
      </c>
      <c r="Q92" s="1313" t="s">
        <v>434</v>
      </c>
      <c r="R92" s="1314">
        <f>O144+AJUSTAMENTS!B29+AJUSTAMENTS!E29-AJUSTAMENTS!B44-AJUSTAMENTS!E44-'Resultats per mesos'!I94</f>
        <v>0</v>
      </c>
    </row>
    <row r="93" spans="1:18" ht="13" x14ac:dyDescent="0.25">
      <c r="A93" s="1315" t="s">
        <v>159</v>
      </c>
      <c r="B93" s="1312" t="str">
        <f>B7</f>
        <v>PAGAMENT</v>
      </c>
      <c r="C93" s="1308">
        <f>SUM(D93:O93)</f>
        <v>1</v>
      </c>
      <c r="D93" s="1310">
        <f>'Introducció dades'!E396</f>
        <v>1</v>
      </c>
      <c r="E93" s="1310">
        <f>'Introducció dades'!F396</f>
        <v>0</v>
      </c>
      <c r="F93" s="1310">
        <f>'Introducció dades'!G396</f>
        <v>0</v>
      </c>
      <c r="G93" s="1310">
        <f>'Introducció dades'!H396</f>
        <v>0</v>
      </c>
      <c r="H93" s="1310">
        <f>'Introducció dades'!I396</f>
        <v>0</v>
      </c>
      <c r="I93" s="1310">
        <f>'Introducció dades'!J396</f>
        <v>0</v>
      </c>
      <c r="J93" s="1310">
        <f>'Introducció dades'!K396</f>
        <v>0</v>
      </c>
      <c r="K93" s="1310">
        <f>'Introducció dades'!L396</f>
        <v>0</v>
      </c>
      <c r="L93" s="1310">
        <f>'Introducció dades'!M396</f>
        <v>0</v>
      </c>
      <c r="M93" s="1310">
        <f>'Introducció dades'!N396</f>
        <v>0</v>
      </c>
      <c r="N93" s="1310">
        <f>'Introducció dades'!O396</f>
        <v>0</v>
      </c>
      <c r="O93" s="1310">
        <f>'Introducció dades'!P396</f>
        <v>0</v>
      </c>
    </row>
    <row r="95" spans="1:18" ht="13" x14ac:dyDescent="0.25">
      <c r="B95" s="912"/>
      <c r="C95" s="1835" t="s">
        <v>435</v>
      </c>
      <c r="D95" s="1835"/>
      <c r="E95" s="1835"/>
      <c r="F95" s="1835"/>
      <c r="G95" s="1835"/>
      <c r="H95" s="1835"/>
      <c r="I95" s="1835"/>
      <c r="J95" s="1835"/>
      <c r="K95" s="1835"/>
      <c r="L95" s="1835"/>
      <c r="M95" s="1835"/>
      <c r="N95" s="1835"/>
      <c r="O95" s="1912" t="s">
        <v>245</v>
      </c>
    </row>
    <row r="96" spans="1:18" ht="13" x14ac:dyDescent="0.25">
      <c r="A96" s="912"/>
      <c r="B96" s="912"/>
      <c r="C96" s="1322" t="str">
        <f>C81</f>
        <v>GENER</v>
      </c>
      <c r="D96" s="1322" t="str">
        <f t="shared" ref="D96:N96" si="31">D81</f>
        <v>FEBRER</v>
      </c>
      <c r="E96" s="1322" t="str">
        <f t="shared" si="31"/>
        <v>MARÇ</v>
      </c>
      <c r="F96" s="1322" t="str">
        <f t="shared" si="31"/>
        <v>ABRIL</v>
      </c>
      <c r="G96" s="1322" t="str">
        <f t="shared" si="31"/>
        <v>MAIG</v>
      </c>
      <c r="H96" s="1322" t="str">
        <f t="shared" si="31"/>
        <v>JUNY</v>
      </c>
      <c r="I96" s="1322" t="str">
        <f t="shared" si="31"/>
        <v>JULIOL</v>
      </c>
      <c r="J96" s="1322" t="str">
        <f t="shared" si="31"/>
        <v>AGOST</v>
      </c>
      <c r="K96" s="1322" t="str">
        <f t="shared" si="31"/>
        <v>SETEMBRE</v>
      </c>
      <c r="L96" s="1322" t="str">
        <f t="shared" si="31"/>
        <v>OCTUBRE</v>
      </c>
      <c r="M96" s="1322" t="str">
        <f t="shared" si="31"/>
        <v>NOVEMBRE</v>
      </c>
      <c r="N96" s="1322" t="str">
        <f t="shared" si="31"/>
        <v>DESEMBRE</v>
      </c>
      <c r="O96" s="1912"/>
    </row>
    <row r="97" spans="1:15" ht="13" x14ac:dyDescent="0.25">
      <c r="A97" s="1913" t="s">
        <v>64</v>
      </c>
      <c r="B97" s="1913"/>
      <c r="C97" s="1323"/>
      <c r="D97" s="1323"/>
      <c r="E97" s="1323"/>
      <c r="F97" s="1323"/>
      <c r="G97" s="1323"/>
      <c r="H97" s="1323"/>
      <c r="I97" s="1323"/>
      <c r="J97" s="1323"/>
      <c r="K97" s="1323"/>
      <c r="L97" s="1323"/>
      <c r="M97" s="1323"/>
      <c r="N97" s="1323"/>
      <c r="O97" s="908">
        <f t="shared" ref="O97:O104" si="32">SUM(C97:N97)</f>
        <v>0</v>
      </c>
    </row>
    <row r="98" spans="1:15" ht="13" x14ac:dyDescent="0.25">
      <c r="A98" s="1917" t="s">
        <v>436</v>
      </c>
      <c r="B98" s="1917"/>
      <c r="C98" s="1328">
        <f>SUM(C99:C100)</f>
        <v>0</v>
      </c>
      <c r="D98" s="1328">
        <f t="shared" ref="D98:N98" si="33">SUM(D99:D100)</f>
        <v>0</v>
      </c>
      <c r="E98" s="1328">
        <f t="shared" si="33"/>
        <v>0</v>
      </c>
      <c r="F98" s="1328">
        <f t="shared" si="33"/>
        <v>0</v>
      </c>
      <c r="G98" s="1328">
        <f t="shared" si="33"/>
        <v>0</v>
      </c>
      <c r="H98" s="1328">
        <f t="shared" si="33"/>
        <v>0</v>
      </c>
      <c r="I98" s="1328">
        <f t="shared" si="33"/>
        <v>0</v>
      </c>
      <c r="J98" s="1328">
        <f t="shared" si="33"/>
        <v>0</v>
      </c>
      <c r="K98" s="1328">
        <f t="shared" si="33"/>
        <v>0</v>
      </c>
      <c r="L98" s="1328">
        <f t="shared" si="33"/>
        <v>0</v>
      </c>
      <c r="M98" s="1328">
        <f t="shared" si="33"/>
        <v>0</v>
      </c>
      <c r="N98" s="1328">
        <f t="shared" si="33"/>
        <v>0</v>
      </c>
      <c r="O98" s="1329">
        <f>SUM(C98:N98)</f>
        <v>0</v>
      </c>
    </row>
    <row r="99" spans="1:15" hidden="1" x14ac:dyDescent="0.25">
      <c r="A99" s="1929" t="s">
        <v>354</v>
      </c>
      <c r="B99" s="1929"/>
      <c r="C99" s="1353">
        <f>'INGRESSOS _ COMPRES'!C82</f>
        <v>0</v>
      </c>
      <c r="D99" s="1353">
        <f>'INGRESSOS _ COMPRES'!D82</f>
        <v>0</v>
      </c>
      <c r="E99" s="1353">
        <f>'INGRESSOS _ COMPRES'!E82</f>
        <v>0</v>
      </c>
      <c r="F99" s="1353">
        <f>'INGRESSOS _ COMPRES'!F82</f>
        <v>0</v>
      </c>
      <c r="G99" s="1353">
        <f>'INGRESSOS _ COMPRES'!G82</f>
        <v>0</v>
      </c>
      <c r="H99" s="1353">
        <f>'INGRESSOS _ COMPRES'!H82</f>
        <v>0</v>
      </c>
      <c r="I99" s="1353">
        <f>'INGRESSOS _ COMPRES'!I82</f>
        <v>0</v>
      </c>
      <c r="J99" s="1353">
        <f>'INGRESSOS _ COMPRES'!J82</f>
        <v>0</v>
      </c>
      <c r="K99" s="1353">
        <f>'INGRESSOS _ COMPRES'!K82</f>
        <v>0</v>
      </c>
      <c r="L99" s="1353">
        <f>'INGRESSOS _ COMPRES'!L82</f>
        <v>0</v>
      </c>
      <c r="M99" s="1353">
        <f>'INGRESSOS _ COMPRES'!M82</f>
        <v>0</v>
      </c>
      <c r="N99" s="1353">
        <f>'INGRESSOS _ COMPRES'!N82</f>
        <v>0</v>
      </c>
      <c r="O99" s="1353">
        <f t="shared" si="32"/>
        <v>0</v>
      </c>
    </row>
    <row r="100" spans="1:15" hidden="1" x14ac:dyDescent="0.25">
      <c r="A100" s="1916" t="s">
        <v>343</v>
      </c>
      <c r="B100" s="1916"/>
      <c r="C100" s="1327">
        <f>'INGRESSOS _ COMPRES'!C97</f>
        <v>0</v>
      </c>
      <c r="D100" s="1327">
        <f>'INGRESSOS _ COMPRES'!D97</f>
        <v>0</v>
      </c>
      <c r="E100" s="1327">
        <f>'INGRESSOS _ COMPRES'!E97</f>
        <v>0</v>
      </c>
      <c r="F100" s="1327">
        <f>'INGRESSOS _ COMPRES'!F97</f>
        <v>0</v>
      </c>
      <c r="G100" s="1327">
        <f>'INGRESSOS _ COMPRES'!G97</f>
        <v>0</v>
      </c>
      <c r="H100" s="1327">
        <f>'INGRESSOS _ COMPRES'!H97</f>
        <v>0</v>
      </c>
      <c r="I100" s="1327">
        <f>'INGRESSOS _ COMPRES'!I97</f>
        <v>0</v>
      </c>
      <c r="J100" s="1327">
        <f>'INGRESSOS _ COMPRES'!J97</f>
        <v>0</v>
      </c>
      <c r="K100" s="1327">
        <f>'INGRESSOS _ COMPRES'!K97</f>
        <v>0</v>
      </c>
      <c r="L100" s="1327">
        <f>'INGRESSOS _ COMPRES'!L97</f>
        <v>0</v>
      </c>
      <c r="M100" s="1327">
        <f>'INGRESSOS _ COMPRES'!M97</f>
        <v>0</v>
      </c>
      <c r="N100" s="1327">
        <f>'INGRESSOS _ COMPRES'!N97</f>
        <v>0</v>
      </c>
      <c r="O100" s="1327">
        <f t="shared" si="32"/>
        <v>0</v>
      </c>
    </row>
    <row r="101" spans="1:15" ht="13" x14ac:dyDescent="0.25">
      <c r="A101" s="1917" t="s">
        <v>422</v>
      </c>
      <c r="B101" s="1917"/>
      <c r="C101" s="1328">
        <f>+'INGRESSOS _ COMPRES'!Q97</f>
        <v>0</v>
      </c>
      <c r="D101" s="1328">
        <f>+'INGRESSOS _ COMPRES'!R97</f>
        <v>0</v>
      </c>
      <c r="E101" s="1328">
        <f>+'INGRESSOS _ COMPRES'!S97</f>
        <v>0</v>
      </c>
      <c r="F101" s="1328">
        <f>+'INGRESSOS _ COMPRES'!T97</f>
        <v>0</v>
      </c>
      <c r="G101" s="1328">
        <f>+'INGRESSOS _ COMPRES'!U97</f>
        <v>0</v>
      </c>
      <c r="H101" s="1328">
        <f>+'INGRESSOS _ COMPRES'!V97</f>
        <v>0</v>
      </c>
      <c r="I101" s="1328">
        <f>+'INGRESSOS _ COMPRES'!W97</f>
        <v>0</v>
      </c>
      <c r="J101" s="1328">
        <f>+'INGRESSOS _ COMPRES'!X97</f>
        <v>0</v>
      </c>
      <c r="K101" s="1328">
        <f>+'INGRESSOS _ COMPRES'!Y97</f>
        <v>0</v>
      </c>
      <c r="L101" s="1328">
        <f>+'INGRESSOS _ COMPRES'!Z97</f>
        <v>0</v>
      </c>
      <c r="M101" s="1328">
        <f>+'INGRESSOS _ COMPRES'!AA97</f>
        <v>0</v>
      </c>
      <c r="N101" s="1328">
        <f>+'INGRESSOS _ COMPRES'!AB97</f>
        <v>0</v>
      </c>
      <c r="O101" s="1329">
        <f t="shared" si="32"/>
        <v>0</v>
      </c>
    </row>
    <row r="102" spans="1:15" ht="13" x14ac:dyDescent="0.25">
      <c r="A102" s="1917" t="s">
        <v>437</v>
      </c>
      <c r="B102" s="1917"/>
      <c r="C102" s="1328">
        <f>N84</f>
        <v>0</v>
      </c>
      <c r="D102" s="1328">
        <f>C169</f>
        <v>0</v>
      </c>
      <c r="E102" s="1328">
        <f>D169</f>
        <v>0</v>
      </c>
      <c r="F102" s="1328">
        <f>E169</f>
        <v>0</v>
      </c>
      <c r="G102" s="1328">
        <f t="shared" ref="G102:N102" si="34">F169</f>
        <v>0</v>
      </c>
      <c r="H102" s="1328">
        <f t="shared" si="34"/>
        <v>0</v>
      </c>
      <c r="I102" s="1328">
        <f t="shared" si="34"/>
        <v>0</v>
      </c>
      <c r="J102" s="1328">
        <f t="shared" si="34"/>
        <v>0</v>
      </c>
      <c r="K102" s="1328">
        <f t="shared" si="34"/>
        <v>0</v>
      </c>
      <c r="L102" s="1328">
        <f t="shared" si="34"/>
        <v>0</v>
      </c>
      <c r="M102" s="1328">
        <f t="shared" si="34"/>
        <v>0</v>
      </c>
      <c r="N102" s="1328">
        <f t="shared" si="34"/>
        <v>0</v>
      </c>
      <c r="O102" s="1329">
        <f t="shared" si="32"/>
        <v>0</v>
      </c>
    </row>
    <row r="103" spans="1:15" ht="13" x14ac:dyDescent="0.25">
      <c r="A103" s="1917" t="s">
        <v>438</v>
      </c>
      <c r="B103" s="1917"/>
      <c r="C103" s="1328">
        <f>IF(C96=FINANÇAMENT!$C16,FINANÇAMENT!$C12,0)</f>
        <v>0</v>
      </c>
      <c r="D103" s="1328">
        <f>IF(D96=FINANÇAMENT!$C16,FINANÇAMENT!$C12,0)</f>
        <v>0</v>
      </c>
      <c r="E103" s="1328">
        <f>IF(E96=FINANÇAMENT!$C16,FINANÇAMENT!$C12,0)</f>
        <v>0</v>
      </c>
      <c r="F103" s="1328">
        <f>IF(F96=FINANÇAMENT!$C16,FINANÇAMENT!$C12,0)</f>
        <v>0</v>
      </c>
      <c r="G103" s="1328">
        <f>IF(G96=FINANÇAMENT!$C16,FINANÇAMENT!$C12,0)</f>
        <v>0</v>
      </c>
      <c r="H103" s="1328">
        <f>IF(H96=FINANÇAMENT!$C16,FINANÇAMENT!$C12,0)</f>
        <v>0</v>
      </c>
      <c r="I103" s="1328">
        <f>IF(I96=FINANÇAMENT!$C16,FINANÇAMENT!$C12,0)</f>
        <v>0</v>
      </c>
      <c r="J103" s="1328">
        <f>IF(J96=FINANÇAMENT!$C16,FINANÇAMENT!$C12,0)</f>
        <v>0</v>
      </c>
      <c r="K103" s="1328">
        <f>IF(K96=FINANÇAMENT!$C16,FINANÇAMENT!$C12,0)</f>
        <v>0</v>
      </c>
      <c r="L103" s="1328">
        <f>IF(L96=FINANÇAMENT!$C16,FINANÇAMENT!$C12,0)</f>
        <v>0</v>
      </c>
      <c r="M103" s="1328">
        <f>IF(M96=FINANÇAMENT!$C16,FINANÇAMENT!$C12,0)</f>
        <v>0</v>
      </c>
      <c r="N103" s="1328">
        <f>IF(N96=FINANÇAMENT!$C16,FINANÇAMENT!$C12,0)</f>
        <v>0</v>
      </c>
      <c r="O103" s="1329">
        <f t="shared" si="32"/>
        <v>0</v>
      </c>
    </row>
    <row r="104" spans="1:15" ht="13" x14ac:dyDescent="0.25">
      <c r="A104" s="1917" t="s">
        <v>439</v>
      </c>
      <c r="B104" s="1917"/>
      <c r="C104" s="1328">
        <f>'Pla inversions i finançament'!C21-'Pla inversions i finançament'!C20</f>
        <v>0</v>
      </c>
      <c r="D104" s="1328"/>
      <c r="E104" s="1328"/>
      <c r="F104" s="1328"/>
      <c r="G104" s="1328"/>
      <c r="H104" s="1328"/>
      <c r="I104" s="1328"/>
      <c r="J104" s="1328"/>
      <c r="K104" s="1328"/>
      <c r="L104" s="1328"/>
      <c r="M104" s="1328"/>
      <c r="N104" s="1328"/>
      <c r="O104" s="1329">
        <f t="shared" si="32"/>
        <v>0</v>
      </c>
    </row>
    <row r="105" spans="1:15" ht="13" x14ac:dyDescent="0.25">
      <c r="A105" s="1918" t="s">
        <v>440</v>
      </c>
      <c r="B105" s="1918"/>
      <c r="C105" s="1330">
        <f>C98+SUM(C101:C104)</f>
        <v>0</v>
      </c>
      <c r="D105" s="1330">
        <f t="shared" ref="D105:M105" si="35">D98+SUM(D101:D104)</f>
        <v>0</v>
      </c>
      <c r="E105" s="1330">
        <f t="shared" si="35"/>
        <v>0</v>
      </c>
      <c r="F105" s="1330">
        <f t="shared" si="35"/>
        <v>0</v>
      </c>
      <c r="G105" s="1330">
        <f t="shared" si="35"/>
        <v>0</v>
      </c>
      <c r="H105" s="1330">
        <f t="shared" si="35"/>
        <v>0</v>
      </c>
      <c r="I105" s="1330">
        <f t="shared" si="35"/>
        <v>0</v>
      </c>
      <c r="J105" s="1330">
        <f t="shared" si="35"/>
        <v>0</v>
      </c>
      <c r="K105" s="1330">
        <f t="shared" si="35"/>
        <v>0</v>
      </c>
      <c r="L105" s="1330">
        <f t="shared" si="35"/>
        <v>0</v>
      </c>
      <c r="M105" s="1330">
        <f t="shared" si="35"/>
        <v>0</v>
      </c>
      <c r="N105" s="1330">
        <f>N98+SUM(N101:N104)</f>
        <v>0</v>
      </c>
      <c r="O105" s="1330">
        <f>O98+SUM(O101:O104)</f>
        <v>0</v>
      </c>
    </row>
    <row r="106" spans="1:15" ht="13" x14ac:dyDescent="0.25">
      <c r="C106" s="1331"/>
      <c r="D106" s="1331"/>
      <c r="E106" s="1331"/>
      <c r="F106" s="1331"/>
      <c r="G106" s="1331"/>
      <c r="H106" s="1331"/>
      <c r="I106" s="1331"/>
      <c r="J106" s="1331"/>
      <c r="K106" s="1331"/>
      <c r="L106" s="1331"/>
      <c r="M106" s="1331"/>
      <c r="N106" s="1331"/>
      <c r="O106" s="1332"/>
    </row>
    <row r="107" spans="1:15" ht="13" x14ac:dyDescent="0.25">
      <c r="A107" s="1913" t="s">
        <v>65</v>
      </c>
      <c r="B107" s="1913"/>
      <c r="C107" s="1328"/>
      <c r="D107" s="1328"/>
      <c r="E107" s="1328"/>
      <c r="F107" s="1328"/>
      <c r="G107" s="1328"/>
      <c r="H107" s="1328"/>
      <c r="I107" s="1328"/>
      <c r="J107" s="1328"/>
      <c r="K107" s="1328"/>
      <c r="L107" s="1328"/>
      <c r="M107" s="1328"/>
      <c r="N107" s="1328"/>
      <c r="O107" s="1329"/>
    </row>
    <row r="108" spans="1:15" ht="13" x14ac:dyDescent="0.25">
      <c r="A108" s="1917" t="s">
        <v>441</v>
      </c>
      <c r="B108" s="1917"/>
      <c r="C108" s="1328">
        <f>SUM(C109:C110)</f>
        <v>0</v>
      </c>
      <c r="D108" s="1328">
        <f t="shared" ref="D108:N108" si="36">SUM(D109:D110)</f>
        <v>0</v>
      </c>
      <c r="E108" s="1328">
        <f t="shared" si="36"/>
        <v>0</v>
      </c>
      <c r="F108" s="1328">
        <f t="shared" si="36"/>
        <v>0</v>
      </c>
      <c r="G108" s="1328">
        <f t="shared" si="36"/>
        <v>0</v>
      </c>
      <c r="H108" s="1328">
        <f t="shared" si="36"/>
        <v>0</v>
      </c>
      <c r="I108" s="1328">
        <f t="shared" si="36"/>
        <v>0</v>
      </c>
      <c r="J108" s="1328">
        <f t="shared" si="36"/>
        <v>0</v>
      </c>
      <c r="K108" s="1328">
        <f t="shared" si="36"/>
        <v>0</v>
      </c>
      <c r="L108" s="1328">
        <f t="shared" si="36"/>
        <v>0</v>
      </c>
      <c r="M108" s="1328">
        <f t="shared" si="36"/>
        <v>0</v>
      </c>
      <c r="N108" s="1328">
        <f t="shared" si="36"/>
        <v>0</v>
      </c>
      <c r="O108" s="1329">
        <f>SUM(C108:N108)</f>
        <v>0</v>
      </c>
    </row>
    <row r="109" spans="1:15" hidden="1" x14ac:dyDescent="0.25">
      <c r="A109" s="1929" t="s">
        <v>345</v>
      </c>
      <c r="B109" s="1929"/>
      <c r="C109" s="1353">
        <f>'INGRESSOS _ COMPRES'!C114</f>
        <v>0</v>
      </c>
      <c r="D109" s="1353">
        <f>'INGRESSOS _ COMPRES'!D114</f>
        <v>0</v>
      </c>
      <c r="E109" s="1353">
        <f>'INGRESSOS _ COMPRES'!E114</f>
        <v>0</v>
      </c>
      <c r="F109" s="1353">
        <f>'INGRESSOS _ COMPRES'!F114</f>
        <v>0</v>
      </c>
      <c r="G109" s="1353">
        <f>'INGRESSOS _ COMPRES'!G114</f>
        <v>0</v>
      </c>
      <c r="H109" s="1353">
        <f>'INGRESSOS _ COMPRES'!H114</f>
        <v>0</v>
      </c>
      <c r="I109" s="1353">
        <f>'INGRESSOS _ COMPRES'!I114</f>
        <v>0</v>
      </c>
      <c r="J109" s="1353">
        <f>'INGRESSOS _ COMPRES'!J114</f>
        <v>0</v>
      </c>
      <c r="K109" s="1353">
        <f>'INGRESSOS _ COMPRES'!K114</f>
        <v>0</v>
      </c>
      <c r="L109" s="1353">
        <f>'INGRESSOS _ COMPRES'!L114</f>
        <v>0</v>
      </c>
      <c r="M109" s="1353">
        <f>'INGRESSOS _ COMPRES'!M114</f>
        <v>0</v>
      </c>
      <c r="N109" s="1353">
        <f>'INGRESSOS _ COMPRES'!N114</f>
        <v>0</v>
      </c>
      <c r="O109" s="1353">
        <f>SUM(C109:N109)</f>
        <v>0</v>
      </c>
    </row>
    <row r="110" spans="1:15" hidden="1" x14ac:dyDescent="0.25">
      <c r="A110" s="1916" t="s">
        <v>442</v>
      </c>
      <c r="B110" s="1916"/>
      <c r="C110" s="1327">
        <f>'INGRESSOS _ COMPRES'!C129</f>
        <v>0</v>
      </c>
      <c r="D110" s="1327">
        <f>'INGRESSOS _ COMPRES'!D129</f>
        <v>0</v>
      </c>
      <c r="E110" s="1327">
        <f>'INGRESSOS _ COMPRES'!E129</f>
        <v>0</v>
      </c>
      <c r="F110" s="1327">
        <f>'INGRESSOS _ COMPRES'!F129</f>
        <v>0</v>
      </c>
      <c r="G110" s="1327">
        <f>'INGRESSOS _ COMPRES'!G129</f>
        <v>0</v>
      </c>
      <c r="H110" s="1327">
        <f>'INGRESSOS _ COMPRES'!H129</f>
        <v>0</v>
      </c>
      <c r="I110" s="1327">
        <f>'INGRESSOS _ COMPRES'!I129</f>
        <v>0</v>
      </c>
      <c r="J110" s="1327">
        <f>'INGRESSOS _ COMPRES'!J129</f>
        <v>0</v>
      </c>
      <c r="K110" s="1327">
        <f>'INGRESSOS _ COMPRES'!K129</f>
        <v>0</v>
      </c>
      <c r="L110" s="1327">
        <f>'INGRESSOS _ COMPRES'!L129</f>
        <v>0</v>
      </c>
      <c r="M110" s="1327">
        <f>'INGRESSOS _ COMPRES'!M129</f>
        <v>0</v>
      </c>
      <c r="N110" s="1327">
        <f>'INGRESSOS _ COMPRES'!N129</f>
        <v>0</v>
      </c>
      <c r="O110" s="1327">
        <f>SUM(C110:N110)</f>
        <v>0</v>
      </c>
    </row>
    <row r="111" spans="1:15" ht="13" x14ac:dyDescent="0.25">
      <c r="A111" s="1914" t="s">
        <v>444</v>
      </c>
      <c r="B111" s="1914"/>
      <c r="C111" s="1324">
        <f t="shared" ref="C111:N111" si="37">SUM(C112:C122)</f>
        <v>0</v>
      </c>
      <c r="D111" s="1324">
        <f t="shared" si="37"/>
        <v>0</v>
      </c>
      <c r="E111" s="1324">
        <f t="shared" si="37"/>
        <v>0</v>
      </c>
      <c r="F111" s="1324">
        <f t="shared" si="37"/>
        <v>0</v>
      </c>
      <c r="G111" s="1324">
        <f t="shared" si="37"/>
        <v>0</v>
      </c>
      <c r="H111" s="1324">
        <f t="shared" si="37"/>
        <v>0</v>
      </c>
      <c r="I111" s="1324">
        <f t="shared" si="37"/>
        <v>0</v>
      </c>
      <c r="J111" s="1324">
        <f t="shared" si="37"/>
        <v>0</v>
      </c>
      <c r="K111" s="1324">
        <f t="shared" si="37"/>
        <v>0</v>
      </c>
      <c r="L111" s="1324">
        <f t="shared" si="37"/>
        <v>0</v>
      </c>
      <c r="M111" s="1324">
        <f t="shared" si="37"/>
        <v>0</v>
      </c>
      <c r="N111" s="1324">
        <f t="shared" si="37"/>
        <v>0</v>
      </c>
      <c r="O111" s="1325">
        <f t="shared" ref="O111:O122" si="38">SUM(C111:N111)</f>
        <v>0</v>
      </c>
    </row>
    <row r="112" spans="1:15" x14ac:dyDescent="0.25">
      <c r="A112" s="1919" t="s">
        <v>164</v>
      </c>
      <c r="B112" s="1919"/>
      <c r="C112" s="1326">
        <f>VARIABLES!B78-VARIABLES!B101</f>
        <v>0</v>
      </c>
      <c r="D112" s="1326">
        <f>VARIABLES!C78-VARIABLES!C101</f>
        <v>0</v>
      </c>
      <c r="E112" s="1326">
        <f>VARIABLES!D78-VARIABLES!D101</f>
        <v>0</v>
      </c>
      <c r="F112" s="1326">
        <f>VARIABLES!E78-VARIABLES!E101</f>
        <v>0</v>
      </c>
      <c r="G112" s="1326">
        <f>VARIABLES!F78-VARIABLES!F101</f>
        <v>0</v>
      </c>
      <c r="H112" s="1326">
        <f>VARIABLES!G78-VARIABLES!G101</f>
        <v>0</v>
      </c>
      <c r="I112" s="1326">
        <f>VARIABLES!H78-VARIABLES!H101</f>
        <v>0</v>
      </c>
      <c r="J112" s="1326">
        <f>VARIABLES!I78-VARIABLES!I101</f>
        <v>0</v>
      </c>
      <c r="K112" s="1326">
        <f>VARIABLES!J78-VARIABLES!J101</f>
        <v>0</v>
      </c>
      <c r="L112" s="1326">
        <f>VARIABLES!K78-VARIABLES!K101</f>
        <v>0</v>
      </c>
      <c r="M112" s="1326">
        <f>VARIABLES!L78-VARIABLES!L101</f>
        <v>0</v>
      </c>
      <c r="N112" s="1326">
        <f>VARIABLES!M78-VARIABLES!M101</f>
        <v>0</v>
      </c>
      <c r="O112" s="1333">
        <f t="shared" si="38"/>
        <v>0</v>
      </c>
    </row>
    <row r="113" spans="1:15" x14ac:dyDescent="0.25">
      <c r="A113" s="1920" t="str">
        <f>+A28</f>
        <v>Leasing</v>
      </c>
      <c r="B113" s="1921"/>
      <c r="C113" s="1326">
        <f>+LEASING!G28</f>
        <v>0</v>
      </c>
      <c r="D113" s="1326">
        <f>+LEASING!G29</f>
        <v>0</v>
      </c>
      <c r="E113" s="1326">
        <f>+LEASING!G30</f>
        <v>0</v>
      </c>
      <c r="F113" s="1326">
        <f>+LEASING!G31</f>
        <v>0</v>
      </c>
      <c r="G113" s="1326">
        <f>+LEASING!G32</f>
        <v>0</v>
      </c>
      <c r="H113" s="1326">
        <f>+LEASING!G33</f>
        <v>0</v>
      </c>
      <c r="I113" s="1326">
        <f>+LEASING!G34</f>
        <v>0</v>
      </c>
      <c r="J113" s="1326">
        <f>+LEASING!G35</f>
        <v>0</v>
      </c>
      <c r="K113" s="1326">
        <f>+LEASING!G36</f>
        <v>0</v>
      </c>
      <c r="L113" s="1326">
        <f>+LEASING!G37</f>
        <v>0</v>
      </c>
      <c r="M113" s="1331">
        <f>+LEASING!G38</f>
        <v>0</v>
      </c>
      <c r="N113" s="1326">
        <f>+LEASING!G39</f>
        <v>0</v>
      </c>
      <c r="O113" s="1333">
        <f t="shared" si="38"/>
        <v>0</v>
      </c>
    </row>
    <row r="114" spans="1:15" x14ac:dyDescent="0.25">
      <c r="A114" s="1919" t="s">
        <v>445</v>
      </c>
      <c r="B114" s="1919"/>
      <c r="C114" s="1326">
        <f>VARIABLES!B80</f>
        <v>0</v>
      </c>
      <c r="D114" s="1326">
        <f>VARIABLES!C80</f>
        <v>0</v>
      </c>
      <c r="E114" s="1326">
        <f>VARIABLES!D80</f>
        <v>0</v>
      </c>
      <c r="F114" s="1326">
        <f>VARIABLES!E80</f>
        <v>0</v>
      </c>
      <c r="G114" s="1326">
        <f>VARIABLES!F80</f>
        <v>0</v>
      </c>
      <c r="H114" s="1326">
        <f>VARIABLES!G80</f>
        <v>0</v>
      </c>
      <c r="I114" s="1326">
        <f>VARIABLES!H80</f>
        <v>0</v>
      </c>
      <c r="J114" s="1326">
        <f>VARIABLES!I80</f>
        <v>0</v>
      </c>
      <c r="K114" s="1326">
        <f>VARIABLES!J80</f>
        <v>0</v>
      </c>
      <c r="L114" s="1326">
        <f>VARIABLES!K80</f>
        <v>0</v>
      </c>
      <c r="M114" s="1326">
        <f>VARIABLES!L80</f>
        <v>0</v>
      </c>
      <c r="N114" s="1326">
        <f>VARIABLES!M80</f>
        <v>0</v>
      </c>
      <c r="O114" s="1333">
        <f t="shared" si="38"/>
        <v>0</v>
      </c>
    </row>
    <row r="115" spans="1:15" x14ac:dyDescent="0.25">
      <c r="A115" s="1919" t="s">
        <v>446</v>
      </c>
      <c r="B115" s="1919"/>
      <c r="C115" s="1326">
        <f>VARIABLES!B81-VARIABLES!B102</f>
        <v>0</v>
      </c>
      <c r="D115" s="1326">
        <f>VARIABLES!C81-VARIABLES!C102</f>
        <v>0</v>
      </c>
      <c r="E115" s="1326">
        <f>VARIABLES!D81-VARIABLES!D102</f>
        <v>0</v>
      </c>
      <c r="F115" s="1326">
        <f>VARIABLES!E81-VARIABLES!E102</f>
        <v>0</v>
      </c>
      <c r="G115" s="1326">
        <f>VARIABLES!F81-VARIABLES!F102</f>
        <v>0</v>
      </c>
      <c r="H115" s="1326">
        <f>VARIABLES!G81-VARIABLES!G102</f>
        <v>0</v>
      </c>
      <c r="I115" s="1326">
        <f>VARIABLES!H81-VARIABLES!H102</f>
        <v>0</v>
      </c>
      <c r="J115" s="1326">
        <f>VARIABLES!I81-VARIABLES!I102</f>
        <v>0</v>
      </c>
      <c r="K115" s="1326">
        <f>VARIABLES!J81-VARIABLES!J102</f>
        <v>0</v>
      </c>
      <c r="L115" s="1326">
        <f>VARIABLES!K81-VARIABLES!K102</f>
        <v>0</v>
      </c>
      <c r="M115" s="1326">
        <f>VARIABLES!L81-VARIABLES!L102</f>
        <v>0</v>
      </c>
      <c r="N115" s="1326">
        <f>VARIABLES!M81-VARIABLES!M102</f>
        <v>0</v>
      </c>
      <c r="O115" s="1333">
        <f t="shared" si="38"/>
        <v>0</v>
      </c>
    </row>
    <row r="116" spans="1:15" x14ac:dyDescent="0.25">
      <c r="A116" s="1919" t="s">
        <v>447</v>
      </c>
      <c r="B116" s="1919"/>
      <c r="C116" s="1326">
        <f>VARIABLES!B82</f>
        <v>0</v>
      </c>
      <c r="D116" s="1326">
        <f>VARIABLES!C82</f>
        <v>0</v>
      </c>
      <c r="E116" s="1326">
        <f>VARIABLES!D82</f>
        <v>0</v>
      </c>
      <c r="F116" s="1326">
        <f>VARIABLES!E82</f>
        <v>0</v>
      </c>
      <c r="G116" s="1326">
        <f>VARIABLES!F82</f>
        <v>0</v>
      </c>
      <c r="H116" s="1326">
        <f>VARIABLES!G82</f>
        <v>0</v>
      </c>
      <c r="I116" s="1326">
        <f>VARIABLES!H82</f>
        <v>0</v>
      </c>
      <c r="J116" s="1326">
        <f>VARIABLES!I82</f>
        <v>0</v>
      </c>
      <c r="K116" s="1326">
        <f>VARIABLES!J82</f>
        <v>0</v>
      </c>
      <c r="L116" s="1326">
        <f>VARIABLES!K82</f>
        <v>0</v>
      </c>
      <c r="M116" s="1326">
        <f>VARIABLES!L82</f>
        <v>0</v>
      </c>
      <c r="N116" s="1326">
        <f>VARIABLES!M82</f>
        <v>0</v>
      </c>
      <c r="O116" s="1333">
        <f t="shared" si="38"/>
        <v>0</v>
      </c>
    </row>
    <row r="117" spans="1:15" x14ac:dyDescent="0.25">
      <c r="A117" s="1919" t="s">
        <v>448</v>
      </c>
      <c r="B117" s="1919"/>
      <c r="C117" s="1326">
        <f>VARIABLES!B83</f>
        <v>0</v>
      </c>
      <c r="D117" s="1326">
        <f>VARIABLES!C83</f>
        <v>0</v>
      </c>
      <c r="E117" s="1326">
        <f>VARIABLES!D83</f>
        <v>0</v>
      </c>
      <c r="F117" s="1326">
        <f>VARIABLES!E83</f>
        <v>0</v>
      </c>
      <c r="G117" s="1326">
        <f>VARIABLES!F83</f>
        <v>0</v>
      </c>
      <c r="H117" s="1326">
        <f>VARIABLES!G83</f>
        <v>0</v>
      </c>
      <c r="I117" s="1326">
        <f>VARIABLES!H83</f>
        <v>0</v>
      </c>
      <c r="J117" s="1326">
        <f>VARIABLES!I83</f>
        <v>0</v>
      </c>
      <c r="K117" s="1326">
        <f>VARIABLES!J83</f>
        <v>0</v>
      </c>
      <c r="L117" s="1326">
        <f>VARIABLES!K83</f>
        <v>0</v>
      </c>
      <c r="M117" s="1326">
        <f>VARIABLES!L83</f>
        <v>0</v>
      </c>
      <c r="N117" s="1326">
        <f>VARIABLES!M83</f>
        <v>0</v>
      </c>
      <c r="O117" s="1333">
        <f t="shared" si="38"/>
        <v>0</v>
      </c>
    </row>
    <row r="118" spans="1:15" x14ac:dyDescent="0.25">
      <c r="A118" s="1919" t="s">
        <v>449</v>
      </c>
      <c r="B118" s="1919"/>
      <c r="C118" s="1326">
        <f>VARIABLES!B84</f>
        <v>0</v>
      </c>
      <c r="D118" s="1326">
        <f>VARIABLES!C84</f>
        <v>0</v>
      </c>
      <c r="E118" s="1326">
        <f>VARIABLES!D84</f>
        <v>0</v>
      </c>
      <c r="F118" s="1326">
        <f>VARIABLES!E84</f>
        <v>0</v>
      </c>
      <c r="G118" s="1326">
        <f>VARIABLES!F84</f>
        <v>0</v>
      </c>
      <c r="H118" s="1326">
        <f>VARIABLES!G84</f>
        <v>0</v>
      </c>
      <c r="I118" s="1326">
        <f>VARIABLES!H84</f>
        <v>0</v>
      </c>
      <c r="J118" s="1326">
        <f>VARIABLES!I84</f>
        <v>0</v>
      </c>
      <c r="K118" s="1326">
        <f>VARIABLES!J84</f>
        <v>0</v>
      </c>
      <c r="L118" s="1326">
        <f>VARIABLES!K84</f>
        <v>0</v>
      </c>
      <c r="M118" s="1326">
        <f>VARIABLES!L84</f>
        <v>0</v>
      </c>
      <c r="N118" s="1326">
        <f>VARIABLES!M84</f>
        <v>0</v>
      </c>
      <c r="O118" s="1333">
        <f t="shared" si="38"/>
        <v>0</v>
      </c>
    </row>
    <row r="119" spans="1:15" x14ac:dyDescent="0.25">
      <c r="A119" s="1919" t="s">
        <v>450</v>
      </c>
      <c r="B119" s="1919"/>
      <c r="C119" s="1326">
        <f>VARIABLES!B85</f>
        <v>0</v>
      </c>
      <c r="D119" s="1326">
        <f>VARIABLES!C85</f>
        <v>0</v>
      </c>
      <c r="E119" s="1326">
        <f>VARIABLES!D85</f>
        <v>0</v>
      </c>
      <c r="F119" s="1326">
        <f>VARIABLES!E85</f>
        <v>0</v>
      </c>
      <c r="G119" s="1326">
        <f>VARIABLES!F85</f>
        <v>0</v>
      </c>
      <c r="H119" s="1326">
        <f>VARIABLES!G85</f>
        <v>0</v>
      </c>
      <c r="I119" s="1326">
        <f>VARIABLES!H85</f>
        <v>0</v>
      </c>
      <c r="J119" s="1326">
        <f>VARIABLES!I85</f>
        <v>0</v>
      </c>
      <c r="K119" s="1326">
        <f>VARIABLES!J85</f>
        <v>0</v>
      </c>
      <c r="L119" s="1326">
        <f>VARIABLES!K85</f>
        <v>0</v>
      </c>
      <c r="M119" s="1326">
        <f>VARIABLES!L85</f>
        <v>0</v>
      </c>
      <c r="N119" s="1326">
        <f>VARIABLES!M85</f>
        <v>0</v>
      </c>
      <c r="O119" s="1333">
        <f t="shared" si="38"/>
        <v>0</v>
      </c>
    </row>
    <row r="120" spans="1:15" x14ac:dyDescent="0.25">
      <c r="A120" s="1919" t="s">
        <v>451</v>
      </c>
      <c r="B120" s="1919"/>
      <c r="C120" s="1326">
        <f>VARIABLES!B86</f>
        <v>0</v>
      </c>
      <c r="D120" s="1326">
        <f>VARIABLES!C86</f>
        <v>0</v>
      </c>
      <c r="E120" s="1326">
        <f>VARIABLES!D86</f>
        <v>0</v>
      </c>
      <c r="F120" s="1326">
        <f>VARIABLES!E86</f>
        <v>0</v>
      </c>
      <c r="G120" s="1326">
        <f>VARIABLES!F86</f>
        <v>0</v>
      </c>
      <c r="H120" s="1326">
        <f>VARIABLES!G86</f>
        <v>0</v>
      </c>
      <c r="I120" s="1326">
        <f>VARIABLES!H86</f>
        <v>0</v>
      </c>
      <c r="J120" s="1326">
        <f>VARIABLES!I86</f>
        <v>0</v>
      </c>
      <c r="K120" s="1326">
        <f>VARIABLES!J86</f>
        <v>0</v>
      </c>
      <c r="L120" s="1326">
        <f>VARIABLES!K86</f>
        <v>0</v>
      </c>
      <c r="M120" s="1326">
        <f>VARIABLES!L86</f>
        <v>0</v>
      </c>
      <c r="N120" s="1326">
        <f>VARIABLES!M86</f>
        <v>0</v>
      </c>
      <c r="O120" s="1333">
        <f t="shared" si="38"/>
        <v>0</v>
      </c>
    </row>
    <row r="121" spans="1:15" x14ac:dyDescent="0.25">
      <c r="A121" s="1919" t="s">
        <v>452</v>
      </c>
      <c r="B121" s="1919"/>
      <c r="C121" s="1326">
        <f>VARIABLES!B87</f>
        <v>0</v>
      </c>
      <c r="D121" s="1326">
        <f>VARIABLES!C87</f>
        <v>0</v>
      </c>
      <c r="E121" s="1326">
        <f>VARIABLES!D87</f>
        <v>0</v>
      </c>
      <c r="F121" s="1326">
        <f>VARIABLES!E87</f>
        <v>0</v>
      </c>
      <c r="G121" s="1326">
        <f>VARIABLES!F87</f>
        <v>0</v>
      </c>
      <c r="H121" s="1326">
        <f>VARIABLES!G87</f>
        <v>0</v>
      </c>
      <c r="I121" s="1326">
        <f>VARIABLES!H87</f>
        <v>0</v>
      </c>
      <c r="J121" s="1326">
        <f>VARIABLES!I87</f>
        <v>0</v>
      </c>
      <c r="K121" s="1326">
        <f>VARIABLES!J87</f>
        <v>0</v>
      </c>
      <c r="L121" s="1326">
        <f>VARIABLES!K87</f>
        <v>0</v>
      </c>
      <c r="M121" s="1326">
        <f>VARIABLES!L87</f>
        <v>0</v>
      </c>
      <c r="N121" s="1326">
        <f>VARIABLES!M87</f>
        <v>0</v>
      </c>
      <c r="O121" s="1333">
        <f t="shared" si="38"/>
        <v>0</v>
      </c>
    </row>
    <row r="122" spans="1:15" x14ac:dyDescent="0.25">
      <c r="A122" s="1922" t="s">
        <v>453</v>
      </c>
      <c r="B122" s="1922"/>
      <c r="C122" s="1327">
        <f>VARIABLES!B93</f>
        <v>0</v>
      </c>
      <c r="D122" s="1327">
        <f>VARIABLES!C93</f>
        <v>0</v>
      </c>
      <c r="E122" s="1327">
        <f>VARIABLES!D93</f>
        <v>0</v>
      </c>
      <c r="F122" s="1327">
        <f>VARIABLES!E93</f>
        <v>0</v>
      </c>
      <c r="G122" s="1327">
        <f>VARIABLES!F93</f>
        <v>0</v>
      </c>
      <c r="H122" s="1327">
        <f>VARIABLES!G93</f>
        <v>0</v>
      </c>
      <c r="I122" s="1327">
        <f>VARIABLES!H93</f>
        <v>0</v>
      </c>
      <c r="J122" s="1327">
        <f>VARIABLES!I93</f>
        <v>0</v>
      </c>
      <c r="K122" s="1327">
        <f>VARIABLES!J93</f>
        <v>0</v>
      </c>
      <c r="L122" s="1327">
        <f>VARIABLES!K93</f>
        <v>0</v>
      </c>
      <c r="M122" s="1327">
        <f>VARIABLES!L93</f>
        <v>0</v>
      </c>
      <c r="N122" s="1327">
        <f>VARIABLES!M93</f>
        <v>0</v>
      </c>
      <c r="O122" s="1335">
        <f t="shared" si="38"/>
        <v>0</v>
      </c>
    </row>
    <row r="123" spans="1:15" ht="13" x14ac:dyDescent="0.25">
      <c r="A123" s="1914" t="s">
        <v>454</v>
      </c>
      <c r="B123" s="1914"/>
      <c r="C123" s="1324">
        <f t="shared" ref="C123:N123" si="39">C124+C127</f>
        <v>0</v>
      </c>
      <c r="D123" s="1324">
        <f t="shared" si="39"/>
        <v>0</v>
      </c>
      <c r="E123" s="1324">
        <f t="shared" si="39"/>
        <v>0</v>
      </c>
      <c r="F123" s="1324">
        <f t="shared" si="39"/>
        <v>0</v>
      </c>
      <c r="G123" s="1324">
        <f t="shared" si="39"/>
        <v>0</v>
      </c>
      <c r="H123" s="1324">
        <f t="shared" si="39"/>
        <v>0</v>
      </c>
      <c r="I123" s="1324">
        <f t="shared" si="39"/>
        <v>0</v>
      </c>
      <c r="J123" s="1324">
        <f t="shared" si="39"/>
        <v>0</v>
      </c>
      <c r="K123" s="1324">
        <f t="shared" si="39"/>
        <v>0</v>
      </c>
      <c r="L123" s="1324">
        <f t="shared" si="39"/>
        <v>0</v>
      </c>
      <c r="M123" s="1324">
        <f t="shared" si="39"/>
        <v>0</v>
      </c>
      <c r="N123" s="1324">
        <f t="shared" si="39"/>
        <v>0</v>
      </c>
      <c r="O123" s="1325">
        <f>SUM(C123:N123)</f>
        <v>0</v>
      </c>
    </row>
    <row r="124" spans="1:15" x14ac:dyDescent="0.25">
      <c r="A124" s="1919" t="s">
        <v>455</v>
      </c>
      <c r="B124" s="1919"/>
      <c r="C124" s="1326">
        <f>SUM(C125:C126)</f>
        <v>0</v>
      </c>
      <c r="D124" s="1326">
        <f t="shared" ref="D124:N124" si="40">SUM(D125:D126)</f>
        <v>0</v>
      </c>
      <c r="E124" s="1326">
        <f t="shared" si="40"/>
        <v>0</v>
      </c>
      <c r="F124" s="1326">
        <f t="shared" si="40"/>
        <v>0</v>
      </c>
      <c r="G124" s="1326">
        <f t="shared" si="40"/>
        <v>0</v>
      </c>
      <c r="H124" s="1326">
        <f t="shared" si="40"/>
        <v>0</v>
      </c>
      <c r="I124" s="1326">
        <f t="shared" si="40"/>
        <v>0</v>
      </c>
      <c r="J124" s="1326">
        <f t="shared" si="40"/>
        <v>0</v>
      </c>
      <c r="K124" s="1326">
        <f t="shared" si="40"/>
        <v>0</v>
      </c>
      <c r="L124" s="1326">
        <f t="shared" si="40"/>
        <v>0</v>
      </c>
      <c r="M124" s="1326">
        <f t="shared" si="40"/>
        <v>0</v>
      </c>
      <c r="N124" s="1326">
        <f t="shared" si="40"/>
        <v>0</v>
      </c>
      <c r="O124" s="1333">
        <f>SUM(C124:N124)</f>
        <v>0</v>
      </c>
    </row>
    <row r="125" spans="1:15" x14ac:dyDescent="0.25">
      <c r="A125" s="1923" t="s">
        <v>456</v>
      </c>
      <c r="B125" s="1923"/>
      <c r="C125" s="1326">
        <f>PERSONAL!C186</f>
        <v>0</v>
      </c>
      <c r="D125" s="1326">
        <f>PERSONAL!D186</f>
        <v>0</v>
      </c>
      <c r="E125" s="1326">
        <f>PERSONAL!E186</f>
        <v>0</v>
      </c>
      <c r="F125" s="1326">
        <f>PERSONAL!F186</f>
        <v>0</v>
      </c>
      <c r="G125" s="1326">
        <f>PERSONAL!G186</f>
        <v>0</v>
      </c>
      <c r="H125" s="1326">
        <f>PERSONAL!H186</f>
        <v>0</v>
      </c>
      <c r="I125" s="1326">
        <f>PERSONAL!I186</f>
        <v>0</v>
      </c>
      <c r="J125" s="1326">
        <f>PERSONAL!J186</f>
        <v>0</v>
      </c>
      <c r="K125" s="1326">
        <f>PERSONAL!K186</f>
        <v>0</v>
      </c>
      <c r="L125" s="1326">
        <f>PERSONAL!L186</f>
        <v>0</v>
      </c>
      <c r="M125" s="1326">
        <f>PERSONAL!M186</f>
        <v>0</v>
      </c>
      <c r="N125" s="1326">
        <f>PERSONAL!N186</f>
        <v>0</v>
      </c>
      <c r="O125" s="1333">
        <f t="shared" ref="O125:O138" si="41">SUM(C125:N125)</f>
        <v>0</v>
      </c>
    </row>
    <row r="126" spans="1:15" x14ac:dyDescent="0.25">
      <c r="A126" s="1923" t="s">
        <v>75</v>
      </c>
      <c r="B126" s="1923"/>
      <c r="C126" s="1326">
        <f>PROMOTORS!C179</f>
        <v>0</v>
      </c>
      <c r="D126" s="1326">
        <f>PROMOTORS!D179</f>
        <v>0</v>
      </c>
      <c r="E126" s="1326">
        <f>PROMOTORS!E179</f>
        <v>0</v>
      </c>
      <c r="F126" s="1326">
        <f>PROMOTORS!F179</f>
        <v>0</v>
      </c>
      <c r="G126" s="1326">
        <f>PROMOTORS!G179</f>
        <v>0</v>
      </c>
      <c r="H126" s="1326">
        <f>PROMOTORS!H179</f>
        <v>0</v>
      </c>
      <c r="I126" s="1326">
        <f>PROMOTORS!I179</f>
        <v>0</v>
      </c>
      <c r="J126" s="1326">
        <f>PROMOTORS!J179</f>
        <v>0</v>
      </c>
      <c r="K126" s="1326">
        <f>PROMOTORS!K179</f>
        <v>0</v>
      </c>
      <c r="L126" s="1326">
        <f>PROMOTORS!L179</f>
        <v>0</v>
      </c>
      <c r="M126" s="1326">
        <f>PROMOTORS!M179</f>
        <v>0</v>
      </c>
      <c r="N126" s="1326">
        <f>PROMOTORS!N179</f>
        <v>0</v>
      </c>
      <c r="O126" s="1333">
        <f t="shared" si="41"/>
        <v>0</v>
      </c>
    </row>
    <row r="127" spans="1:15" x14ac:dyDescent="0.25">
      <c r="A127" s="1919" t="s">
        <v>457</v>
      </c>
      <c r="B127" s="1919"/>
      <c r="C127" s="1326">
        <f>SUM(C128:C130)</f>
        <v>0</v>
      </c>
      <c r="D127" s="1326">
        <f t="shared" ref="D127:N127" si="42">SUM(D128:D130)</f>
        <v>0</v>
      </c>
      <c r="E127" s="1326">
        <f t="shared" si="42"/>
        <v>0</v>
      </c>
      <c r="F127" s="1326">
        <f t="shared" si="42"/>
        <v>0</v>
      </c>
      <c r="G127" s="1326">
        <f t="shared" si="42"/>
        <v>0</v>
      </c>
      <c r="H127" s="1326">
        <f t="shared" si="42"/>
        <v>0</v>
      </c>
      <c r="I127" s="1326">
        <f t="shared" si="42"/>
        <v>0</v>
      </c>
      <c r="J127" s="1326">
        <f t="shared" si="42"/>
        <v>0</v>
      </c>
      <c r="K127" s="1326">
        <f t="shared" si="42"/>
        <v>0</v>
      </c>
      <c r="L127" s="1326">
        <f t="shared" si="42"/>
        <v>0</v>
      </c>
      <c r="M127" s="1326">
        <f t="shared" si="42"/>
        <v>0</v>
      </c>
      <c r="N127" s="1326">
        <f t="shared" si="42"/>
        <v>0</v>
      </c>
      <c r="O127" s="1333">
        <f t="shared" si="41"/>
        <v>0</v>
      </c>
    </row>
    <row r="128" spans="1:15" x14ac:dyDescent="0.25">
      <c r="A128" s="1923" t="s">
        <v>458</v>
      </c>
      <c r="B128" s="1923"/>
      <c r="C128" s="1326">
        <f>PERSONAL!N64</f>
        <v>0</v>
      </c>
      <c r="D128" s="1326">
        <f>PERSONAL!C161</f>
        <v>0</v>
      </c>
      <c r="E128" s="1326">
        <f>PERSONAL!D161</f>
        <v>0</v>
      </c>
      <c r="F128" s="1326">
        <f>PERSONAL!E161</f>
        <v>0</v>
      </c>
      <c r="G128" s="1326">
        <f>PERSONAL!F161</f>
        <v>0</v>
      </c>
      <c r="H128" s="1326">
        <f>PERSONAL!G161</f>
        <v>0</v>
      </c>
      <c r="I128" s="1326">
        <f>PERSONAL!H161</f>
        <v>0</v>
      </c>
      <c r="J128" s="1326">
        <f>PERSONAL!I161</f>
        <v>0</v>
      </c>
      <c r="K128" s="1326">
        <f>PERSONAL!J161</f>
        <v>0</v>
      </c>
      <c r="L128" s="1326">
        <f>PERSONAL!K161</f>
        <v>0</v>
      </c>
      <c r="M128" s="1326">
        <f>PERSONAL!L161</f>
        <v>0</v>
      </c>
      <c r="N128" s="1326">
        <f>PERSONAL!M161</f>
        <v>0</v>
      </c>
      <c r="O128" s="1333">
        <f t="shared" si="41"/>
        <v>0</v>
      </c>
    </row>
    <row r="129" spans="1:15" x14ac:dyDescent="0.25">
      <c r="A129" s="1923" t="s">
        <v>456</v>
      </c>
      <c r="B129" s="1923"/>
      <c r="C129" s="1326">
        <f>PERSONAL!N70</f>
        <v>0</v>
      </c>
      <c r="D129" s="1326">
        <f>PERSONAL!C167</f>
        <v>0</v>
      </c>
      <c r="E129" s="1326">
        <f>PERSONAL!D167</f>
        <v>0</v>
      </c>
      <c r="F129" s="1326">
        <f>PERSONAL!E167</f>
        <v>0</v>
      </c>
      <c r="G129" s="1326">
        <f>PERSONAL!F167</f>
        <v>0</v>
      </c>
      <c r="H129" s="1326">
        <f>PERSONAL!G167</f>
        <v>0</v>
      </c>
      <c r="I129" s="1326">
        <f>PERSONAL!H167</f>
        <v>0</v>
      </c>
      <c r="J129" s="1326">
        <f>PERSONAL!I167</f>
        <v>0</v>
      </c>
      <c r="K129" s="1326">
        <f>PERSONAL!J167</f>
        <v>0</v>
      </c>
      <c r="L129" s="1326">
        <f>PERSONAL!K167</f>
        <v>0</v>
      </c>
      <c r="M129" s="1326">
        <f>PERSONAL!L167</f>
        <v>0</v>
      </c>
      <c r="N129" s="1326">
        <f>PERSONAL!M167</f>
        <v>0</v>
      </c>
      <c r="O129" s="1333">
        <f t="shared" si="41"/>
        <v>0</v>
      </c>
    </row>
    <row r="130" spans="1:15" x14ac:dyDescent="0.25">
      <c r="A130" s="1924" t="s">
        <v>75</v>
      </c>
      <c r="B130" s="1924"/>
      <c r="C130" s="1327">
        <f>PROMOTORS!N44</f>
        <v>0</v>
      </c>
      <c r="D130" s="1327">
        <f>PROMOTORS!C145</f>
        <v>0</v>
      </c>
      <c r="E130" s="1327">
        <f>PROMOTORS!D145</f>
        <v>0</v>
      </c>
      <c r="F130" s="1327">
        <f>PROMOTORS!E145</f>
        <v>0</v>
      </c>
      <c r="G130" s="1327">
        <f>PROMOTORS!F145</f>
        <v>0</v>
      </c>
      <c r="H130" s="1327">
        <f>PROMOTORS!G145</f>
        <v>0</v>
      </c>
      <c r="I130" s="1327">
        <f>PROMOTORS!H145</f>
        <v>0</v>
      </c>
      <c r="J130" s="1327">
        <f>PROMOTORS!I145</f>
        <v>0</v>
      </c>
      <c r="K130" s="1327">
        <f>PROMOTORS!J145</f>
        <v>0</v>
      </c>
      <c r="L130" s="1327">
        <f>PROMOTORS!K145</f>
        <v>0</v>
      </c>
      <c r="M130" s="1327">
        <f>PROMOTORS!L145</f>
        <v>0</v>
      </c>
      <c r="N130" s="1327">
        <f>PROMOTORS!M145</f>
        <v>0</v>
      </c>
      <c r="O130" s="1335">
        <f t="shared" si="41"/>
        <v>0</v>
      </c>
    </row>
    <row r="131" spans="1:15" ht="13" x14ac:dyDescent="0.25">
      <c r="A131" s="1914" t="s">
        <v>459</v>
      </c>
      <c r="B131" s="1914"/>
      <c r="C131" s="1324">
        <f>SUM(C132:C134)</f>
        <v>0</v>
      </c>
      <c r="D131" s="1324">
        <f t="shared" ref="D131:N131" si="43">SUM(D132:D134)</f>
        <v>0</v>
      </c>
      <c r="E131" s="1324">
        <f t="shared" si="43"/>
        <v>0</v>
      </c>
      <c r="F131" s="1324">
        <f t="shared" si="43"/>
        <v>0</v>
      </c>
      <c r="G131" s="1324">
        <f t="shared" si="43"/>
        <v>0</v>
      </c>
      <c r="H131" s="1324">
        <f t="shared" si="43"/>
        <v>0</v>
      </c>
      <c r="I131" s="1324">
        <f t="shared" si="43"/>
        <v>0</v>
      </c>
      <c r="J131" s="1324">
        <f t="shared" si="43"/>
        <v>0</v>
      </c>
      <c r="K131" s="1324">
        <f t="shared" si="43"/>
        <v>0</v>
      </c>
      <c r="L131" s="1324">
        <f t="shared" si="43"/>
        <v>0</v>
      </c>
      <c r="M131" s="1324">
        <f t="shared" si="43"/>
        <v>0</v>
      </c>
      <c r="N131" s="1324">
        <f t="shared" si="43"/>
        <v>0</v>
      </c>
      <c r="O131" s="1325">
        <f t="shared" si="41"/>
        <v>0</v>
      </c>
    </row>
    <row r="132" spans="1:15" x14ac:dyDescent="0.25">
      <c r="A132" s="1915" t="s">
        <v>392</v>
      </c>
      <c r="B132" s="1915"/>
      <c r="C132" s="1326">
        <f>IF(C96="ENERO",TRIBUTS!$E18,0)</f>
        <v>0</v>
      </c>
      <c r="D132" s="1326">
        <f>IF(D96="ENERO",TRIBUTS!$E18,0)</f>
        <v>0</v>
      </c>
      <c r="E132" s="1326">
        <f>IF(E96="ENERO",TRIBUTS!$E18,0)</f>
        <v>0</v>
      </c>
      <c r="F132" s="1326">
        <f>IF(F96="ENERO",TRIBUTS!$E18,0)</f>
        <v>0</v>
      </c>
      <c r="G132" s="1326">
        <f>IF(G96="ENERO",TRIBUTS!$E18,0)</f>
        <v>0</v>
      </c>
      <c r="H132" s="1326">
        <f>IF(H96="ENERO",TRIBUTS!$E18,0)</f>
        <v>0</v>
      </c>
      <c r="I132" s="1326">
        <f>IF(I96="ENERO",TRIBUTS!$E18,0)</f>
        <v>0</v>
      </c>
      <c r="J132" s="1326">
        <f>IF(J96="ENERO",TRIBUTS!$E18,0)</f>
        <v>0</v>
      </c>
      <c r="K132" s="1326">
        <f>IF(K96="ENERO",TRIBUTS!$E18,0)</f>
        <v>0</v>
      </c>
      <c r="L132" s="1326">
        <f>IF(L96="ENERO",TRIBUTS!$E18,0)</f>
        <v>0</v>
      </c>
      <c r="M132" s="1326">
        <f>IF(M96="ENERO",TRIBUTS!$E18,0)</f>
        <v>0</v>
      </c>
      <c r="N132" s="1326">
        <f>IF(N96="ENERO",TRIBUTS!$E18,0)</f>
        <v>0</v>
      </c>
      <c r="O132" s="1333">
        <f t="shared" si="41"/>
        <v>0</v>
      </c>
    </row>
    <row r="133" spans="1:15" x14ac:dyDescent="0.25">
      <c r="A133" s="1915" t="s">
        <v>163</v>
      </c>
      <c r="B133" s="1915"/>
      <c r="C133" s="1326">
        <f>TRIBUTS!C43</f>
        <v>0</v>
      </c>
      <c r="D133" s="1326">
        <f>TRIBUTS!D43</f>
        <v>0</v>
      </c>
      <c r="E133" s="1326">
        <f>TRIBUTS!E43</f>
        <v>0</v>
      </c>
      <c r="F133" s="1326">
        <f>TRIBUTS!F43</f>
        <v>0</v>
      </c>
      <c r="G133" s="1326">
        <f>TRIBUTS!G43</f>
        <v>0</v>
      </c>
      <c r="H133" s="1326">
        <f>TRIBUTS!H43</f>
        <v>0</v>
      </c>
      <c r="I133" s="1326">
        <f>TRIBUTS!I43</f>
        <v>0</v>
      </c>
      <c r="J133" s="1326">
        <f>TRIBUTS!J43</f>
        <v>0</v>
      </c>
      <c r="K133" s="1326">
        <f>TRIBUTS!K43</f>
        <v>0</v>
      </c>
      <c r="L133" s="1326">
        <f>TRIBUTS!L43</f>
        <v>0</v>
      </c>
      <c r="M133" s="1326">
        <f>TRIBUTS!M43</f>
        <v>0</v>
      </c>
      <c r="N133" s="1326">
        <f>TRIBUTS!N43</f>
        <v>0</v>
      </c>
      <c r="O133" s="1333">
        <f t="shared" si="41"/>
        <v>0</v>
      </c>
    </row>
    <row r="134" spans="1:15" x14ac:dyDescent="0.25">
      <c r="A134" s="1930" t="str">
        <f>+A49</f>
        <v>Pagos a cuenta</v>
      </c>
      <c r="B134" s="1930"/>
      <c r="C134" s="1326">
        <f>IF(Fiscalitat!$H$21="e",+VARIABLES!B124,IF(OR(C96="ABRIL",C96="JULIOL",C96="OCTUBRE",C96="GENER"),VARIABLES!$N62,0)+VARIABLES!B124)</f>
        <v>0</v>
      </c>
      <c r="D134" s="1326">
        <f>IF(Fiscalitat!$H$21="e",+VARIABLES!C124,IF(OR(D96="ABRIL",D96="JULIOL",D96="OCTUBRE",D96="GENER"),VARIABLES!$N62,0)+VARIABLES!C124)</f>
        <v>0</v>
      </c>
      <c r="E134" s="1326">
        <f>IF(Fiscalitat!$H$21="e",+VARIABLES!D124,IF(OR(E96="ABRIL",E96="JULIOL",E96="OCTUBRE",E96="GENER"),VARIABLES!$N62,0)+VARIABLES!D124)</f>
        <v>0</v>
      </c>
      <c r="F134" s="1326">
        <f>VARIABLES!E124</f>
        <v>0</v>
      </c>
      <c r="G134" s="1326">
        <f>VARIABLES!F124</f>
        <v>0</v>
      </c>
      <c r="H134" s="1326">
        <f>VARIABLES!G124</f>
        <v>0</v>
      </c>
      <c r="I134" s="1326">
        <f>VARIABLES!H124</f>
        <v>0</v>
      </c>
      <c r="J134" s="1326">
        <f>VARIABLES!I124</f>
        <v>0</v>
      </c>
      <c r="K134" s="1326">
        <f>VARIABLES!J124</f>
        <v>0</v>
      </c>
      <c r="L134" s="1326">
        <f>VARIABLES!K124</f>
        <v>0</v>
      </c>
      <c r="M134" s="1326">
        <f>VARIABLES!L124</f>
        <v>0</v>
      </c>
      <c r="N134" s="1326">
        <f>VARIABLES!M124</f>
        <v>0</v>
      </c>
      <c r="O134" s="1333">
        <f t="shared" si="41"/>
        <v>0</v>
      </c>
    </row>
    <row r="135" spans="1:15" ht="13" x14ac:dyDescent="0.25">
      <c r="A135" s="1917" t="s">
        <v>28</v>
      </c>
      <c r="B135" s="1917"/>
      <c r="C135" s="1328">
        <f>+IF(OR(Fiscalitat!$H$21="a",Fiscalitat!$H$21="B",Fiscalitat!$H$21="D"),INVERSIONS!B70,INVERSIONS!C70)</f>
        <v>0</v>
      </c>
      <c r="D135" s="1328">
        <f>+IF(OR(Fiscalitat!$H$21="a",Fiscalitat!$H$21="B",Fiscalitat!$H$21="D"),INVERSIONS!D70,INVERSIONS!E70)</f>
        <v>0</v>
      </c>
      <c r="E135" s="1328">
        <f>+IF(OR(Fiscalitat!$H$21="a",Fiscalitat!$H$21="B",Fiscalitat!$H$21="D"),INVERSIONS!F70,INVERSIONS!G70)</f>
        <v>0</v>
      </c>
      <c r="F135" s="1328">
        <f>+IF(OR(Fiscalitat!$H$21="a",Fiscalitat!$H$21="B",Fiscalitat!$H$21="D"),INVERSIONS!H70,INVERSIONS!I70)</f>
        <v>0</v>
      </c>
      <c r="G135" s="1328">
        <f>+IF(OR(Fiscalitat!$H$21="a",Fiscalitat!$H$21="B",Fiscalitat!$H$21="D"),INVERSIONS!J70,INVERSIONS!K70)</f>
        <v>0</v>
      </c>
      <c r="H135" s="1328">
        <f>+IF(OR(Fiscalitat!$H$21="a",Fiscalitat!$H$21="B",Fiscalitat!$H$21="D"),INVERSIONS!L70,INVERSIONS!M70)</f>
        <v>0</v>
      </c>
      <c r="I135" s="1328">
        <f>+IF(OR(Fiscalitat!$H$21="a",Fiscalitat!$H$21="B",Fiscalitat!$H$21="D"),INVERSIONS!N70,INVERSIONS!O70)</f>
        <v>0</v>
      </c>
      <c r="J135" s="1328">
        <f>+IF(OR(Fiscalitat!$H$21="a",Fiscalitat!$H$21="B",Fiscalitat!$H$21="D"),INVERSIONS!P70,INVERSIONS!Q70)</f>
        <v>0</v>
      </c>
      <c r="K135" s="1328">
        <f>+IF(OR(Fiscalitat!$H$21="a",Fiscalitat!$H$21="B",Fiscalitat!$H$21="D"),INVERSIONS!R70,INVERSIONS!S70)</f>
        <v>0</v>
      </c>
      <c r="L135" s="1328">
        <f>+IF(OR(Fiscalitat!$H$21="a",Fiscalitat!$H$21="B",Fiscalitat!$H$21="D"),INVERSIONS!T70,INVERSIONS!U70)</f>
        <v>0</v>
      </c>
      <c r="M135" s="1328">
        <f>+IF(OR(Fiscalitat!$H$21="a",Fiscalitat!$H$21="B",Fiscalitat!$H$21="D"),INVERSIONS!V70,INVERSIONS!W70)</f>
        <v>0</v>
      </c>
      <c r="N135" s="1328">
        <f>+IF(OR(Fiscalitat!$H$21="a",Fiscalitat!$H$21="B",Fiscalitat!$H$21="D"),INVERSIONS!X70,INVERSIONS!Y70)</f>
        <v>0</v>
      </c>
      <c r="O135" s="1329">
        <f t="shared" si="41"/>
        <v>0</v>
      </c>
    </row>
    <row r="136" spans="1:15" ht="13" x14ac:dyDescent="0.25">
      <c r="A136" s="1917" t="s">
        <v>460</v>
      </c>
      <c r="B136" s="1917"/>
      <c r="C136" s="1328">
        <f>B157+N72+PRÉSTECS!AO13+LEASING!CE12</f>
        <v>0</v>
      </c>
      <c r="D136" s="1328">
        <f>C157+O72+PRÉSTECS!AP13+LEASING!CF12</f>
        <v>0</v>
      </c>
      <c r="E136" s="1328">
        <f>D157+P72+PRÉSTECS!AQ13+LEASING!CG12</f>
        <v>0</v>
      </c>
      <c r="F136" s="1328">
        <f>E157+Q72+PRÉSTECS!AR13+LEASING!CH12</f>
        <v>0</v>
      </c>
      <c r="G136" s="1328">
        <f>F157+R72+PRÉSTECS!AS13+LEASING!CI12</f>
        <v>0</v>
      </c>
      <c r="H136" s="1328">
        <f>G157+S72+PRÉSTECS!AT13+LEASING!CJ12</f>
        <v>0</v>
      </c>
      <c r="I136" s="1328">
        <f>H157+T72+PRÉSTECS!AU13+LEASING!CK12</f>
        <v>0</v>
      </c>
      <c r="J136" s="1328">
        <f>I157+U72+PRÉSTECS!AV13+LEASING!CL12</f>
        <v>0</v>
      </c>
      <c r="K136" s="1328">
        <f>J157+V72+PRÉSTECS!AW13+LEASING!CM12</f>
        <v>0</v>
      </c>
      <c r="L136" s="1328">
        <f>K157+W72+PRÉSTECS!AX13+LEASING!CN12</f>
        <v>0</v>
      </c>
      <c r="M136" s="1328">
        <f>L157+X72+PRÉSTECS!AY13+LEASING!CO12</f>
        <v>0</v>
      </c>
      <c r="N136" s="1328">
        <f>M157+Y72+PRÉSTECS!AZ13+LEASING!CP12</f>
        <v>0</v>
      </c>
      <c r="O136" s="1329">
        <f t="shared" si="41"/>
        <v>0</v>
      </c>
    </row>
    <row r="137" spans="1:15" ht="13" x14ac:dyDescent="0.25">
      <c r="A137" s="1917" t="s">
        <v>461</v>
      </c>
      <c r="B137" s="1917"/>
      <c r="C137" s="1328">
        <f>PRÉSTECS!AO14</f>
        <v>0</v>
      </c>
      <c r="D137" s="1328">
        <f>PRÉSTECS!AP14</f>
        <v>0</v>
      </c>
      <c r="E137" s="1328">
        <f>PRÉSTECS!AQ14</f>
        <v>0</v>
      </c>
      <c r="F137" s="1328">
        <f>PRÉSTECS!AR14</f>
        <v>0</v>
      </c>
      <c r="G137" s="1328">
        <f>PRÉSTECS!AS14</f>
        <v>0</v>
      </c>
      <c r="H137" s="1328">
        <f>PRÉSTECS!AT14</f>
        <v>0</v>
      </c>
      <c r="I137" s="1328">
        <f>PRÉSTECS!AU14</f>
        <v>0</v>
      </c>
      <c r="J137" s="1328">
        <f>PRÉSTECS!AV14</f>
        <v>0</v>
      </c>
      <c r="K137" s="1328">
        <f>PRÉSTECS!AW14</f>
        <v>0</v>
      </c>
      <c r="L137" s="1328">
        <f>PRÉSTECS!AX14</f>
        <v>0</v>
      </c>
      <c r="M137" s="1328">
        <f>PRÉSTECS!AY14</f>
        <v>0</v>
      </c>
      <c r="N137" s="1328">
        <f>PRÉSTECS!AZ14</f>
        <v>0</v>
      </c>
      <c r="O137" s="1329">
        <f t="shared" si="41"/>
        <v>0</v>
      </c>
    </row>
    <row r="138" spans="1:15" ht="13" x14ac:dyDescent="0.25">
      <c r="A138" s="1917" t="s">
        <v>423</v>
      </c>
      <c r="B138" s="1917"/>
      <c r="C138" s="1328">
        <f>IF(OR(Fiscalitat!$H$21="a",Fiscalitat!$H$21="B",Fiscalitat!$H$21="D"),0,C109*MERCADERIES!$DO96+'INGRESSOS _ COMPRES'!Q129+(VARIABLES!B78+C114+VARIABLES!B81+C116+C117+C120+C121+C122)*VARIABLES!$F68+VARIABLES!B111+LEASING!CE14)</f>
        <v>0</v>
      </c>
      <c r="D138" s="1328">
        <f>IF(OR(Fiscalitat!$H$21="a",Fiscalitat!$H$21="B",Fiscalitat!$H$21="D"),0,D109*MERCADERIES!$DO96+'INGRESSOS _ COMPRES'!R129+(VARIABLES!C78+D114+VARIABLES!C81+D116+D117+D120+D121+D122)*VARIABLES!$F68+VARIABLES!C111+LEASING!CF14)</f>
        <v>0</v>
      </c>
      <c r="E138" s="1328">
        <f>IF(OR(Fiscalitat!$H$21="a",Fiscalitat!$H$21="B",Fiscalitat!$H$21="D"),0,E109*MERCADERIES!$DO96+'INGRESSOS _ COMPRES'!S129+(VARIABLES!D78+E114+VARIABLES!D81+E116+E117+E120+E121+E122)*VARIABLES!$F68+VARIABLES!D111+LEASING!CG14)</f>
        <v>0</v>
      </c>
      <c r="F138" s="1328">
        <f>IF(OR(Fiscalitat!$H$21="a",Fiscalitat!$H$21="B",Fiscalitat!$H$21="D"),0,F109*MERCADERIES!$DO96+'INGRESSOS _ COMPRES'!T129+(VARIABLES!E78+F114+VARIABLES!E81+F116+F117+F120+F121+F122)*VARIABLES!$F68+VARIABLES!E111+LEASING!CH14)</f>
        <v>0</v>
      </c>
      <c r="G138" s="1328">
        <f>IF(OR(Fiscalitat!$H$21="a",Fiscalitat!$H$21="B",Fiscalitat!$H$21="D"),0,G109*MERCADERIES!$DO96+'INGRESSOS _ COMPRES'!U129+(VARIABLES!F78+G114+VARIABLES!F81+G116+G117+G120+G121+G122)*VARIABLES!$F68+VARIABLES!F111+LEASING!CI14)</f>
        <v>0</v>
      </c>
      <c r="H138" s="1328">
        <f>IF(OR(Fiscalitat!$H$21="a",Fiscalitat!$H$21="B",Fiscalitat!$H$21="D"),0,H109*MERCADERIES!$DO96+'INGRESSOS _ COMPRES'!V129+(VARIABLES!G78+H114+VARIABLES!G81+H116+H117+H120+H121+H122)*VARIABLES!$F68+VARIABLES!G111+LEASING!CJ14)</f>
        <v>0</v>
      </c>
      <c r="I138" s="1328">
        <f>IF(OR(Fiscalitat!$H$21="a",Fiscalitat!$H$21="B",Fiscalitat!$H$21="D"),0,I109*MERCADERIES!$DO96+'INGRESSOS _ COMPRES'!W129+(VARIABLES!H78+I114+VARIABLES!H81+I116+I117+I120+I121+I122)*VARIABLES!$F68+VARIABLES!H111+LEASING!CK14)</f>
        <v>0</v>
      </c>
      <c r="J138" s="1328">
        <f>IF(OR(Fiscalitat!$H$21="a",Fiscalitat!$H$21="B",Fiscalitat!$H$21="D"),0,J109*MERCADERIES!$DO96+'INGRESSOS _ COMPRES'!X129+(VARIABLES!I78+J114+VARIABLES!I81+J116+J117+J120+J121+J122)*VARIABLES!$F68+VARIABLES!I111+LEASING!CL14)</f>
        <v>0</v>
      </c>
      <c r="K138" s="1328">
        <f>IF(OR(Fiscalitat!$H$21="a",Fiscalitat!$H$21="B",Fiscalitat!$H$21="D"),0,K109*MERCADERIES!$DO96+'INGRESSOS _ COMPRES'!Y129+(VARIABLES!J78+K114+VARIABLES!J81+K116+K117+K120+K121+K122)*VARIABLES!$F68+VARIABLES!J111+LEASING!CM14)</f>
        <v>0</v>
      </c>
      <c r="L138" s="1328">
        <f>IF(OR(Fiscalitat!$H$21="a",Fiscalitat!$H$21="B",Fiscalitat!$H$21="D"),0,L109*MERCADERIES!$DO96+'INGRESSOS _ COMPRES'!Z129+(VARIABLES!K78+L114+VARIABLES!K81+L116+L117+L120+L121+L122)*VARIABLES!$F68+VARIABLES!K111+LEASING!CN14)</f>
        <v>0</v>
      </c>
      <c r="M138" s="1328">
        <f>IF(OR(Fiscalitat!$H$21="a",Fiscalitat!$H$21="B",Fiscalitat!$H$21="D"),0,M109*MERCADERIES!$DO96+'INGRESSOS _ COMPRES'!AA129+(VARIABLES!L78+M114+VARIABLES!L81+M116+M117+M120+M121+M122)*VARIABLES!$F68+VARIABLES!L111+LEASING!CO14)</f>
        <v>0</v>
      </c>
      <c r="N138" s="1328">
        <f>IF(OR(Fiscalitat!$H$21="a",Fiscalitat!$H$21="B",Fiscalitat!$H$21="D"),0,N109*MERCADERIES!$DO96+'INGRESSOS _ COMPRES'!AB129+(VARIABLES!M78+N114+VARIABLES!M81+N116+N117+N120+N121+N122)*VARIABLES!$F68+VARIABLES!M111+LEASING!CP14)</f>
        <v>0</v>
      </c>
      <c r="O138" s="1329">
        <f t="shared" si="41"/>
        <v>0</v>
      </c>
    </row>
    <row r="139" spans="1:15" ht="13" x14ac:dyDescent="0.25">
      <c r="A139" s="1918" t="s">
        <v>462</v>
      </c>
      <c r="B139" s="1918"/>
      <c r="C139" s="1330">
        <f>C108+C111+C123+C131+SUM(C135:C138)</f>
        <v>0</v>
      </c>
      <c r="D139" s="1330">
        <f t="shared" ref="D139:O139" si="44">D108+D111+D123+D131+SUM(D135:D138)</f>
        <v>0</v>
      </c>
      <c r="E139" s="1330">
        <f t="shared" si="44"/>
        <v>0</v>
      </c>
      <c r="F139" s="1330">
        <f t="shared" si="44"/>
        <v>0</v>
      </c>
      <c r="G139" s="1330">
        <f t="shared" si="44"/>
        <v>0</v>
      </c>
      <c r="H139" s="1330">
        <f t="shared" si="44"/>
        <v>0</v>
      </c>
      <c r="I139" s="1330">
        <f t="shared" si="44"/>
        <v>0</v>
      </c>
      <c r="J139" s="1330">
        <f t="shared" si="44"/>
        <v>0</v>
      </c>
      <c r="K139" s="1330">
        <f t="shared" si="44"/>
        <v>0</v>
      </c>
      <c r="L139" s="1330">
        <f t="shared" si="44"/>
        <v>0</v>
      </c>
      <c r="M139" s="1330">
        <f t="shared" si="44"/>
        <v>0</v>
      </c>
      <c r="N139" s="1330">
        <f>N108+N111+N123+N131+SUM(N135:N138)</f>
        <v>0</v>
      </c>
      <c r="O139" s="1330">
        <f t="shared" si="44"/>
        <v>0</v>
      </c>
    </row>
    <row r="140" spans="1:15" x14ac:dyDescent="0.25">
      <c r="C140" s="1331"/>
      <c r="D140" s="1331"/>
      <c r="E140" s="1331"/>
      <c r="F140" s="1331"/>
      <c r="G140" s="1331"/>
      <c r="H140" s="1331"/>
      <c r="I140" s="1331"/>
      <c r="J140" s="1331"/>
      <c r="K140" s="1331"/>
      <c r="L140" s="1331"/>
      <c r="M140" s="1331"/>
      <c r="N140" s="1331"/>
      <c r="O140" s="1331"/>
    </row>
    <row r="141" spans="1:15" ht="13" x14ac:dyDescent="0.25">
      <c r="A141" s="1354" t="s">
        <v>255</v>
      </c>
      <c r="B141" s="1355"/>
      <c r="C141" s="1330">
        <f>O59+'Pla inversions i finançament'!C33-'Pla inversions i finançament'!C15-'Pla inversions i finançament'!C6-'Pla inversions i finançament'!C2-'Pla inversions i finançament'!C31</f>
        <v>0</v>
      </c>
      <c r="D141" s="1330">
        <f>C144+C155-C146</f>
        <v>0</v>
      </c>
      <c r="E141" s="1330">
        <f t="shared" ref="E141:N141" si="45">D144+D145-D146</f>
        <v>0</v>
      </c>
      <c r="F141" s="1330">
        <f t="shared" si="45"/>
        <v>0</v>
      </c>
      <c r="G141" s="1330">
        <f t="shared" si="45"/>
        <v>0</v>
      </c>
      <c r="H141" s="1330">
        <f t="shared" si="45"/>
        <v>0</v>
      </c>
      <c r="I141" s="1330">
        <f t="shared" si="45"/>
        <v>0</v>
      </c>
      <c r="J141" s="1330">
        <f t="shared" si="45"/>
        <v>0</v>
      </c>
      <c r="K141" s="1330">
        <f t="shared" si="45"/>
        <v>0</v>
      </c>
      <c r="L141" s="1330">
        <f t="shared" si="45"/>
        <v>0</v>
      </c>
      <c r="M141" s="1330">
        <f t="shared" si="45"/>
        <v>0</v>
      </c>
      <c r="N141" s="1330">
        <f t="shared" si="45"/>
        <v>0</v>
      </c>
      <c r="O141" s="1330">
        <f>C141</f>
        <v>0</v>
      </c>
    </row>
    <row r="142" spans="1:15" ht="13" x14ac:dyDescent="0.25">
      <c r="A142" s="1926" t="s">
        <v>463</v>
      </c>
      <c r="B142" s="1926"/>
      <c r="C142" s="1330">
        <f t="shared" ref="C142:N142" si="46">C105-C139</f>
        <v>0</v>
      </c>
      <c r="D142" s="1330">
        <f t="shared" si="46"/>
        <v>0</v>
      </c>
      <c r="E142" s="1330">
        <f t="shared" si="46"/>
        <v>0</v>
      </c>
      <c r="F142" s="1330">
        <f t="shared" si="46"/>
        <v>0</v>
      </c>
      <c r="G142" s="1330">
        <f t="shared" si="46"/>
        <v>0</v>
      </c>
      <c r="H142" s="1330">
        <f t="shared" si="46"/>
        <v>0</v>
      </c>
      <c r="I142" s="1330">
        <f t="shared" si="46"/>
        <v>0</v>
      </c>
      <c r="J142" s="1330">
        <f t="shared" si="46"/>
        <v>0</v>
      </c>
      <c r="K142" s="1330">
        <f t="shared" si="46"/>
        <v>0</v>
      </c>
      <c r="L142" s="1330">
        <f t="shared" si="46"/>
        <v>0</v>
      </c>
      <c r="M142" s="1330">
        <f t="shared" si="46"/>
        <v>0</v>
      </c>
      <c r="N142" s="1330">
        <f t="shared" si="46"/>
        <v>0</v>
      </c>
      <c r="O142" s="1330">
        <f>O105-O139</f>
        <v>0</v>
      </c>
    </row>
    <row r="143" spans="1:15" ht="13" x14ac:dyDescent="0.25">
      <c r="A143" s="1927" t="str">
        <f>+A58</f>
        <v>LIQUIDACIÓN IVA</v>
      </c>
      <c r="B143" s="1927"/>
      <c r="C143" s="1328">
        <f>IF(OR(C96="ABRIL",C96="JULIOL",C96="OCTUBRE",C96="GENER"),VARIABLES!$N53,0)</f>
        <v>0</v>
      </c>
      <c r="D143" s="1328">
        <f>IF(OR(D96="ABRIL",D96="JULIO",D96="OCTUBRE",D96="GENER"),VARIABLES!$N53,0)+VARIABLES!B113</f>
        <v>0</v>
      </c>
      <c r="E143" s="1328">
        <f>IF(OR(E96="ABRIL",E96="JULIOL",E96="OCTUBRE",E96="GENER"),VARIABLES!$N53,0)+VARIABLES!C113</f>
        <v>0</v>
      </c>
      <c r="F143" s="1328">
        <f>VARIABLES!D113</f>
        <v>0</v>
      </c>
      <c r="G143" s="1328">
        <f>VARIABLES!E113</f>
        <v>0</v>
      </c>
      <c r="H143" s="1328">
        <f>VARIABLES!F113</f>
        <v>0</v>
      </c>
      <c r="I143" s="1328">
        <f>VARIABLES!G113</f>
        <v>0</v>
      </c>
      <c r="J143" s="1328">
        <f>VARIABLES!H113</f>
        <v>0</v>
      </c>
      <c r="K143" s="1328">
        <f>VARIABLES!I113</f>
        <v>0</v>
      </c>
      <c r="L143" s="1328">
        <f>VARIABLES!J113</f>
        <v>0</v>
      </c>
      <c r="M143" s="1328">
        <f>VARIABLES!K113</f>
        <v>0</v>
      </c>
      <c r="N143" s="1328">
        <f>VARIABLES!L113</f>
        <v>0</v>
      </c>
      <c r="O143" s="1329">
        <f>SUM(C143:N143)</f>
        <v>0</v>
      </c>
    </row>
    <row r="144" spans="1:15" ht="13" x14ac:dyDescent="0.25">
      <c r="A144" s="1926" t="s">
        <v>254</v>
      </c>
      <c r="B144" s="1926"/>
      <c r="C144" s="1330">
        <f t="shared" ref="C144:N144" si="47">C141+C142-C143</f>
        <v>0</v>
      </c>
      <c r="D144" s="1330">
        <f t="shared" si="47"/>
        <v>0</v>
      </c>
      <c r="E144" s="1330">
        <f t="shared" si="47"/>
        <v>0</v>
      </c>
      <c r="F144" s="1330">
        <f t="shared" si="47"/>
        <v>0</v>
      </c>
      <c r="G144" s="1330">
        <f t="shared" si="47"/>
        <v>0</v>
      </c>
      <c r="H144" s="1330">
        <f t="shared" si="47"/>
        <v>0</v>
      </c>
      <c r="I144" s="1330">
        <f t="shared" si="47"/>
        <v>0</v>
      </c>
      <c r="J144" s="1330">
        <f t="shared" si="47"/>
        <v>0</v>
      </c>
      <c r="K144" s="1330">
        <f t="shared" si="47"/>
        <v>0</v>
      </c>
      <c r="L144" s="1330">
        <f t="shared" si="47"/>
        <v>0</v>
      </c>
      <c r="M144" s="1330">
        <f t="shared" si="47"/>
        <v>0</v>
      </c>
      <c r="N144" s="1330">
        <f t="shared" si="47"/>
        <v>0</v>
      </c>
      <c r="O144" s="1330">
        <f>N144+N145-N146</f>
        <v>0</v>
      </c>
    </row>
    <row r="145" spans="1:16" ht="13" x14ac:dyDescent="0.25">
      <c r="A145" s="1917" t="s">
        <v>464</v>
      </c>
      <c r="B145" s="1917"/>
      <c r="C145" s="1328">
        <f t="shared" ref="C145:N145" si="48">C155</f>
        <v>0</v>
      </c>
      <c r="D145" s="1328">
        <f t="shared" si="48"/>
        <v>0</v>
      </c>
      <c r="E145" s="1328">
        <f t="shared" si="48"/>
        <v>0</v>
      </c>
      <c r="F145" s="1328">
        <f t="shared" si="48"/>
        <v>0</v>
      </c>
      <c r="G145" s="1328">
        <f t="shared" si="48"/>
        <v>0</v>
      </c>
      <c r="H145" s="1328">
        <f t="shared" si="48"/>
        <v>0</v>
      </c>
      <c r="I145" s="1328">
        <f t="shared" si="48"/>
        <v>0</v>
      </c>
      <c r="J145" s="1328">
        <f t="shared" si="48"/>
        <v>0</v>
      </c>
      <c r="K145" s="1328">
        <f t="shared" si="48"/>
        <v>0</v>
      </c>
      <c r="L145" s="1328">
        <f t="shared" si="48"/>
        <v>0</v>
      </c>
      <c r="M145" s="1328">
        <f t="shared" si="48"/>
        <v>0</v>
      </c>
      <c r="N145" s="1328">
        <f t="shared" si="48"/>
        <v>0</v>
      </c>
      <c r="O145" s="1329">
        <f>SUM(C145:N145)</f>
        <v>0</v>
      </c>
    </row>
    <row r="146" spans="1:16" ht="13" x14ac:dyDescent="0.25">
      <c r="A146" s="1917" t="s">
        <v>465</v>
      </c>
      <c r="B146" s="1917"/>
      <c r="C146" s="1328">
        <f t="shared" ref="C146:N146" si="49">C156</f>
        <v>0</v>
      </c>
      <c r="D146" s="1328">
        <f t="shared" si="49"/>
        <v>0</v>
      </c>
      <c r="E146" s="1328">
        <f t="shared" si="49"/>
        <v>0</v>
      </c>
      <c r="F146" s="1328">
        <f t="shared" si="49"/>
        <v>0</v>
      </c>
      <c r="G146" s="1328">
        <f t="shared" si="49"/>
        <v>0</v>
      </c>
      <c r="H146" s="1328">
        <f t="shared" si="49"/>
        <v>0</v>
      </c>
      <c r="I146" s="1328">
        <f t="shared" si="49"/>
        <v>0</v>
      </c>
      <c r="J146" s="1328">
        <f t="shared" si="49"/>
        <v>0</v>
      </c>
      <c r="K146" s="1328">
        <f t="shared" si="49"/>
        <v>0</v>
      </c>
      <c r="L146" s="1328">
        <f t="shared" si="49"/>
        <v>0</v>
      </c>
      <c r="M146" s="1328">
        <f t="shared" si="49"/>
        <v>0</v>
      </c>
      <c r="N146" s="1328">
        <f t="shared" si="49"/>
        <v>0</v>
      </c>
      <c r="O146" s="1329">
        <f>SUM(C146:N146)</f>
        <v>0</v>
      </c>
    </row>
    <row r="147" spans="1:16" ht="13" x14ac:dyDescent="0.25">
      <c r="A147" s="1917" t="s">
        <v>466</v>
      </c>
      <c r="B147" s="1917"/>
      <c r="C147" s="1328">
        <f>C158</f>
        <v>0</v>
      </c>
      <c r="D147" s="1328">
        <f t="shared" ref="D147:N147" si="50">D158</f>
        <v>0</v>
      </c>
      <c r="E147" s="1328">
        <f t="shared" si="50"/>
        <v>0</v>
      </c>
      <c r="F147" s="1328">
        <f t="shared" si="50"/>
        <v>0</v>
      </c>
      <c r="G147" s="1328">
        <f t="shared" si="50"/>
        <v>0</v>
      </c>
      <c r="H147" s="1328">
        <f t="shared" si="50"/>
        <v>0</v>
      </c>
      <c r="I147" s="1328">
        <f t="shared" si="50"/>
        <v>0</v>
      </c>
      <c r="J147" s="1328">
        <f t="shared" si="50"/>
        <v>0</v>
      </c>
      <c r="K147" s="1328">
        <f t="shared" si="50"/>
        <v>0</v>
      </c>
      <c r="L147" s="1328">
        <f t="shared" si="50"/>
        <v>0</v>
      </c>
      <c r="M147" s="1328">
        <f t="shared" si="50"/>
        <v>0</v>
      </c>
      <c r="N147" s="1328">
        <f t="shared" si="50"/>
        <v>0</v>
      </c>
      <c r="O147" s="1329">
        <f>N147</f>
        <v>0</v>
      </c>
    </row>
    <row r="148" spans="1:16" x14ac:dyDescent="0.25">
      <c r="C148" s="1331"/>
      <c r="D148" s="1331"/>
      <c r="E148" s="1331"/>
      <c r="F148" s="1331"/>
      <c r="G148" s="1331"/>
      <c r="H148" s="1331"/>
      <c r="I148" s="1331"/>
      <c r="J148" s="1331"/>
      <c r="K148" s="1331"/>
      <c r="L148" s="1331"/>
      <c r="M148" s="1331"/>
      <c r="N148" s="1331"/>
      <c r="O148" s="1331"/>
    </row>
    <row r="149" spans="1:16" ht="13" x14ac:dyDescent="0.25">
      <c r="B149" s="1336" t="s">
        <v>129</v>
      </c>
    </row>
    <row r="151" spans="1:16" x14ac:dyDescent="0.25">
      <c r="B151" s="1337" t="s">
        <v>467</v>
      </c>
      <c r="C151" s="243" t="str">
        <f>'Introducció dades'!D146</f>
        <v>TRIMESTRAL</v>
      </c>
      <c r="D151" s="1339">
        <f>IF(C151="SEMESTRAL",2,0)+IF(C151="TRIMESTRAL",4,0)+IF(C151="MENSUAL",12,0)</f>
        <v>4</v>
      </c>
    </row>
    <row r="152" spans="1:16" x14ac:dyDescent="0.25">
      <c r="B152" s="1337" t="s">
        <v>133</v>
      </c>
      <c r="C152" s="247">
        <f>'Introducció dades'!D147</f>
        <v>4.7500000000000001E-2</v>
      </c>
      <c r="D152" s="1340">
        <f>IF(D151=12,C152/12)+IF(D151=4,C152/4)+IF(D151=2,C152/2)+IF(D151=1,C152)</f>
        <v>1.1875E-2</v>
      </c>
    </row>
    <row r="153" spans="1:16" x14ac:dyDescent="0.25">
      <c r="O153" s="1931" t="s">
        <v>245</v>
      </c>
      <c r="P153" s="1356"/>
    </row>
    <row r="154" spans="1:16" ht="13" x14ac:dyDescent="0.25">
      <c r="A154" s="1912" t="s">
        <v>468</v>
      </c>
      <c r="B154" s="1912"/>
      <c r="C154" s="1322" t="str">
        <f t="shared" ref="C154:N154" si="51">C96</f>
        <v>GENER</v>
      </c>
      <c r="D154" s="1322" t="str">
        <f t="shared" si="51"/>
        <v>FEBRER</v>
      </c>
      <c r="E154" s="1322" t="str">
        <f t="shared" si="51"/>
        <v>MARÇ</v>
      </c>
      <c r="F154" s="1322" t="str">
        <f t="shared" si="51"/>
        <v>ABRIL</v>
      </c>
      <c r="G154" s="1322" t="str">
        <f t="shared" si="51"/>
        <v>MAIG</v>
      </c>
      <c r="H154" s="1322" t="str">
        <f t="shared" si="51"/>
        <v>JUNY</v>
      </c>
      <c r="I154" s="1322" t="str">
        <f t="shared" si="51"/>
        <v>JULIOL</v>
      </c>
      <c r="J154" s="1322" t="str">
        <f t="shared" si="51"/>
        <v>AGOST</v>
      </c>
      <c r="K154" s="1322" t="str">
        <f t="shared" si="51"/>
        <v>SETEMBRE</v>
      </c>
      <c r="L154" s="1322" t="str">
        <f t="shared" si="51"/>
        <v>OCTUBRE</v>
      </c>
      <c r="M154" s="1322" t="str">
        <f t="shared" si="51"/>
        <v>NOVEMBRE</v>
      </c>
      <c r="N154" s="1322" t="str">
        <f t="shared" si="51"/>
        <v>DESEMBRE</v>
      </c>
      <c r="O154" s="1931"/>
      <c r="P154" s="1356"/>
    </row>
    <row r="155" spans="1:16" ht="13" x14ac:dyDescent="0.25">
      <c r="A155" s="1917" t="s">
        <v>469</v>
      </c>
      <c r="B155" s="1917"/>
      <c r="C155" s="1328">
        <f>-IF(C144&lt;0,C144,0)</f>
        <v>0</v>
      </c>
      <c r="D155" s="1328">
        <f t="shared" ref="D155:N155" si="52">-IF(D144&lt;0,D144,0)</f>
        <v>0</v>
      </c>
      <c r="E155" s="1328">
        <f t="shared" si="52"/>
        <v>0</v>
      </c>
      <c r="F155" s="1328">
        <f t="shared" si="52"/>
        <v>0</v>
      </c>
      <c r="G155" s="1328">
        <f t="shared" si="52"/>
        <v>0</v>
      </c>
      <c r="H155" s="1328">
        <f t="shared" si="52"/>
        <v>0</v>
      </c>
      <c r="I155" s="1328">
        <f t="shared" si="52"/>
        <v>0</v>
      </c>
      <c r="J155" s="1328">
        <f t="shared" si="52"/>
        <v>0</v>
      </c>
      <c r="K155" s="1328">
        <f t="shared" si="52"/>
        <v>0</v>
      </c>
      <c r="L155" s="1328">
        <f t="shared" si="52"/>
        <v>0</v>
      </c>
      <c r="M155" s="1328">
        <f t="shared" si="52"/>
        <v>0</v>
      </c>
      <c r="N155" s="1328">
        <f t="shared" si="52"/>
        <v>0</v>
      </c>
      <c r="O155" s="1329">
        <f>SUM(C155:N155)</f>
        <v>0</v>
      </c>
      <c r="P155" s="1356"/>
    </row>
    <row r="156" spans="1:16" ht="13" x14ac:dyDescent="0.25">
      <c r="A156" s="1917" t="s">
        <v>470</v>
      </c>
      <c r="B156" s="1917"/>
      <c r="C156" s="1328">
        <f>IF(C144&lt;B158,C144,0)+IF(C144&gt;B158,B158,0)-IF(C144&lt;0,C144,0)</f>
        <v>0</v>
      </c>
      <c r="D156" s="1328">
        <f t="shared" ref="D156:N156" si="53">IF(D144&lt;C158,D144,0)+IF(D144&gt;C158,C158,0)-IF(D144&lt;0,D144,0)</f>
        <v>0</v>
      </c>
      <c r="E156" s="1328">
        <f t="shared" si="53"/>
        <v>0</v>
      </c>
      <c r="F156" s="1328">
        <f t="shared" si="53"/>
        <v>0</v>
      </c>
      <c r="G156" s="1328">
        <f t="shared" si="53"/>
        <v>0</v>
      </c>
      <c r="H156" s="1328">
        <f t="shared" si="53"/>
        <v>0</v>
      </c>
      <c r="I156" s="1328">
        <f t="shared" si="53"/>
        <v>0</v>
      </c>
      <c r="J156" s="1328">
        <f t="shared" si="53"/>
        <v>0</v>
      </c>
      <c r="K156" s="1328">
        <f t="shared" si="53"/>
        <v>0</v>
      </c>
      <c r="L156" s="1328">
        <f t="shared" si="53"/>
        <v>0</v>
      </c>
      <c r="M156" s="1328">
        <f t="shared" si="53"/>
        <v>0</v>
      </c>
      <c r="N156" s="1328">
        <f t="shared" si="53"/>
        <v>0</v>
      </c>
      <c r="O156" s="1329">
        <f>SUM(C156:N156)</f>
        <v>0</v>
      </c>
      <c r="P156" s="1356"/>
    </row>
    <row r="157" spans="1:16" ht="13" x14ac:dyDescent="0.25">
      <c r="A157" s="1917" t="s">
        <v>471</v>
      </c>
      <c r="B157" s="1917"/>
      <c r="C157" s="1328"/>
      <c r="D157" s="1328">
        <f>IF($D151=12,C158*$D152,0)+IF(AND(OR(D154="MARÇ",D154="JUNY",D154="SETEMBRE",D154="DESEMBRE"),$D151=4),(C158+D158)/2*$D152,0)+IF(AND(OR(D154="JUNY",D154="DESEMBRE"),$D151=2),(C158+D158)/2*$D152)</f>
        <v>0</v>
      </c>
      <c r="E157" s="1328">
        <f>IF($D151=12,E158*$D152,0)+IF(AND(OR(E154="MARÇ",E154="JUNY",E154="SEPTIEMBRE",E154="DESEMBRE"),$D151=4),(C158+D158+E158)/3*$D152,0)+IF(AND(OR(E154="JUNY",E154="DESEMBRE"),$D151=2),(C158+D158+E158)/3*$D152)</f>
        <v>0</v>
      </c>
      <c r="F157" s="1328">
        <f>IF($D151=12,F158*$D152,0)+IF(AND(OR(F154="MARÇ",F154="JUNY",F154="SETEMBRE",F154="DESEMBRE"),$D151=4),(D158+E158+F158)/3*$D152,0)+IF(AND(OR(F154="JUNY",F154="DESEMBRE"),$D151=2),(D158+E158+F158)/3*$D152)</f>
        <v>0</v>
      </c>
      <c r="G157" s="1328">
        <f>IF($D151=12,G158*$D152,0)+IF(AND(OR(G154="MARÇ",G154="JUNY",G154="SETEMBRE",G154="DICIEMBRE"),$D151=4),(E158+F158+G158)/3*$D152,0)+IF(AND(OR(G154="JUNY",G154="DESEMBRE"),$D151=2),(E158+F158+G158)/3*$D152)</f>
        <v>0</v>
      </c>
      <c r="H157" s="1328">
        <f t="shared" ref="H157:N157" si="54">IF($D151=12,H158*$D152,0)+IF(AND(OR(H154="MARÇ",H154="JUNY",H154="SETEMBRE",H154="DESEMBRE"),$D151=4),(F158+G158+H158)/3*$D152,0)+IF(AND(OR(H154="JUNY",H154="DESEMBRE"),$D151=2),(F158+G158+H158)/3*$D152)</f>
        <v>0</v>
      </c>
      <c r="I157" s="1328">
        <f t="shared" si="54"/>
        <v>0</v>
      </c>
      <c r="J157" s="1328">
        <f t="shared" si="54"/>
        <v>0</v>
      </c>
      <c r="K157" s="1328">
        <f t="shared" si="54"/>
        <v>0</v>
      </c>
      <c r="L157" s="1328">
        <f t="shared" si="54"/>
        <v>0</v>
      </c>
      <c r="M157" s="1328">
        <f t="shared" si="54"/>
        <v>0</v>
      </c>
      <c r="N157" s="1328">
        <f t="shared" si="54"/>
        <v>0</v>
      </c>
      <c r="O157" s="1329">
        <f>SUM(C157:N157)</f>
        <v>0</v>
      </c>
      <c r="P157" s="1356"/>
    </row>
    <row r="158" spans="1:16" ht="13" x14ac:dyDescent="0.25">
      <c r="A158" s="1926" t="s">
        <v>466</v>
      </c>
      <c r="B158" s="1926"/>
      <c r="C158" s="1330">
        <f>O62+B158+C155-C156</f>
        <v>0</v>
      </c>
      <c r="D158" s="1330">
        <f>C158+D155-D156</f>
        <v>0</v>
      </c>
      <c r="E158" s="1330">
        <f t="shared" ref="E158:N158" si="55">D158+E155-E156</f>
        <v>0</v>
      </c>
      <c r="F158" s="1330">
        <f t="shared" si="55"/>
        <v>0</v>
      </c>
      <c r="G158" s="1330">
        <f t="shared" si="55"/>
        <v>0</v>
      </c>
      <c r="H158" s="1330">
        <f t="shared" si="55"/>
        <v>0</v>
      </c>
      <c r="I158" s="1330">
        <f t="shared" si="55"/>
        <v>0</v>
      </c>
      <c r="J158" s="1330">
        <f t="shared" si="55"/>
        <v>0</v>
      </c>
      <c r="K158" s="1330">
        <f t="shared" si="55"/>
        <v>0</v>
      </c>
      <c r="L158" s="1330">
        <f t="shared" si="55"/>
        <v>0</v>
      </c>
      <c r="M158" s="1330">
        <f t="shared" si="55"/>
        <v>0</v>
      </c>
      <c r="N158" s="1330">
        <f t="shared" si="55"/>
        <v>0</v>
      </c>
      <c r="O158" s="1330">
        <f>N158</f>
        <v>0</v>
      </c>
      <c r="P158" s="1356"/>
    </row>
    <row r="159" spans="1:16" x14ac:dyDescent="0.25">
      <c r="B159" s="1341"/>
      <c r="C159" s="1342"/>
      <c r="D159" s="1343"/>
    </row>
    <row r="160" spans="1:16" ht="13" x14ac:dyDescent="0.25">
      <c r="B160" s="1344" t="s">
        <v>472</v>
      </c>
      <c r="C160" s="1342"/>
      <c r="D160" s="1343"/>
    </row>
    <row r="162" spans="1:16" x14ac:dyDescent="0.25">
      <c r="B162" s="1337" t="s">
        <v>473</v>
      </c>
      <c r="C162" s="1357" t="str">
        <f>C77</f>
        <v>TRIMESTRAL</v>
      </c>
      <c r="D162" s="1339">
        <f>IF(C162="TRIMESTRAL",4,0)</f>
        <v>4</v>
      </c>
    </row>
    <row r="163" spans="1:16" x14ac:dyDescent="0.25">
      <c r="B163" s="1337" t="s">
        <v>133</v>
      </c>
      <c r="C163" s="247">
        <f>C78</f>
        <v>0</v>
      </c>
      <c r="D163" s="1345">
        <f>C163/D162</f>
        <v>0</v>
      </c>
    </row>
    <row r="164" spans="1:16" x14ac:dyDescent="0.25">
      <c r="B164" s="1337" t="s">
        <v>25</v>
      </c>
      <c r="C164" s="247">
        <f>C79</f>
        <v>0.15</v>
      </c>
      <c r="D164" s="1343"/>
    </row>
    <row r="165" spans="1:16" x14ac:dyDescent="0.25">
      <c r="O165" s="1931" t="s">
        <v>245</v>
      </c>
      <c r="P165" s="1356"/>
    </row>
    <row r="166" spans="1:16" x14ac:dyDescent="0.25">
      <c r="A166" s="1346"/>
      <c r="B166" s="1347"/>
      <c r="C166" s="1322" t="str">
        <f t="shared" ref="C166:N166" si="56">C154</f>
        <v>GENER</v>
      </c>
      <c r="D166" s="1322" t="str">
        <f t="shared" si="56"/>
        <v>FEBRER</v>
      </c>
      <c r="E166" s="1322" t="str">
        <f t="shared" si="56"/>
        <v>MARÇ</v>
      </c>
      <c r="F166" s="1322" t="str">
        <f t="shared" si="56"/>
        <v>ABRIL</v>
      </c>
      <c r="G166" s="1322" t="str">
        <f t="shared" si="56"/>
        <v>MAIG</v>
      </c>
      <c r="H166" s="1322" t="str">
        <f t="shared" si="56"/>
        <v>JUNY</v>
      </c>
      <c r="I166" s="1322" t="str">
        <f t="shared" si="56"/>
        <v>JULIOL</v>
      </c>
      <c r="J166" s="1322" t="str">
        <f t="shared" si="56"/>
        <v>AGOST</v>
      </c>
      <c r="K166" s="1322" t="str">
        <f t="shared" si="56"/>
        <v>SETEMBRE</v>
      </c>
      <c r="L166" s="1322" t="str">
        <f t="shared" si="56"/>
        <v>OCTUBRE</v>
      </c>
      <c r="M166" s="1322" t="str">
        <f t="shared" si="56"/>
        <v>NOVEMBRE</v>
      </c>
      <c r="N166" s="1322" t="str">
        <f t="shared" si="56"/>
        <v>DESEMBRE</v>
      </c>
      <c r="O166" s="1931"/>
      <c r="P166" s="1356"/>
    </row>
    <row r="167" spans="1:16" ht="13" x14ac:dyDescent="0.25">
      <c r="A167" s="1917" t="s">
        <v>474</v>
      </c>
      <c r="B167" s="1917"/>
      <c r="C167" s="1348">
        <f>IF(AND(C144&gt;0,OR(C166="MARÇ",C166="JUNY",C166="SETEMBRE",C166="DESEMBRE")),C144*$D163,0)</f>
        <v>0</v>
      </c>
      <c r="D167" s="1348">
        <f>IF(AND(D144&gt;0,C144+D144&gt;0,OR(D166="MARÇ",D166="JUNY",D166="SETEMBRE",D166="DESEMBRE")),(C144+D144)/2*$D163,0)</f>
        <v>0</v>
      </c>
      <c r="E167" s="1348">
        <f t="shared" ref="E167:N167" si="57">IF(AND(E144&gt;0,C144+D144+E144&gt;0,OR(E166="MARÇ",E166="JUNY",E166="SETEMBRE",E166="DESEMBRE")),(C144+D144+E144)/3*$D163,0)</f>
        <v>0</v>
      </c>
      <c r="F167" s="1348">
        <f t="shared" si="57"/>
        <v>0</v>
      </c>
      <c r="G167" s="1348">
        <f t="shared" si="57"/>
        <v>0</v>
      </c>
      <c r="H167" s="1348">
        <f t="shared" si="57"/>
        <v>0</v>
      </c>
      <c r="I167" s="1348">
        <f t="shared" si="57"/>
        <v>0</v>
      </c>
      <c r="J167" s="1348">
        <f t="shared" si="57"/>
        <v>0</v>
      </c>
      <c r="K167" s="1348">
        <f t="shared" si="57"/>
        <v>0</v>
      </c>
      <c r="L167" s="1348">
        <f t="shared" si="57"/>
        <v>0</v>
      </c>
      <c r="M167" s="1348">
        <f t="shared" si="57"/>
        <v>0</v>
      </c>
      <c r="N167" s="1348">
        <f t="shared" si="57"/>
        <v>0</v>
      </c>
      <c r="O167" s="1349">
        <f>SUM(C167:N167)</f>
        <v>0</v>
      </c>
      <c r="P167" s="1356"/>
    </row>
    <row r="168" spans="1:16" ht="13" x14ac:dyDescent="0.25">
      <c r="A168" s="1917" t="s">
        <v>475</v>
      </c>
      <c r="B168" s="1917"/>
      <c r="C168" s="1348">
        <f>C167*C164</f>
        <v>0</v>
      </c>
      <c r="D168" s="1348">
        <f t="shared" ref="D168:N168" si="58">D167*$C164</f>
        <v>0</v>
      </c>
      <c r="E168" s="1348">
        <f t="shared" si="58"/>
        <v>0</v>
      </c>
      <c r="F168" s="1348">
        <f t="shared" si="58"/>
        <v>0</v>
      </c>
      <c r="G168" s="1348">
        <f t="shared" si="58"/>
        <v>0</v>
      </c>
      <c r="H168" s="1348">
        <f t="shared" si="58"/>
        <v>0</v>
      </c>
      <c r="I168" s="1348">
        <f t="shared" si="58"/>
        <v>0</v>
      </c>
      <c r="J168" s="1348">
        <f t="shared" si="58"/>
        <v>0</v>
      </c>
      <c r="K168" s="1348">
        <f t="shared" si="58"/>
        <v>0</v>
      </c>
      <c r="L168" s="1348">
        <f t="shared" si="58"/>
        <v>0</v>
      </c>
      <c r="M168" s="1348">
        <f t="shared" si="58"/>
        <v>0</v>
      </c>
      <c r="N168" s="1348">
        <f t="shared" si="58"/>
        <v>0</v>
      </c>
      <c r="O168" s="1349">
        <f>SUM(C168:N168)</f>
        <v>0</v>
      </c>
      <c r="P168" s="1356"/>
    </row>
    <row r="169" spans="1:16" ht="13" x14ac:dyDescent="0.25">
      <c r="A169" s="1917" t="s">
        <v>476</v>
      </c>
      <c r="B169" s="1917"/>
      <c r="C169" s="1348">
        <f t="shared" ref="C169:N169" si="59">C167-C168</f>
        <v>0</v>
      </c>
      <c r="D169" s="1348">
        <f t="shared" si="59"/>
        <v>0</v>
      </c>
      <c r="E169" s="1348">
        <f t="shared" si="59"/>
        <v>0</v>
      </c>
      <c r="F169" s="1348">
        <f t="shared" si="59"/>
        <v>0</v>
      </c>
      <c r="G169" s="1348">
        <f t="shared" si="59"/>
        <v>0</v>
      </c>
      <c r="H169" s="1348">
        <f t="shared" si="59"/>
        <v>0</v>
      </c>
      <c r="I169" s="1348">
        <f t="shared" si="59"/>
        <v>0</v>
      </c>
      <c r="J169" s="1348">
        <f t="shared" si="59"/>
        <v>0</v>
      </c>
      <c r="K169" s="1348">
        <f t="shared" si="59"/>
        <v>0</v>
      </c>
      <c r="L169" s="1348">
        <f t="shared" si="59"/>
        <v>0</v>
      </c>
      <c r="M169" s="1348">
        <f t="shared" si="59"/>
        <v>0</v>
      </c>
      <c r="N169" s="1348">
        <f t="shared" si="59"/>
        <v>0</v>
      </c>
      <c r="O169" s="1349">
        <f>SUM(C169:N169)</f>
        <v>0</v>
      </c>
      <c r="P169" s="1356"/>
    </row>
    <row r="172" spans="1:16" ht="13" x14ac:dyDescent="0.25">
      <c r="B172" s="1350" t="s">
        <v>57</v>
      </c>
    </row>
    <row r="174" spans="1:16" ht="13" x14ac:dyDescent="0.25">
      <c r="A174" s="1928" t="s">
        <v>156</v>
      </c>
      <c r="B174" s="1928"/>
      <c r="C174" s="1928"/>
      <c r="D174" s="1319" t="s">
        <v>157</v>
      </c>
      <c r="E174" s="1306">
        <v>30</v>
      </c>
      <c r="F174" s="1306">
        <f>E174+30</f>
        <v>60</v>
      </c>
      <c r="G174" s="1306">
        <f t="shared" ref="G174:O174" si="60">F174+30</f>
        <v>90</v>
      </c>
      <c r="H174" s="1306">
        <f t="shared" si="60"/>
        <v>120</v>
      </c>
      <c r="I174" s="1306">
        <f t="shared" si="60"/>
        <v>150</v>
      </c>
      <c r="J174" s="1306">
        <f t="shared" si="60"/>
        <v>180</v>
      </c>
      <c r="K174" s="1306">
        <f t="shared" si="60"/>
        <v>210</v>
      </c>
      <c r="L174" s="1306">
        <f t="shared" si="60"/>
        <v>240</v>
      </c>
      <c r="M174" s="1306">
        <f t="shared" si="60"/>
        <v>270</v>
      </c>
      <c r="N174" s="1306">
        <f t="shared" si="60"/>
        <v>300</v>
      </c>
      <c r="O174" s="1306">
        <f t="shared" si="60"/>
        <v>330</v>
      </c>
    </row>
    <row r="175" spans="1:16" ht="13" hidden="1" x14ac:dyDescent="0.25">
      <c r="B175" s="1307" t="e">
        <f>'Introducció dades'!#REF!</f>
        <v>#REF!</v>
      </c>
      <c r="C175" s="1308">
        <f>SUM(D175:O175)</f>
        <v>1</v>
      </c>
      <c r="D175" s="1310">
        <v>1</v>
      </c>
      <c r="E175" s="1310">
        <v>0</v>
      </c>
      <c r="F175" s="1351">
        <f>'Introducció dades'!G399</f>
        <v>0</v>
      </c>
      <c r="G175" s="1310">
        <f>'Introducció dades'!H399</f>
        <v>0</v>
      </c>
      <c r="H175" s="1310">
        <f>'Introducció dades'!I399</f>
        <v>0</v>
      </c>
      <c r="I175" s="1310">
        <f>'Introducció dades'!J399</f>
        <v>0</v>
      </c>
      <c r="J175" s="1310">
        <f>'Introducció dades'!K399</f>
        <v>0</v>
      </c>
      <c r="K175" s="1310">
        <f>'Introducció dades'!L399</f>
        <v>0</v>
      </c>
      <c r="L175" s="1310">
        <f>'Introducció dades'!M399</f>
        <v>0</v>
      </c>
      <c r="M175" s="1310">
        <f>'Introducció dades'!N399</f>
        <v>0</v>
      </c>
      <c r="N175" s="1310">
        <f>'Introducció dades'!O399</f>
        <v>0</v>
      </c>
      <c r="O175" s="1310">
        <f>'Introducció dades'!P399</f>
        <v>0</v>
      </c>
    </row>
    <row r="176" spans="1:16" ht="13" x14ac:dyDescent="0.25">
      <c r="A176" s="1352" t="s">
        <v>158</v>
      </c>
      <c r="B176" s="1312" t="str">
        <f>B91</f>
        <v>COBRAMENT</v>
      </c>
      <c r="C176" s="1308">
        <f>SUM(D176:O176)</f>
        <v>1</v>
      </c>
      <c r="D176" s="1310">
        <f>'Introducció dades'!E399</f>
        <v>1</v>
      </c>
      <c r="E176" s="1310">
        <f>'Introducció dades'!F399</f>
        <v>0</v>
      </c>
      <c r="F176" s="1310">
        <f>'Introducció dades'!G399</f>
        <v>0</v>
      </c>
      <c r="G176" s="1310">
        <f>'Introducció dades'!H399</f>
        <v>0</v>
      </c>
      <c r="H176" s="1310">
        <f>'Introducció dades'!I399</f>
        <v>0</v>
      </c>
      <c r="I176" s="1310">
        <f>'Introducció dades'!J399</f>
        <v>0</v>
      </c>
      <c r="J176" s="1310">
        <f>'Introducció dades'!K399</f>
        <v>0</v>
      </c>
      <c r="K176" s="1310">
        <f>'Introducció dades'!L399</f>
        <v>0</v>
      </c>
      <c r="L176" s="1310">
        <f>'Introducció dades'!M399</f>
        <v>0</v>
      </c>
      <c r="M176" s="1310">
        <f>'Introducció dades'!N399</f>
        <v>0</v>
      </c>
      <c r="N176" s="1310">
        <f>'Introducció dades'!O399</f>
        <v>0</v>
      </c>
      <c r="O176" s="1310">
        <f>'Introducció dades'!P399</f>
        <v>0</v>
      </c>
    </row>
    <row r="177" spans="1:18" ht="13" hidden="1" x14ac:dyDescent="0.25">
      <c r="B177" s="1312" t="e">
        <f>B92</f>
        <v>#REF!</v>
      </c>
      <c r="C177" s="1308">
        <f>SUM(D177:O177)</f>
        <v>1</v>
      </c>
      <c r="D177" s="1310">
        <v>1</v>
      </c>
      <c r="E177" s="1310">
        <v>0</v>
      </c>
      <c r="F177" s="1351">
        <f>'Introducció dades'!G400</f>
        <v>0</v>
      </c>
      <c r="G177" s="1310">
        <f>'Introducció dades'!H400</f>
        <v>0</v>
      </c>
      <c r="H177" s="1310">
        <f>'Introducció dades'!I400</f>
        <v>0</v>
      </c>
      <c r="I177" s="1310">
        <f>'Introducció dades'!J400</f>
        <v>0</v>
      </c>
      <c r="J177" s="1310">
        <f>'Introducció dades'!K400</f>
        <v>0</v>
      </c>
      <c r="K177" s="1310">
        <f>'Introducció dades'!L400</f>
        <v>0</v>
      </c>
      <c r="L177" s="1310">
        <f>'Introducció dades'!M400</f>
        <v>0</v>
      </c>
      <c r="M177" s="1310">
        <f>'Introducció dades'!N400</f>
        <v>0</v>
      </c>
      <c r="N177" s="1310">
        <f>'Introducció dades'!O400</f>
        <v>0</v>
      </c>
      <c r="O177" s="1310">
        <f>'Introducció dades'!P400</f>
        <v>0</v>
      </c>
      <c r="Q177" s="1313" t="s">
        <v>434</v>
      </c>
      <c r="R177" s="1314">
        <f>O229+AJUSTAMENTS!B58+AJUSTAMENTS!E58-AJUSTAMENTS!B73-AJUSTAMENTS!E73-'Resultats per mesos'!I141</f>
        <v>0</v>
      </c>
    </row>
    <row r="178" spans="1:18" ht="13" x14ac:dyDescent="0.25">
      <c r="A178" s="1315" t="s">
        <v>159</v>
      </c>
      <c r="B178" s="1312" t="str">
        <f>B93</f>
        <v>PAGAMENT</v>
      </c>
      <c r="C178" s="1308">
        <f>SUM(D178:O178)</f>
        <v>1</v>
      </c>
      <c r="D178" s="1310">
        <f>'Introducció dades'!E400</f>
        <v>1</v>
      </c>
      <c r="E178" s="1310">
        <f>'Introducció dades'!F400</f>
        <v>0</v>
      </c>
      <c r="F178" s="1310">
        <f>'Introducció dades'!G400</f>
        <v>0</v>
      </c>
      <c r="G178" s="1310">
        <f>'Introducció dades'!H400</f>
        <v>0</v>
      </c>
      <c r="H178" s="1310">
        <f>'Introducció dades'!I400</f>
        <v>0</v>
      </c>
      <c r="I178" s="1310">
        <f>'Introducció dades'!J400</f>
        <v>0</v>
      </c>
      <c r="J178" s="1310">
        <f>'Introducció dades'!K400</f>
        <v>0</v>
      </c>
      <c r="K178" s="1310">
        <f>'Introducció dades'!L400</f>
        <v>0</v>
      </c>
      <c r="L178" s="1310">
        <f>'Introducció dades'!M400</f>
        <v>0</v>
      </c>
      <c r="M178" s="1310">
        <f>'Introducció dades'!N400</f>
        <v>0</v>
      </c>
      <c r="N178" s="1310">
        <f>'Introducció dades'!O400</f>
        <v>0</v>
      </c>
      <c r="O178" s="1310">
        <f>'Introducció dades'!P400</f>
        <v>0</v>
      </c>
    </row>
    <row r="180" spans="1:18" ht="13" x14ac:dyDescent="0.25">
      <c r="B180" s="912"/>
      <c r="C180" s="1835" t="s">
        <v>435</v>
      </c>
      <c r="D180" s="1835"/>
      <c r="E180" s="1835"/>
      <c r="F180" s="1835"/>
      <c r="G180" s="1835"/>
      <c r="H180" s="1835"/>
      <c r="I180" s="1835"/>
      <c r="J180" s="1835"/>
      <c r="K180" s="1835"/>
      <c r="L180" s="1835"/>
      <c r="M180" s="1835"/>
      <c r="N180" s="1835"/>
      <c r="O180" s="1912" t="s">
        <v>245</v>
      </c>
    </row>
    <row r="181" spans="1:18" ht="13" x14ac:dyDescent="0.25">
      <c r="A181" s="912"/>
      <c r="B181" s="912"/>
      <c r="C181" s="1322" t="str">
        <f t="shared" ref="C181:N181" si="61">C166</f>
        <v>GENER</v>
      </c>
      <c r="D181" s="1322" t="str">
        <f t="shared" si="61"/>
        <v>FEBRER</v>
      </c>
      <c r="E181" s="1322" t="str">
        <f t="shared" si="61"/>
        <v>MARÇ</v>
      </c>
      <c r="F181" s="1322" t="str">
        <f t="shared" si="61"/>
        <v>ABRIL</v>
      </c>
      <c r="G181" s="1322" t="str">
        <f t="shared" si="61"/>
        <v>MAIG</v>
      </c>
      <c r="H181" s="1322" t="str">
        <f t="shared" si="61"/>
        <v>JUNY</v>
      </c>
      <c r="I181" s="1322" t="str">
        <f t="shared" si="61"/>
        <v>JULIOL</v>
      </c>
      <c r="J181" s="1322" t="str">
        <f t="shared" si="61"/>
        <v>AGOST</v>
      </c>
      <c r="K181" s="1322" t="str">
        <f t="shared" si="61"/>
        <v>SETEMBRE</v>
      </c>
      <c r="L181" s="1322" t="str">
        <f t="shared" si="61"/>
        <v>OCTUBRE</v>
      </c>
      <c r="M181" s="1322" t="str">
        <f t="shared" si="61"/>
        <v>NOVEMBRE</v>
      </c>
      <c r="N181" s="1322" t="str">
        <f t="shared" si="61"/>
        <v>DESEMBRE</v>
      </c>
      <c r="O181" s="1912"/>
    </row>
    <row r="182" spans="1:18" ht="13" x14ac:dyDescent="0.25">
      <c r="A182" s="1913" t="s">
        <v>64</v>
      </c>
      <c r="B182" s="1913"/>
      <c r="C182" s="1328"/>
      <c r="D182" s="1328"/>
      <c r="E182" s="1328"/>
      <c r="F182" s="1328"/>
      <c r="G182" s="1328"/>
      <c r="H182" s="1328"/>
      <c r="I182" s="1328"/>
      <c r="J182" s="1328"/>
      <c r="K182" s="1328"/>
      <c r="L182" s="1328"/>
      <c r="M182" s="1328"/>
      <c r="N182" s="1328"/>
      <c r="O182" s="1329">
        <f t="shared" ref="O182:O189" si="62">SUM(C182:N182)</f>
        <v>0</v>
      </c>
    </row>
    <row r="183" spans="1:18" ht="13" x14ac:dyDescent="0.25">
      <c r="A183" s="1917" t="s">
        <v>436</v>
      </c>
      <c r="B183" s="1917"/>
      <c r="C183" s="1328">
        <f>SUM(C184:C185)+IF(AND(C181="JULIO",Fiscalitat!$H$21="E",VARIABLES!$N$123&lt;(VARIABLES!$N$59*VARIABLES!$H$9*3)),VARIABLES!$N$127,0)</f>
        <v>0</v>
      </c>
      <c r="D183" s="1328">
        <f>SUM(D184:D185)+IF(AND(D181="JULIO",Fiscalitat!$H$21="E",VARIABLES!$N$123&lt;(VARIABLES!$N$59*VARIABLES!$H$9*3)),VARIABLES!$N$127,0)</f>
        <v>0</v>
      </c>
      <c r="E183" s="1328">
        <f>SUM(E184:E185)+IF(AND(E181="JULIO",Fiscalitat!$H$21="E",VARIABLES!$N$123&lt;(VARIABLES!$N$59*VARIABLES!$H$9*3)),VARIABLES!$N$127,0)</f>
        <v>0</v>
      </c>
      <c r="F183" s="1328">
        <f>SUM(F184:F185)+IF(AND(F181="JULIO",Fiscalitat!$H$21="E",VARIABLES!$N$123&lt;(VARIABLES!$N$59*VARIABLES!$H$9*3)),VARIABLES!$N$127,0)</f>
        <v>0</v>
      </c>
      <c r="G183" s="1328">
        <f>SUM(G184:G185)+IF(AND(G181="JULIO",Fiscalitat!$H$21="E",VARIABLES!$N$123&lt;(VARIABLES!$N$59*VARIABLES!$H$9*3)),VARIABLES!$N$127,0)</f>
        <v>0</v>
      </c>
      <c r="H183" s="1328">
        <f>SUM(H184:H185)+IF(AND(H181="JULIO",Fiscalitat!$H$21="E",VARIABLES!$N$123&lt;(VARIABLES!$N$59*VARIABLES!$H$9*3)),VARIABLES!$N$127,0)</f>
        <v>0</v>
      </c>
      <c r="I183" s="1328">
        <f>SUM(I184:I185)+IF(AND(I181="JULIO",Fiscalitat!$H$21="E",VARIABLES!$N$123&lt;(VARIABLES!$N$59*VARIABLES!$H$9*3)),VARIABLES!$N$127,0)</f>
        <v>0</v>
      </c>
      <c r="J183" s="1328">
        <f>SUM(J184:J185)+IF(AND(J181="JULIO",Fiscalitat!$H$21="E",VARIABLES!$N$123&lt;(VARIABLES!$N$59*VARIABLES!$H$9*3)),VARIABLES!$N$127,0)</f>
        <v>0</v>
      </c>
      <c r="K183" s="1328">
        <f>SUM(K184:K185)+IF(AND(K181="JULIO",Fiscalitat!$H$21="E",VARIABLES!$N$123&lt;(VARIABLES!$N$59*VARIABLES!$H$9*3)),VARIABLES!$N$127,0)</f>
        <v>0</v>
      </c>
      <c r="L183" s="1328">
        <f>SUM(L184:L185)+IF(AND(L181="JULIO",Fiscalitat!$H$21="E",VARIABLES!$N$123&lt;(VARIABLES!$N$59*VARIABLES!$H$9*3)),VARIABLES!$N$127,0)</f>
        <v>0</v>
      </c>
      <c r="M183" s="1328">
        <f>SUM(M184:M185)+IF(AND(M181="JULIO",Fiscalitat!$H$21="E",VARIABLES!$N$123&lt;(VARIABLES!$N$59*VARIABLES!$H$9*3)),VARIABLES!$N$127,0)</f>
        <v>0</v>
      </c>
      <c r="N183" s="1328">
        <f>SUM(N184:N185)+IF(AND(N181="JULIO",Fiscalitat!$H$21="E",VARIABLES!$N$123&lt;(VARIABLES!$N$59*VARIABLES!$H$9*3)),VARIABLES!$N$127,0)</f>
        <v>0</v>
      </c>
      <c r="O183" s="1329">
        <f t="shared" si="62"/>
        <v>0</v>
      </c>
    </row>
    <row r="184" spans="1:18" hidden="1" x14ac:dyDescent="0.25">
      <c r="A184" s="1929" t="s">
        <v>354</v>
      </c>
      <c r="B184" s="1929"/>
      <c r="C184" s="1353">
        <f>'INGRESSOS _ COMPRES'!C148</f>
        <v>0</v>
      </c>
      <c r="D184" s="1353">
        <f>'INGRESSOS _ COMPRES'!D148</f>
        <v>0</v>
      </c>
      <c r="E184" s="1353">
        <f>'INGRESSOS _ COMPRES'!E148</f>
        <v>0</v>
      </c>
      <c r="F184" s="1353">
        <f>'INGRESSOS _ COMPRES'!F148</f>
        <v>0</v>
      </c>
      <c r="G184" s="1353">
        <f>'INGRESSOS _ COMPRES'!G148</f>
        <v>0</v>
      </c>
      <c r="H184" s="1353">
        <f>'INGRESSOS _ COMPRES'!H148</f>
        <v>0</v>
      </c>
      <c r="I184" s="1353">
        <f>'INGRESSOS _ COMPRES'!I148</f>
        <v>0</v>
      </c>
      <c r="J184" s="1353">
        <f>'INGRESSOS _ COMPRES'!J148</f>
        <v>0</v>
      </c>
      <c r="K184" s="1353">
        <f>'INGRESSOS _ COMPRES'!K148</f>
        <v>0</v>
      </c>
      <c r="L184" s="1353">
        <f>'INGRESSOS _ COMPRES'!L148</f>
        <v>0</v>
      </c>
      <c r="M184" s="1353">
        <f>'INGRESSOS _ COMPRES'!M148</f>
        <v>0</v>
      </c>
      <c r="N184" s="1353">
        <f>'INGRESSOS _ COMPRES'!N148</f>
        <v>0</v>
      </c>
      <c r="O184" s="1353">
        <f t="shared" si="62"/>
        <v>0</v>
      </c>
    </row>
    <row r="185" spans="1:18" hidden="1" x14ac:dyDescent="0.25">
      <c r="A185" s="1916" t="s">
        <v>343</v>
      </c>
      <c r="B185" s="1916"/>
      <c r="C185" s="1327">
        <f>'INGRESSOS _ COMPRES'!C163</f>
        <v>0</v>
      </c>
      <c r="D185" s="1327">
        <f>'INGRESSOS _ COMPRES'!D163</f>
        <v>0</v>
      </c>
      <c r="E185" s="1327">
        <f>'INGRESSOS _ COMPRES'!E163</f>
        <v>0</v>
      </c>
      <c r="F185" s="1327">
        <f>'INGRESSOS _ COMPRES'!F163</f>
        <v>0</v>
      </c>
      <c r="G185" s="1327">
        <f>'INGRESSOS _ COMPRES'!G163</f>
        <v>0</v>
      </c>
      <c r="H185" s="1327">
        <f>'INGRESSOS _ COMPRES'!H163</f>
        <v>0</v>
      </c>
      <c r="I185" s="1327">
        <f>'INGRESSOS _ COMPRES'!I163</f>
        <v>0</v>
      </c>
      <c r="J185" s="1327">
        <f>'INGRESSOS _ COMPRES'!J163</f>
        <v>0</v>
      </c>
      <c r="K185" s="1327">
        <f>'INGRESSOS _ COMPRES'!K163</f>
        <v>0</v>
      </c>
      <c r="L185" s="1327">
        <f>'INGRESSOS _ COMPRES'!L163</f>
        <v>0</v>
      </c>
      <c r="M185" s="1327">
        <f>'INGRESSOS _ COMPRES'!M163</f>
        <v>0</v>
      </c>
      <c r="N185" s="1327">
        <f>'INGRESSOS _ COMPRES'!N163</f>
        <v>0</v>
      </c>
      <c r="O185" s="1327">
        <f t="shared" si="62"/>
        <v>0</v>
      </c>
    </row>
    <row r="186" spans="1:18" ht="13" x14ac:dyDescent="0.25">
      <c r="A186" s="1917" t="s">
        <v>422</v>
      </c>
      <c r="B186" s="1917"/>
      <c r="C186" s="1328">
        <f>+'INGRESSOS _ COMPRES'!Q163</f>
        <v>0</v>
      </c>
      <c r="D186" s="1328">
        <f>+'INGRESSOS _ COMPRES'!R163</f>
        <v>0</v>
      </c>
      <c r="E186" s="1328">
        <f>+'INGRESSOS _ COMPRES'!S163</f>
        <v>0</v>
      </c>
      <c r="F186" s="1328">
        <f>+'INGRESSOS _ COMPRES'!T163</f>
        <v>0</v>
      </c>
      <c r="G186" s="1328">
        <f>+'INGRESSOS _ COMPRES'!U163</f>
        <v>0</v>
      </c>
      <c r="H186" s="1328">
        <f>+'INGRESSOS _ COMPRES'!V163</f>
        <v>0</v>
      </c>
      <c r="I186" s="1328">
        <f>+'INGRESSOS _ COMPRES'!W163</f>
        <v>0</v>
      </c>
      <c r="J186" s="1328">
        <f>+'INGRESSOS _ COMPRES'!X163</f>
        <v>0</v>
      </c>
      <c r="K186" s="1328">
        <f>+'INGRESSOS _ COMPRES'!Y163</f>
        <v>0</v>
      </c>
      <c r="L186" s="1328">
        <f>+'INGRESSOS _ COMPRES'!Z163</f>
        <v>0</v>
      </c>
      <c r="M186" s="1328">
        <f>+'INGRESSOS _ COMPRES'!AA163</f>
        <v>0</v>
      </c>
      <c r="N186" s="1328">
        <f>+'INGRESSOS _ COMPRES'!AB163</f>
        <v>0</v>
      </c>
      <c r="O186" s="1329">
        <f t="shared" si="62"/>
        <v>0</v>
      </c>
    </row>
    <row r="187" spans="1:18" ht="13" x14ac:dyDescent="0.25">
      <c r="A187" s="1917" t="s">
        <v>437</v>
      </c>
      <c r="B187" s="1917"/>
      <c r="C187" s="1328">
        <f>N169</f>
        <v>0</v>
      </c>
      <c r="D187" s="1328">
        <f>C254</f>
        <v>0</v>
      </c>
      <c r="E187" s="1328">
        <f>D254</f>
        <v>0</v>
      </c>
      <c r="F187" s="1328">
        <f>E254</f>
        <v>0</v>
      </c>
      <c r="G187" s="1328">
        <f t="shared" ref="G187:N187" si="63">F254</f>
        <v>0</v>
      </c>
      <c r="H187" s="1328">
        <f t="shared" si="63"/>
        <v>0</v>
      </c>
      <c r="I187" s="1328">
        <f t="shared" si="63"/>
        <v>0</v>
      </c>
      <c r="J187" s="1328">
        <f t="shared" si="63"/>
        <v>0</v>
      </c>
      <c r="K187" s="1328">
        <f t="shared" si="63"/>
        <v>0</v>
      </c>
      <c r="L187" s="1328">
        <f t="shared" si="63"/>
        <v>0</v>
      </c>
      <c r="M187" s="1328">
        <f t="shared" si="63"/>
        <v>0</v>
      </c>
      <c r="N187" s="1328">
        <f t="shared" si="63"/>
        <v>0</v>
      </c>
      <c r="O187" s="1329">
        <f t="shared" si="62"/>
        <v>0</v>
      </c>
    </row>
    <row r="188" spans="1:18" ht="13" x14ac:dyDescent="0.25">
      <c r="A188" s="1917" t="s">
        <v>438</v>
      </c>
      <c r="B188" s="1917"/>
      <c r="C188" s="1328">
        <f>IF(C181=FINANÇAMENT!$D16,FINANÇAMENT!$D12,0)</f>
        <v>0</v>
      </c>
      <c r="D188" s="1328">
        <f>IF(D181=FINANÇAMENT!$D16,FINANÇAMENT!$D12,0)</f>
        <v>0</v>
      </c>
      <c r="E188" s="1328">
        <f>IF(E181=FINANÇAMENT!$D16,FINANÇAMENT!$D12,0)</f>
        <v>0</v>
      </c>
      <c r="F188" s="1328">
        <f>IF(F181=FINANÇAMENT!$D16,FINANÇAMENT!$D12,0)</f>
        <v>0</v>
      </c>
      <c r="G188" s="1328">
        <f>IF(G181=FINANÇAMENT!$D16,FINANÇAMENT!$D12,0)</f>
        <v>0</v>
      </c>
      <c r="H188" s="1328">
        <f>IF(H181=FINANÇAMENT!$D16,FINANÇAMENT!$D12,0)</f>
        <v>0</v>
      </c>
      <c r="I188" s="1328">
        <f>IF(I181=FINANÇAMENT!$D16,FINANÇAMENT!$D12,0)</f>
        <v>0</v>
      </c>
      <c r="J188" s="1328">
        <f>IF(J181=FINANÇAMENT!$D16,FINANÇAMENT!$D12,0)</f>
        <v>0</v>
      </c>
      <c r="K188" s="1328">
        <f>IF(K181=FINANÇAMENT!$D16,FINANÇAMENT!$D12,0)</f>
        <v>0</v>
      </c>
      <c r="L188" s="1328">
        <f>IF(L181=FINANÇAMENT!$D16,FINANÇAMENT!$D12,0)</f>
        <v>0</v>
      </c>
      <c r="M188" s="1328">
        <f>IF(M181=FINANÇAMENT!$D16,FINANÇAMENT!$D12,0)</f>
        <v>0</v>
      </c>
      <c r="N188" s="1328">
        <f>IF(N181=FINANÇAMENT!$D16,FINANÇAMENT!$D12,0)</f>
        <v>0</v>
      </c>
      <c r="O188" s="1329">
        <f>SUM(C188:N188)</f>
        <v>0</v>
      </c>
    </row>
    <row r="189" spans="1:18" ht="13" x14ac:dyDescent="0.25">
      <c r="A189" s="1917" t="s">
        <v>439</v>
      </c>
      <c r="B189" s="1917"/>
      <c r="C189" s="1328">
        <f>'Pla inversions i finançament'!D21-'Pla inversions i finançament'!D20</f>
        <v>0</v>
      </c>
      <c r="D189" s="1328"/>
      <c r="E189" s="1328"/>
      <c r="F189" s="1328"/>
      <c r="G189" s="1328"/>
      <c r="H189" s="1328"/>
      <c r="I189" s="1328"/>
      <c r="J189" s="1328"/>
      <c r="K189" s="1328"/>
      <c r="L189" s="1328"/>
      <c r="M189" s="1328"/>
      <c r="N189" s="1328"/>
      <c r="O189" s="1329">
        <f t="shared" si="62"/>
        <v>0</v>
      </c>
    </row>
    <row r="190" spans="1:18" ht="13" x14ac:dyDescent="0.25">
      <c r="A190" s="1918" t="s">
        <v>440</v>
      </c>
      <c r="B190" s="1918"/>
      <c r="C190" s="1330">
        <f t="shared" ref="C190:N190" si="64">C183+SUM(C186:C189)</f>
        <v>0</v>
      </c>
      <c r="D190" s="1330">
        <f t="shared" si="64"/>
        <v>0</v>
      </c>
      <c r="E190" s="1330">
        <f t="shared" si="64"/>
        <v>0</v>
      </c>
      <c r="F190" s="1330">
        <f t="shared" si="64"/>
        <v>0</v>
      </c>
      <c r="G190" s="1330">
        <f t="shared" si="64"/>
        <v>0</v>
      </c>
      <c r="H190" s="1330">
        <f t="shared" si="64"/>
        <v>0</v>
      </c>
      <c r="I190" s="1330">
        <f t="shared" si="64"/>
        <v>0</v>
      </c>
      <c r="J190" s="1330">
        <f t="shared" si="64"/>
        <v>0</v>
      </c>
      <c r="K190" s="1330">
        <f t="shared" si="64"/>
        <v>0</v>
      </c>
      <c r="L190" s="1330">
        <f t="shared" si="64"/>
        <v>0</v>
      </c>
      <c r="M190" s="1330">
        <f t="shared" si="64"/>
        <v>0</v>
      </c>
      <c r="N190" s="1330">
        <f t="shared" si="64"/>
        <v>0</v>
      </c>
      <c r="O190" s="1330">
        <f>O183+SUM(O186:O189)</f>
        <v>0</v>
      </c>
    </row>
    <row r="191" spans="1:18" ht="13" x14ac:dyDescent="0.25">
      <c r="C191" s="1331"/>
      <c r="D191" s="1331"/>
      <c r="E191" s="1331"/>
      <c r="F191" s="1331"/>
      <c r="G191" s="1331"/>
      <c r="H191" s="1331"/>
      <c r="I191" s="1331"/>
      <c r="J191" s="1331"/>
      <c r="K191" s="1331"/>
      <c r="L191" s="1331"/>
      <c r="M191" s="1331"/>
      <c r="N191" s="1331"/>
      <c r="O191" s="1332"/>
    </row>
    <row r="192" spans="1:18" ht="13" x14ac:dyDescent="0.25">
      <c r="A192" s="1913" t="s">
        <v>65</v>
      </c>
      <c r="B192" s="1913"/>
      <c r="C192" s="1328"/>
      <c r="D192" s="1328"/>
      <c r="E192" s="1328"/>
      <c r="F192" s="1328"/>
      <c r="G192" s="1328"/>
      <c r="H192" s="1328"/>
      <c r="I192" s="1328"/>
      <c r="J192" s="1328"/>
      <c r="K192" s="1328"/>
      <c r="L192" s="1328"/>
      <c r="M192" s="1328"/>
      <c r="N192" s="1328"/>
      <c r="O192" s="1329"/>
    </row>
    <row r="193" spans="1:15" ht="13" x14ac:dyDescent="0.25">
      <c r="A193" s="1917" t="s">
        <v>441</v>
      </c>
      <c r="B193" s="1917"/>
      <c r="C193" s="1328">
        <f>SUM(C194:C195)</f>
        <v>0</v>
      </c>
      <c r="D193" s="1328">
        <f t="shared" ref="D193:N193" si="65">SUM(D194:D195)</f>
        <v>0</v>
      </c>
      <c r="E193" s="1328">
        <f t="shared" si="65"/>
        <v>0</v>
      </c>
      <c r="F193" s="1328">
        <f t="shared" si="65"/>
        <v>0</v>
      </c>
      <c r="G193" s="1328">
        <f t="shared" si="65"/>
        <v>0</v>
      </c>
      <c r="H193" s="1328">
        <f t="shared" si="65"/>
        <v>0</v>
      </c>
      <c r="I193" s="1328">
        <f t="shared" si="65"/>
        <v>0</v>
      </c>
      <c r="J193" s="1328">
        <f t="shared" si="65"/>
        <v>0</v>
      </c>
      <c r="K193" s="1328">
        <f t="shared" si="65"/>
        <v>0</v>
      </c>
      <c r="L193" s="1328">
        <f t="shared" si="65"/>
        <v>0</v>
      </c>
      <c r="M193" s="1328">
        <f t="shared" si="65"/>
        <v>0</v>
      </c>
      <c r="N193" s="1328">
        <f t="shared" si="65"/>
        <v>0</v>
      </c>
      <c r="O193" s="1329">
        <f>SUM(C193:N193)</f>
        <v>0</v>
      </c>
    </row>
    <row r="194" spans="1:15" hidden="1" x14ac:dyDescent="0.25">
      <c r="A194" s="1929" t="s">
        <v>345</v>
      </c>
      <c r="B194" s="1929"/>
      <c r="C194" s="1353">
        <f>'INGRESSOS _ COMPRES'!C180</f>
        <v>0</v>
      </c>
      <c r="D194" s="1353">
        <f>'INGRESSOS _ COMPRES'!D180</f>
        <v>0</v>
      </c>
      <c r="E194" s="1353">
        <f>'INGRESSOS _ COMPRES'!E180</f>
        <v>0</v>
      </c>
      <c r="F194" s="1353">
        <f>'INGRESSOS _ COMPRES'!F180</f>
        <v>0</v>
      </c>
      <c r="G194" s="1353">
        <f>'INGRESSOS _ COMPRES'!G180</f>
        <v>0</v>
      </c>
      <c r="H194" s="1353">
        <f>'INGRESSOS _ COMPRES'!H180</f>
        <v>0</v>
      </c>
      <c r="I194" s="1353">
        <f>'INGRESSOS _ COMPRES'!I180</f>
        <v>0</v>
      </c>
      <c r="J194" s="1353">
        <f>'INGRESSOS _ COMPRES'!J180</f>
        <v>0</v>
      </c>
      <c r="K194" s="1353">
        <f>'INGRESSOS _ COMPRES'!K180</f>
        <v>0</v>
      </c>
      <c r="L194" s="1353">
        <f>'INGRESSOS _ COMPRES'!L180</f>
        <v>0</v>
      </c>
      <c r="M194" s="1353">
        <f>'INGRESSOS _ COMPRES'!M180</f>
        <v>0</v>
      </c>
      <c r="N194" s="1353">
        <f>'INGRESSOS _ COMPRES'!N180</f>
        <v>0</v>
      </c>
      <c r="O194" s="1353">
        <f>SUM(C194:N194)</f>
        <v>0</v>
      </c>
    </row>
    <row r="195" spans="1:15" hidden="1" x14ac:dyDescent="0.25">
      <c r="A195" s="1916" t="s">
        <v>442</v>
      </c>
      <c r="B195" s="1916"/>
      <c r="C195" s="1327">
        <f>'INGRESSOS _ COMPRES'!C195</f>
        <v>0</v>
      </c>
      <c r="D195" s="1327">
        <f>'INGRESSOS _ COMPRES'!D195</f>
        <v>0</v>
      </c>
      <c r="E195" s="1327">
        <f>'INGRESSOS _ COMPRES'!E195</f>
        <v>0</v>
      </c>
      <c r="F195" s="1327">
        <f>'INGRESSOS _ COMPRES'!F195</f>
        <v>0</v>
      </c>
      <c r="G195" s="1327">
        <f>'INGRESSOS _ COMPRES'!G195</f>
        <v>0</v>
      </c>
      <c r="H195" s="1327">
        <f>'INGRESSOS _ COMPRES'!H195</f>
        <v>0</v>
      </c>
      <c r="I195" s="1327">
        <f>'INGRESSOS _ COMPRES'!I195</f>
        <v>0</v>
      </c>
      <c r="J195" s="1327">
        <f>'INGRESSOS _ COMPRES'!J195</f>
        <v>0</v>
      </c>
      <c r="K195" s="1327">
        <f>'INGRESSOS _ COMPRES'!K195</f>
        <v>0</v>
      </c>
      <c r="L195" s="1327">
        <f>'INGRESSOS _ COMPRES'!L195</f>
        <v>0</v>
      </c>
      <c r="M195" s="1327">
        <f>'INGRESSOS _ COMPRES'!M195</f>
        <v>0</v>
      </c>
      <c r="N195" s="1327">
        <f>'INGRESSOS _ COMPRES'!N195</f>
        <v>0</v>
      </c>
      <c r="O195" s="1327">
        <f>SUM(C195:N195)</f>
        <v>0</v>
      </c>
    </row>
    <row r="196" spans="1:15" ht="13" x14ac:dyDescent="0.25">
      <c r="A196" s="1914" t="s">
        <v>444</v>
      </c>
      <c r="B196" s="1914"/>
      <c r="C196" s="1324">
        <f t="shared" ref="C196:N196" si="66">SUM(C197:C207)</f>
        <v>0</v>
      </c>
      <c r="D196" s="1324">
        <f t="shared" si="66"/>
        <v>0</v>
      </c>
      <c r="E196" s="1324">
        <f t="shared" si="66"/>
        <v>0</v>
      </c>
      <c r="F196" s="1324">
        <f t="shared" si="66"/>
        <v>0</v>
      </c>
      <c r="G196" s="1324">
        <f t="shared" si="66"/>
        <v>0</v>
      </c>
      <c r="H196" s="1324">
        <f t="shared" si="66"/>
        <v>0</v>
      </c>
      <c r="I196" s="1324">
        <f t="shared" si="66"/>
        <v>0</v>
      </c>
      <c r="J196" s="1324">
        <f t="shared" si="66"/>
        <v>0</v>
      </c>
      <c r="K196" s="1324">
        <f t="shared" si="66"/>
        <v>0</v>
      </c>
      <c r="L196" s="1324">
        <f t="shared" si="66"/>
        <v>0</v>
      </c>
      <c r="M196" s="1324">
        <f t="shared" si="66"/>
        <v>0</v>
      </c>
      <c r="N196" s="1324">
        <f t="shared" si="66"/>
        <v>0</v>
      </c>
      <c r="O196" s="1325">
        <f t="shared" ref="O196:O207" si="67">SUM(C196:N196)</f>
        <v>0</v>
      </c>
    </row>
    <row r="197" spans="1:15" x14ac:dyDescent="0.25">
      <c r="A197" s="1919" t="s">
        <v>164</v>
      </c>
      <c r="B197" s="1919"/>
      <c r="C197" s="1326">
        <f>VARIABLES!B144-VARIABLES!B167</f>
        <v>0</v>
      </c>
      <c r="D197" s="1326">
        <f>VARIABLES!C144-VARIABLES!C167</f>
        <v>0</v>
      </c>
      <c r="E197" s="1326">
        <f>VARIABLES!D144-VARIABLES!D167</f>
        <v>0</v>
      </c>
      <c r="F197" s="1326">
        <f>VARIABLES!E144-VARIABLES!E167</f>
        <v>0</v>
      </c>
      <c r="G197" s="1326">
        <f>VARIABLES!F144-VARIABLES!F167</f>
        <v>0</v>
      </c>
      <c r="H197" s="1326">
        <f>VARIABLES!G144-VARIABLES!G167</f>
        <v>0</v>
      </c>
      <c r="I197" s="1326">
        <f>VARIABLES!H144-VARIABLES!H167</f>
        <v>0</v>
      </c>
      <c r="J197" s="1326">
        <f>VARIABLES!I144-VARIABLES!I167</f>
        <v>0</v>
      </c>
      <c r="K197" s="1326">
        <f>VARIABLES!J144-VARIABLES!J167</f>
        <v>0</v>
      </c>
      <c r="L197" s="1326">
        <f>VARIABLES!K144-VARIABLES!K167</f>
        <v>0</v>
      </c>
      <c r="M197" s="1326">
        <f>VARIABLES!L144-VARIABLES!L167</f>
        <v>0</v>
      </c>
      <c r="N197" s="1326">
        <f>VARIABLES!M144-VARIABLES!M167</f>
        <v>0</v>
      </c>
      <c r="O197" s="1333">
        <f t="shared" si="67"/>
        <v>0</v>
      </c>
    </row>
    <row r="198" spans="1:15" x14ac:dyDescent="0.25">
      <c r="A198" s="1920" t="str">
        <f>+A113</f>
        <v>Leasing</v>
      </c>
      <c r="B198" s="1921"/>
      <c r="C198" s="1326">
        <f>+LEASING!G40</f>
        <v>0</v>
      </c>
      <c r="D198" s="1326">
        <f>+LEASING!G41</f>
        <v>0</v>
      </c>
      <c r="E198" s="1326">
        <f>+LEASING!G42</f>
        <v>0</v>
      </c>
      <c r="F198" s="1326">
        <f>+LEASING!G43</f>
        <v>0</v>
      </c>
      <c r="G198" s="1326">
        <f>+LEASING!G44</f>
        <v>0</v>
      </c>
      <c r="H198" s="1326">
        <f>+LEASING!G45</f>
        <v>0</v>
      </c>
      <c r="I198" s="1326">
        <f>+LEASING!G46</f>
        <v>0</v>
      </c>
      <c r="J198" s="1326">
        <f>+LEASING!G47</f>
        <v>0</v>
      </c>
      <c r="K198" s="1326">
        <f>+LEASING!G48</f>
        <v>0</v>
      </c>
      <c r="L198" s="1326">
        <f>+LEASING!G49</f>
        <v>0</v>
      </c>
      <c r="M198" s="1326">
        <f>+LEASING!G50</f>
        <v>0</v>
      </c>
      <c r="N198" s="1326">
        <f>+LEASING!G51</f>
        <v>0</v>
      </c>
      <c r="O198" s="1333">
        <f t="shared" si="67"/>
        <v>0</v>
      </c>
    </row>
    <row r="199" spans="1:15" x14ac:dyDescent="0.25">
      <c r="A199" s="1919" t="s">
        <v>445</v>
      </c>
      <c r="B199" s="1919"/>
      <c r="C199" s="1326">
        <f>VARIABLES!B146</f>
        <v>0</v>
      </c>
      <c r="D199" s="1326">
        <f>VARIABLES!C146</f>
        <v>0</v>
      </c>
      <c r="E199" s="1326">
        <f>VARIABLES!D146</f>
        <v>0</v>
      </c>
      <c r="F199" s="1326">
        <f>VARIABLES!E146</f>
        <v>0</v>
      </c>
      <c r="G199" s="1326">
        <f>VARIABLES!F146</f>
        <v>0</v>
      </c>
      <c r="H199" s="1326">
        <f>VARIABLES!G146</f>
        <v>0</v>
      </c>
      <c r="I199" s="1326">
        <f>VARIABLES!H146</f>
        <v>0</v>
      </c>
      <c r="J199" s="1326">
        <f>VARIABLES!I146</f>
        <v>0</v>
      </c>
      <c r="K199" s="1326">
        <f>VARIABLES!J146</f>
        <v>0</v>
      </c>
      <c r="L199" s="1326">
        <f>VARIABLES!K146</f>
        <v>0</v>
      </c>
      <c r="M199" s="1326">
        <f>VARIABLES!L146</f>
        <v>0</v>
      </c>
      <c r="N199" s="1326">
        <f>VARIABLES!M146</f>
        <v>0</v>
      </c>
      <c r="O199" s="1333">
        <f t="shared" si="67"/>
        <v>0</v>
      </c>
    </row>
    <row r="200" spans="1:15" x14ac:dyDescent="0.25">
      <c r="A200" s="1919" t="s">
        <v>446</v>
      </c>
      <c r="B200" s="1919"/>
      <c r="C200" s="1326">
        <f>VARIABLES!B147-VARIABLES!B168</f>
        <v>0</v>
      </c>
      <c r="D200" s="1326">
        <f>VARIABLES!C147-VARIABLES!C168</f>
        <v>0</v>
      </c>
      <c r="E200" s="1326">
        <f>VARIABLES!D147-VARIABLES!D168</f>
        <v>0</v>
      </c>
      <c r="F200" s="1326">
        <f>VARIABLES!E147-VARIABLES!E168</f>
        <v>0</v>
      </c>
      <c r="G200" s="1326">
        <f>VARIABLES!F147-VARIABLES!F168</f>
        <v>0</v>
      </c>
      <c r="H200" s="1326">
        <f>VARIABLES!G147-VARIABLES!G168</f>
        <v>0</v>
      </c>
      <c r="I200" s="1326">
        <f>VARIABLES!H147-VARIABLES!H168</f>
        <v>0</v>
      </c>
      <c r="J200" s="1326">
        <f>VARIABLES!I147-VARIABLES!I168</f>
        <v>0</v>
      </c>
      <c r="K200" s="1326">
        <f>VARIABLES!J147-VARIABLES!J168</f>
        <v>0</v>
      </c>
      <c r="L200" s="1326">
        <f>VARIABLES!K147-VARIABLES!K168</f>
        <v>0</v>
      </c>
      <c r="M200" s="1326">
        <f>VARIABLES!L147-VARIABLES!L168</f>
        <v>0</v>
      </c>
      <c r="N200" s="1326">
        <f>VARIABLES!M147-VARIABLES!M168</f>
        <v>0</v>
      </c>
      <c r="O200" s="1333">
        <f t="shared" si="67"/>
        <v>0</v>
      </c>
    </row>
    <row r="201" spans="1:15" x14ac:dyDescent="0.25">
      <c r="A201" s="1919" t="s">
        <v>447</v>
      </c>
      <c r="B201" s="1919"/>
      <c r="C201" s="1326">
        <f>VARIABLES!B148</f>
        <v>0</v>
      </c>
      <c r="D201" s="1326">
        <f>VARIABLES!C148</f>
        <v>0</v>
      </c>
      <c r="E201" s="1326">
        <f>VARIABLES!D148</f>
        <v>0</v>
      </c>
      <c r="F201" s="1326">
        <f>VARIABLES!E148</f>
        <v>0</v>
      </c>
      <c r="G201" s="1326">
        <f>VARIABLES!F148</f>
        <v>0</v>
      </c>
      <c r="H201" s="1326">
        <f>VARIABLES!G148</f>
        <v>0</v>
      </c>
      <c r="I201" s="1326">
        <f>VARIABLES!H148</f>
        <v>0</v>
      </c>
      <c r="J201" s="1326">
        <f>VARIABLES!I148</f>
        <v>0</v>
      </c>
      <c r="K201" s="1326">
        <f>VARIABLES!J148</f>
        <v>0</v>
      </c>
      <c r="L201" s="1326">
        <f>VARIABLES!K148</f>
        <v>0</v>
      </c>
      <c r="M201" s="1326">
        <f>VARIABLES!L148</f>
        <v>0</v>
      </c>
      <c r="N201" s="1326">
        <f>VARIABLES!M148</f>
        <v>0</v>
      </c>
      <c r="O201" s="1333">
        <f t="shared" si="67"/>
        <v>0</v>
      </c>
    </row>
    <row r="202" spans="1:15" x14ac:dyDescent="0.25">
      <c r="A202" s="1919" t="s">
        <v>448</v>
      </c>
      <c r="B202" s="1919"/>
      <c r="C202" s="1326">
        <f>VARIABLES!B149</f>
        <v>0</v>
      </c>
      <c r="D202" s="1326">
        <f>VARIABLES!C149</f>
        <v>0</v>
      </c>
      <c r="E202" s="1326">
        <f>VARIABLES!D149</f>
        <v>0</v>
      </c>
      <c r="F202" s="1326">
        <f>VARIABLES!E149</f>
        <v>0</v>
      </c>
      <c r="G202" s="1326">
        <f>VARIABLES!F149</f>
        <v>0</v>
      </c>
      <c r="H202" s="1326">
        <f>VARIABLES!G149</f>
        <v>0</v>
      </c>
      <c r="I202" s="1326">
        <f>VARIABLES!H149</f>
        <v>0</v>
      </c>
      <c r="J202" s="1326">
        <f>VARIABLES!I149</f>
        <v>0</v>
      </c>
      <c r="K202" s="1326">
        <f>VARIABLES!J149</f>
        <v>0</v>
      </c>
      <c r="L202" s="1326">
        <f>VARIABLES!K149</f>
        <v>0</v>
      </c>
      <c r="M202" s="1326">
        <f>VARIABLES!L149</f>
        <v>0</v>
      </c>
      <c r="N202" s="1326">
        <f>VARIABLES!M149</f>
        <v>0</v>
      </c>
      <c r="O202" s="1333">
        <f t="shared" si="67"/>
        <v>0</v>
      </c>
    </row>
    <row r="203" spans="1:15" x14ac:dyDescent="0.25">
      <c r="A203" s="1919" t="s">
        <v>449</v>
      </c>
      <c r="B203" s="1919"/>
      <c r="C203" s="1326">
        <f>VARIABLES!B150</f>
        <v>0</v>
      </c>
      <c r="D203" s="1326">
        <f>VARIABLES!C150</f>
        <v>0</v>
      </c>
      <c r="E203" s="1326">
        <f>VARIABLES!D150</f>
        <v>0</v>
      </c>
      <c r="F203" s="1326">
        <f>VARIABLES!E150</f>
        <v>0</v>
      </c>
      <c r="G203" s="1326">
        <f>VARIABLES!F150</f>
        <v>0</v>
      </c>
      <c r="H203" s="1326">
        <f>VARIABLES!G150</f>
        <v>0</v>
      </c>
      <c r="I203" s="1326">
        <f>VARIABLES!H150</f>
        <v>0</v>
      </c>
      <c r="J203" s="1326">
        <f>VARIABLES!I150</f>
        <v>0</v>
      </c>
      <c r="K203" s="1326">
        <f>VARIABLES!J150</f>
        <v>0</v>
      </c>
      <c r="L203" s="1326">
        <f>VARIABLES!K150</f>
        <v>0</v>
      </c>
      <c r="M203" s="1326">
        <f>VARIABLES!L150</f>
        <v>0</v>
      </c>
      <c r="N203" s="1326">
        <f>VARIABLES!M150</f>
        <v>0</v>
      </c>
      <c r="O203" s="1333">
        <f t="shared" si="67"/>
        <v>0</v>
      </c>
    </row>
    <row r="204" spans="1:15" x14ac:dyDescent="0.25">
      <c r="A204" s="1919" t="s">
        <v>450</v>
      </c>
      <c r="B204" s="1919"/>
      <c r="C204" s="1326">
        <f>VARIABLES!B151</f>
        <v>0</v>
      </c>
      <c r="D204" s="1326">
        <f>VARIABLES!C151</f>
        <v>0</v>
      </c>
      <c r="E204" s="1326">
        <f>VARIABLES!D151</f>
        <v>0</v>
      </c>
      <c r="F204" s="1326">
        <f>VARIABLES!E151</f>
        <v>0</v>
      </c>
      <c r="G204" s="1326">
        <f>VARIABLES!F151</f>
        <v>0</v>
      </c>
      <c r="H204" s="1326">
        <f>VARIABLES!G151</f>
        <v>0</v>
      </c>
      <c r="I204" s="1326">
        <f>VARIABLES!H151</f>
        <v>0</v>
      </c>
      <c r="J204" s="1326">
        <f>VARIABLES!I151</f>
        <v>0</v>
      </c>
      <c r="K204" s="1326">
        <f>VARIABLES!J151</f>
        <v>0</v>
      </c>
      <c r="L204" s="1326">
        <f>VARIABLES!K151</f>
        <v>0</v>
      </c>
      <c r="M204" s="1326">
        <f>VARIABLES!L151</f>
        <v>0</v>
      </c>
      <c r="N204" s="1326">
        <f>VARIABLES!M151</f>
        <v>0</v>
      </c>
      <c r="O204" s="1333">
        <f t="shared" si="67"/>
        <v>0</v>
      </c>
    </row>
    <row r="205" spans="1:15" x14ac:dyDescent="0.25">
      <c r="A205" s="1919" t="s">
        <v>451</v>
      </c>
      <c r="B205" s="1919"/>
      <c r="C205" s="1326">
        <f>VARIABLES!B152</f>
        <v>0</v>
      </c>
      <c r="D205" s="1326">
        <f>VARIABLES!C152</f>
        <v>0</v>
      </c>
      <c r="E205" s="1326">
        <f>VARIABLES!D152</f>
        <v>0</v>
      </c>
      <c r="F205" s="1326">
        <f>VARIABLES!E152</f>
        <v>0</v>
      </c>
      <c r="G205" s="1326">
        <f>VARIABLES!F152</f>
        <v>0</v>
      </c>
      <c r="H205" s="1326">
        <f>VARIABLES!G152</f>
        <v>0</v>
      </c>
      <c r="I205" s="1326">
        <f>VARIABLES!H152</f>
        <v>0</v>
      </c>
      <c r="J205" s="1326">
        <f>VARIABLES!I152</f>
        <v>0</v>
      </c>
      <c r="K205" s="1326">
        <f>VARIABLES!J152</f>
        <v>0</v>
      </c>
      <c r="L205" s="1326">
        <f>VARIABLES!K152</f>
        <v>0</v>
      </c>
      <c r="M205" s="1326">
        <f>VARIABLES!L152</f>
        <v>0</v>
      </c>
      <c r="N205" s="1326">
        <f>VARIABLES!M152</f>
        <v>0</v>
      </c>
      <c r="O205" s="1333">
        <f t="shared" si="67"/>
        <v>0</v>
      </c>
    </row>
    <row r="206" spans="1:15" x14ac:dyDescent="0.25">
      <c r="A206" s="1919" t="s">
        <v>452</v>
      </c>
      <c r="B206" s="1919"/>
      <c r="C206" s="1326">
        <f>VARIABLES!B153</f>
        <v>0</v>
      </c>
      <c r="D206" s="1326">
        <f>VARIABLES!C153</f>
        <v>0</v>
      </c>
      <c r="E206" s="1326">
        <f>VARIABLES!D153</f>
        <v>0</v>
      </c>
      <c r="F206" s="1326">
        <f>VARIABLES!E153</f>
        <v>0</v>
      </c>
      <c r="G206" s="1326">
        <f>VARIABLES!F153</f>
        <v>0</v>
      </c>
      <c r="H206" s="1326">
        <f>VARIABLES!G153</f>
        <v>0</v>
      </c>
      <c r="I206" s="1326">
        <f>VARIABLES!H153</f>
        <v>0</v>
      </c>
      <c r="J206" s="1326">
        <f>VARIABLES!I153</f>
        <v>0</v>
      </c>
      <c r="K206" s="1326">
        <f>VARIABLES!J153</f>
        <v>0</v>
      </c>
      <c r="L206" s="1326">
        <f>VARIABLES!K153</f>
        <v>0</v>
      </c>
      <c r="M206" s="1326">
        <f>VARIABLES!L153</f>
        <v>0</v>
      </c>
      <c r="N206" s="1326">
        <f>VARIABLES!M153</f>
        <v>0</v>
      </c>
      <c r="O206" s="1333">
        <f t="shared" si="67"/>
        <v>0</v>
      </c>
    </row>
    <row r="207" spans="1:15" x14ac:dyDescent="0.25">
      <c r="A207" s="1922" t="s">
        <v>453</v>
      </c>
      <c r="B207" s="1922"/>
      <c r="C207" s="1327">
        <f>VARIABLES!B159</f>
        <v>0</v>
      </c>
      <c r="D207" s="1327">
        <f>VARIABLES!C159</f>
        <v>0</v>
      </c>
      <c r="E207" s="1327">
        <f>VARIABLES!D159</f>
        <v>0</v>
      </c>
      <c r="F207" s="1327">
        <f>VARIABLES!E159</f>
        <v>0</v>
      </c>
      <c r="G207" s="1327">
        <f>VARIABLES!F159</f>
        <v>0</v>
      </c>
      <c r="H207" s="1327">
        <f>VARIABLES!G159</f>
        <v>0</v>
      </c>
      <c r="I207" s="1327">
        <f>VARIABLES!H159</f>
        <v>0</v>
      </c>
      <c r="J207" s="1327">
        <f>VARIABLES!I159</f>
        <v>0</v>
      </c>
      <c r="K207" s="1327">
        <f>VARIABLES!J159</f>
        <v>0</v>
      </c>
      <c r="L207" s="1327">
        <f>VARIABLES!K159</f>
        <v>0</v>
      </c>
      <c r="M207" s="1327">
        <f>VARIABLES!L159</f>
        <v>0</v>
      </c>
      <c r="N207" s="1327">
        <f>VARIABLES!M159</f>
        <v>0</v>
      </c>
      <c r="O207" s="1335">
        <f t="shared" si="67"/>
        <v>0</v>
      </c>
    </row>
    <row r="208" spans="1:15" ht="13" x14ac:dyDescent="0.25">
      <c r="A208" s="1914" t="s">
        <v>454</v>
      </c>
      <c r="B208" s="1914"/>
      <c r="C208" s="1324">
        <f t="shared" ref="C208:N208" si="68">C209+C212</f>
        <v>0</v>
      </c>
      <c r="D208" s="1324">
        <f t="shared" si="68"/>
        <v>0</v>
      </c>
      <c r="E208" s="1324">
        <f t="shared" si="68"/>
        <v>0</v>
      </c>
      <c r="F208" s="1324">
        <f t="shared" si="68"/>
        <v>0</v>
      </c>
      <c r="G208" s="1324">
        <f t="shared" si="68"/>
        <v>0</v>
      </c>
      <c r="H208" s="1324">
        <f t="shared" si="68"/>
        <v>0</v>
      </c>
      <c r="I208" s="1324">
        <f t="shared" si="68"/>
        <v>0</v>
      </c>
      <c r="J208" s="1324">
        <f t="shared" si="68"/>
        <v>0</v>
      </c>
      <c r="K208" s="1324">
        <f t="shared" si="68"/>
        <v>0</v>
      </c>
      <c r="L208" s="1324">
        <f t="shared" si="68"/>
        <v>0</v>
      </c>
      <c r="M208" s="1324">
        <f t="shared" si="68"/>
        <v>0</v>
      </c>
      <c r="N208" s="1324">
        <f t="shared" si="68"/>
        <v>0</v>
      </c>
      <c r="O208" s="1325">
        <f>SUM(C208:N208)</f>
        <v>0</v>
      </c>
    </row>
    <row r="209" spans="1:15" x14ac:dyDescent="0.25">
      <c r="A209" s="1919" t="s">
        <v>455</v>
      </c>
      <c r="B209" s="1919"/>
      <c r="C209" s="1326">
        <f t="shared" ref="C209:N209" si="69">SUM(C210:C211)</f>
        <v>0</v>
      </c>
      <c r="D209" s="1326">
        <f t="shared" si="69"/>
        <v>0</v>
      </c>
      <c r="E209" s="1326">
        <f t="shared" si="69"/>
        <v>0</v>
      </c>
      <c r="F209" s="1326">
        <f t="shared" si="69"/>
        <v>0</v>
      </c>
      <c r="G209" s="1326">
        <f t="shared" si="69"/>
        <v>0</v>
      </c>
      <c r="H209" s="1326">
        <f t="shared" si="69"/>
        <v>0</v>
      </c>
      <c r="I209" s="1326">
        <f t="shared" si="69"/>
        <v>0</v>
      </c>
      <c r="J209" s="1326">
        <f t="shared" si="69"/>
        <v>0</v>
      </c>
      <c r="K209" s="1326">
        <f t="shared" si="69"/>
        <v>0</v>
      </c>
      <c r="L209" s="1326">
        <f t="shared" si="69"/>
        <v>0</v>
      </c>
      <c r="M209" s="1326">
        <f t="shared" si="69"/>
        <v>0</v>
      </c>
      <c r="N209" s="1326">
        <f t="shared" si="69"/>
        <v>0</v>
      </c>
      <c r="O209" s="1333">
        <f>SUM(C209:N209)</f>
        <v>0</v>
      </c>
    </row>
    <row r="210" spans="1:15" x14ac:dyDescent="0.25">
      <c r="A210" s="1923" t="s">
        <v>456</v>
      </c>
      <c r="B210" s="1923"/>
      <c r="C210" s="1326">
        <f>PERSONAL!C283</f>
        <v>0</v>
      </c>
      <c r="D210" s="1326">
        <f>PERSONAL!D283</f>
        <v>0</v>
      </c>
      <c r="E210" s="1326">
        <f>PERSONAL!E283</f>
        <v>0</v>
      </c>
      <c r="F210" s="1326">
        <f>PERSONAL!F283</f>
        <v>0</v>
      </c>
      <c r="G210" s="1326">
        <f>PERSONAL!G283</f>
        <v>0</v>
      </c>
      <c r="H210" s="1326">
        <f>PERSONAL!H283</f>
        <v>0</v>
      </c>
      <c r="I210" s="1326">
        <f>PERSONAL!I283</f>
        <v>0</v>
      </c>
      <c r="J210" s="1326">
        <f>PERSONAL!J283</f>
        <v>0</v>
      </c>
      <c r="K210" s="1326">
        <f>PERSONAL!K283</f>
        <v>0</v>
      </c>
      <c r="L210" s="1326">
        <f>PERSONAL!L283</f>
        <v>0</v>
      </c>
      <c r="M210" s="1326">
        <f>PERSONAL!M283</f>
        <v>0</v>
      </c>
      <c r="N210" s="1326">
        <f>PERSONAL!N283</f>
        <v>0</v>
      </c>
      <c r="O210" s="1333">
        <f t="shared" ref="O210:O223" si="70">SUM(C210:N210)</f>
        <v>0</v>
      </c>
    </row>
    <row r="211" spans="1:15" x14ac:dyDescent="0.25">
      <c r="A211" s="1923" t="s">
        <v>75</v>
      </c>
      <c r="B211" s="1923"/>
      <c r="C211" s="1326">
        <f>PROMOTORS!C280</f>
        <v>0</v>
      </c>
      <c r="D211" s="1326">
        <f>PROMOTORS!D280</f>
        <v>0</v>
      </c>
      <c r="E211" s="1326">
        <f>PROMOTORS!E280</f>
        <v>0</v>
      </c>
      <c r="F211" s="1326">
        <f>PROMOTORS!F280</f>
        <v>0</v>
      </c>
      <c r="G211" s="1326">
        <f>PROMOTORS!G280</f>
        <v>0</v>
      </c>
      <c r="H211" s="1326">
        <f>PROMOTORS!H280</f>
        <v>0</v>
      </c>
      <c r="I211" s="1326">
        <f>PROMOTORS!I280</f>
        <v>0</v>
      </c>
      <c r="J211" s="1326">
        <f>PROMOTORS!J280</f>
        <v>0</v>
      </c>
      <c r="K211" s="1326">
        <f>PROMOTORS!K280</f>
        <v>0</v>
      </c>
      <c r="L211" s="1326">
        <f>PROMOTORS!L280</f>
        <v>0</v>
      </c>
      <c r="M211" s="1326">
        <f>PROMOTORS!M280</f>
        <v>0</v>
      </c>
      <c r="N211" s="1326">
        <f>PROMOTORS!N280</f>
        <v>0</v>
      </c>
      <c r="O211" s="1333">
        <f t="shared" si="70"/>
        <v>0</v>
      </c>
    </row>
    <row r="212" spans="1:15" x14ac:dyDescent="0.25">
      <c r="A212" s="1919" t="s">
        <v>457</v>
      </c>
      <c r="B212" s="1919"/>
      <c r="C212" s="1326">
        <f>SUM(C213:C215)</f>
        <v>0</v>
      </c>
      <c r="D212" s="1326">
        <f t="shared" ref="D212:N212" si="71">SUM(D213:D215)</f>
        <v>0</v>
      </c>
      <c r="E212" s="1326">
        <f t="shared" si="71"/>
        <v>0</v>
      </c>
      <c r="F212" s="1326">
        <f t="shared" si="71"/>
        <v>0</v>
      </c>
      <c r="G212" s="1326">
        <f t="shared" si="71"/>
        <v>0</v>
      </c>
      <c r="H212" s="1326">
        <f t="shared" si="71"/>
        <v>0</v>
      </c>
      <c r="I212" s="1326">
        <f t="shared" si="71"/>
        <v>0</v>
      </c>
      <c r="J212" s="1326">
        <f t="shared" si="71"/>
        <v>0</v>
      </c>
      <c r="K212" s="1326">
        <f t="shared" si="71"/>
        <v>0</v>
      </c>
      <c r="L212" s="1326">
        <f t="shared" si="71"/>
        <v>0</v>
      </c>
      <c r="M212" s="1326">
        <f t="shared" si="71"/>
        <v>0</v>
      </c>
      <c r="N212" s="1326">
        <f t="shared" si="71"/>
        <v>0</v>
      </c>
      <c r="O212" s="1333">
        <f t="shared" si="70"/>
        <v>0</v>
      </c>
    </row>
    <row r="213" spans="1:15" x14ac:dyDescent="0.25">
      <c r="A213" s="1923" t="s">
        <v>458</v>
      </c>
      <c r="B213" s="1923"/>
      <c r="C213" s="1326">
        <f>PERSONAL!N161</f>
        <v>0</v>
      </c>
      <c r="D213" s="1326">
        <f>PERSONAL!C258</f>
        <v>0</v>
      </c>
      <c r="E213" s="1326">
        <f>PERSONAL!D258</f>
        <v>0</v>
      </c>
      <c r="F213" s="1326">
        <f>PERSONAL!E258</f>
        <v>0</v>
      </c>
      <c r="G213" s="1326">
        <f>PERSONAL!F258</f>
        <v>0</v>
      </c>
      <c r="H213" s="1326">
        <f>PERSONAL!G258</f>
        <v>0</v>
      </c>
      <c r="I213" s="1326">
        <f>PERSONAL!H258</f>
        <v>0</v>
      </c>
      <c r="J213" s="1326">
        <f>PERSONAL!I258</f>
        <v>0</v>
      </c>
      <c r="K213" s="1326">
        <f>PERSONAL!J258</f>
        <v>0</v>
      </c>
      <c r="L213" s="1326">
        <f>PERSONAL!K258</f>
        <v>0</v>
      </c>
      <c r="M213" s="1326">
        <f>PERSONAL!L258</f>
        <v>0</v>
      </c>
      <c r="N213" s="1326">
        <f>PERSONAL!M258</f>
        <v>0</v>
      </c>
      <c r="O213" s="1333">
        <f t="shared" si="70"/>
        <v>0</v>
      </c>
    </row>
    <row r="214" spans="1:15" x14ac:dyDescent="0.25">
      <c r="A214" s="1923" t="s">
        <v>456</v>
      </c>
      <c r="B214" s="1923"/>
      <c r="C214" s="1326">
        <f>PERSONAL!N167</f>
        <v>0</v>
      </c>
      <c r="D214" s="1326">
        <f>PERSONAL!C264</f>
        <v>0</v>
      </c>
      <c r="E214" s="1326">
        <f>PERSONAL!D264</f>
        <v>0</v>
      </c>
      <c r="F214" s="1326">
        <f>PERSONAL!E264</f>
        <v>0</v>
      </c>
      <c r="G214" s="1326">
        <f>PERSONAL!F264</f>
        <v>0</v>
      </c>
      <c r="H214" s="1326">
        <f>PERSONAL!G264</f>
        <v>0</v>
      </c>
      <c r="I214" s="1326">
        <f>PERSONAL!H264</f>
        <v>0</v>
      </c>
      <c r="J214" s="1326">
        <f>PERSONAL!I264</f>
        <v>0</v>
      </c>
      <c r="K214" s="1326">
        <f>PERSONAL!J264</f>
        <v>0</v>
      </c>
      <c r="L214" s="1326">
        <f>PERSONAL!K264</f>
        <v>0</v>
      </c>
      <c r="M214" s="1326">
        <f>PERSONAL!L264</f>
        <v>0</v>
      </c>
      <c r="N214" s="1326">
        <f>PERSONAL!M264</f>
        <v>0</v>
      </c>
      <c r="O214" s="1333">
        <f t="shared" si="70"/>
        <v>0</v>
      </c>
    </row>
    <row r="215" spans="1:15" x14ac:dyDescent="0.25">
      <c r="A215" s="1924" t="s">
        <v>75</v>
      </c>
      <c r="B215" s="1924"/>
      <c r="C215" s="1327">
        <f>PROMOTORS!N145</f>
        <v>0</v>
      </c>
      <c r="D215" s="1327">
        <f>PROMOTORS!C246</f>
        <v>0</v>
      </c>
      <c r="E215" s="1327">
        <f>PROMOTORS!D246</f>
        <v>0</v>
      </c>
      <c r="F215" s="1327">
        <f>PROMOTORS!E246</f>
        <v>0</v>
      </c>
      <c r="G215" s="1327">
        <f>PROMOTORS!F246</f>
        <v>0</v>
      </c>
      <c r="H215" s="1327">
        <f>PROMOTORS!G246</f>
        <v>0</v>
      </c>
      <c r="I215" s="1327">
        <f>PROMOTORS!H246</f>
        <v>0</v>
      </c>
      <c r="J215" s="1327">
        <f>PROMOTORS!I246</f>
        <v>0</v>
      </c>
      <c r="K215" s="1327">
        <f>PROMOTORS!J246</f>
        <v>0</v>
      </c>
      <c r="L215" s="1327">
        <f>PROMOTORS!K246</f>
        <v>0</v>
      </c>
      <c r="M215" s="1327">
        <f>PROMOTORS!L246</f>
        <v>0</v>
      </c>
      <c r="N215" s="1327">
        <f>PROMOTORS!M246</f>
        <v>0</v>
      </c>
      <c r="O215" s="1335">
        <f t="shared" si="70"/>
        <v>0</v>
      </c>
    </row>
    <row r="216" spans="1:15" ht="13" x14ac:dyDescent="0.25">
      <c r="A216" s="1914" t="s">
        <v>459</v>
      </c>
      <c r="B216" s="1914"/>
      <c r="C216" s="1324">
        <f>SUM(C217:C219)</f>
        <v>0</v>
      </c>
      <c r="D216" s="1324">
        <f t="shared" ref="D216:N216" si="72">SUM(D217:D219)</f>
        <v>0</v>
      </c>
      <c r="E216" s="1324">
        <f t="shared" si="72"/>
        <v>0</v>
      </c>
      <c r="F216" s="1324">
        <f t="shared" si="72"/>
        <v>0</v>
      </c>
      <c r="G216" s="1324">
        <f t="shared" si="72"/>
        <v>0</v>
      </c>
      <c r="H216" s="1324">
        <f t="shared" si="72"/>
        <v>0</v>
      </c>
      <c r="I216" s="1324">
        <f t="shared" si="72"/>
        <v>0</v>
      </c>
      <c r="J216" s="1324">
        <f t="shared" si="72"/>
        <v>0</v>
      </c>
      <c r="K216" s="1324">
        <f t="shared" si="72"/>
        <v>0</v>
      </c>
      <c r="L216" s="1324">
        <f t="shared" si="72"/>
        <v>0</v>
      </c>
      <c r="M216" s="1324">
        <f t="shared" si="72"/>
        <v>0</v>
      </c>
      <c r="N216" s="1324">
        <f t="shared" si="72"/>
        <v>0</v>
      </c>
      <c r="O216" s="1325">
        <f t="shared" si="70"/>
        <v>0</v>
      </c>
    </row>
    <row r="217" spans="1:15" x14ac:dyDescent="0.25">
      <c r="A217" s="1915" t="s">
        <v>392</v>
      </c>
      <c r="B217" s="1915"/>
      <c r="C217" s="1326">
        <f>IF(C181="ENERO",TRIBUTS!$F18,0)</f>
        <v>0</v>
      </c>
      <c r="D217" s="1326">
        <f>IF(D181="ENERO",TRIBUTS!$F18,0)</f>
        <v>0</v>
      </c>
      <c r="E217" s="1326">
        <f>IF(E181="ENERO",TRIBUTS!$F18,0)</f>
        <v>0</v>
      </c>
      <c r="F217" s="1326">
        <f>IF(F181="ENERO",TRIBUTS!$F18,0)</f>
        <v>0</v>
      </c>
      <c r="G217" s="1326">
        <f>IF(G181="ENERO",TRIBUTS!$F18,0)</f>
        <v>0</v>
      </c>
      <c r="H217" s="1326">
        <f>IF(H181="ENERO",TRIBUTS!$F18,0)</f>
        <v>0</v>
      </c>
      <c r="I217" s="1326">
        <f>IF(I181="ENERO",TRIBUTS!$F18,0)</f>
        <v>0</v>
      </c>
      <c r="J217" s="1326">
        <f>IF(J181="ENERO",TRIBUTS!$F18,0)</f>
        <v>0</v>
      </c>
      <c r="K217" s="1326">
        <f>IF(K181="ENERO",TRIBUTS!$F18,0)</f>
        <v>0</v>
      </c>
      <c r="L217" s="1326">
        <f>IF(L181="ENERO",TRIBUTS!$F18,0)</f>
        <v>0</v>
      </c>
      <c r="M217" s="1326">
        <f>IF(M181="ENERO",TRIBUTS!$F18,0)</f>
        <v>0</v>
      </c>
      <c r="N217" s="1326">
        <f>IF(N181="ENERO",TRIBUTS!$F18,0)</f>
        <v>0</v>
      </c>
      <c r="O217" s="1333">
        <f t="shared" si="70"/>
        <v>0</v>
      </c>
    </row>
    <row r="218" spans="1:15" x14ac:dyDescent="0.25">
      <c r="A218" s="1915" t="s">
        <v>163</v>
      </c>
      <c r="B218" s="1915"/>
      <c r="C218" s="1326">
        <f>TRIBUTS!C54</f>
        <v>0</v>
      </c>
      <c r="D218" s="1326">
        <f>TRIBUTS!D54</f>
        <v>0</v>
      </c>
      <c r="E218" s="1326">
        <f>TRIBUTS!E54</f>
        <v>0</v>
      </c>
      <c r="F218" s="1326">
        <f>TRIBUTS!F54</f>
        <v>0</v>
      </c>
      <c r="G218" s="1326">
        <f>TRIBUTS!G54</f>
        <v>0</v>
      </c>
      <c r="H218" s="1326">
        <f>TRIBUTS!H54</f>
        <v>0</v>
      </c>
      <c r="I218" s="1326">
        <f>TRIBUTS!I54</f>
        <v>0</v>
      </c>
      <c r="J218" s="1326">
        <f>TRIBUTS!J54</f>
        <v>0</v>
      </c>
      <c r="K218" s="1326">
        <f>TRIBUTS!K54</f>
        <v>0</v>
      </c>
      <c r="L218" s="1326">
        <f>TRIBUTS!L54</f>
        <v>0</v>
      </c>
      <c r="M218" s="1326">
        <f>TRIBUTS!M54</f>
        <v>0</v>
      </c>
      <c r="N218" s="1326">
        <f>TRIBUTS!N54</f>
        <v>0</v>
      </c>
      <c r="O218" s="1333">
        <f t="shared" si="70"/>
        <v>0</v>
      </c>
    </row>
    <row r="219" spans="1:15" x14ac:dyDescent="0.25">
      <c r="A219" s="1925" t="str">
        <f>+A49</f>
        <v>Pagos a cuenta</v>
      </c>
      <c r="B219" s="1925"/>
      <c r="C219" s="1326">
        <f>IF(Fiscalitat!$H$21="e",+VARIABLES!B190,IF(OR(C181="ABRIL",C181="JULIOL",C181="OCTUBRE",C181="GENER"),VARIABLES!$N126,0)+VARIABLES!B190)</f>
        <v>0</v>
      </c>
      <c r="D219" s="1326">
        <f>IF(Fiscalitat!$H$21="e",+VARIABLES!C190,IF(OR(D181="ABRIL",D181="JULIOL",D181="OCTUBRE",D181="GENER"),VARIABLES!$N126,0)+VARIABLES!C190)</f>
        <v>0</v>
      </c>
      <c r="E219" s="1326">
        <f>IF(Fiscalitat!$H$21="e",+VARIABLES!D190,IF(OR(E181="ABRIL",E181="JULIOL",E181="OCTUBRE",E181="GENER"),VARIABLES!$N126,0)+VARIABLES!D190)</f>
        <v>0</v>
      </c>
      <c r="F219" s="1326">
        <f>+VARIABLES!E190</f>
        <v>0</v>
      </c>
      <c r="G219" s="1326">
        <f>+VARIABLES!F190</f>
        <v>0</v>
      </c>
      <c r="H219" s="1326">
        <f>+VARIABLES!G190</f>
        <v>0</v>
      </c>
      <c r="I219" s="1326">
        <f>+VARIABLES!H190</f>
        <v>0</v>
      </c>
      <c r="J219" s="1326">
        <f>+VARIABLES!I190</f>
        <v>0</v>
      </c>
      <c r="K219" s="1326">
        <f>+VARIABLES!J190</f>
        <v>0</v>
      </c>
      <c r="L219" s="1326">
        <f>+VARIABLES!K190</f>
        <v>0</v>
      </c>
      <c r="M219" s="1326">
        <f>+VARIABLES!L190</f>
        <v>0</v>
      </c>
      <c r="N219" s="1326">
        <f>+VARIABLES!M190</f>
        <v>0</v>
      </c>
      <c r="O219" s="1333">
        <f t="shared" si="70"/>
        <v>0</v>
      </c>
    </row>
    <row r="220" spans="1:15" ht="13" x14ac:dyDescent="0.25">
      <c r="A220" s="1917" t="s">
        <v>28</v>
      </c>
      <c r="B220" s="1917"/>
      <c r="C220" s="1328">
        <f>+IF(OR(Fiscalitat!$H$21="a",Fiscalitat!$H$21="B",Fiscalitat!$H$21="D"),INVERSIONS!B95,INVERSIONS!C95)</f>
        <v>0</v>
      </c>
      <c r="D220" s="1328">
        <f>+IF(OR(Fiscalitat!$H$21="a",Fiscalitat!$H$21="B",Fiscalitat!$H$21="D"),INVERSIONS!D95,INVERSIONS!E95)</f>
        <v>0</v>
      </c>
      <c r="E220" s="1328">
        <f>+IF(OR(Fiscalitat!$H$21="a",Fiscalitat!$H$21="B",Fiscalitat!$H$21="D"),INVERSIONS!F95,INVERSIONS!G95)</f>
        <v>0</v>
      </c>
      <c r="F220" s="1328">
        <f>+IF(OR(Fiscalitat!$H$21="a",Fiscalitat!$H$21="B",Fiscalitat!$H$21="D"),INVERSIONS!H95,INVERSIONS!I95)</f>
        <v>0</v>
      </c>
      <c r="G220" s="1328">
        <f>+IF(OR(Fiscalitat!$H$21="a",Fiscalitat!$H$21="B",Fiscalitat!$H$21="D"),INVERSIONS!J95,INVERSIONS!K95)</f>
        <v>0</v>
      </c>
      <c r="H220" s="1328">
        <f>+IF(OR(Fiscalitat!$H$21="a",Fiscalitat!$H$21="B",Fiscalitat!$H$21="D"),INVERSIONS!L95,INVERSIONS!M95)</f>
        <v>0</v>
      </c>
      <c r="I220" s="1328">
        <f>+IF(OR(Fiscalitat!$H$21="a",Fiscalitat!$H$21="B",Fiscalitat!$H$21="D"),INVERSIONS!N95,INVERSIONS!O95)</f>
        <v>0</v>
      </c>
      <c r="J220" s="1328">
        <f>+IF(OR(Fiscalitat!$H$21="a",Fiscalitat!$H$21="B",Fiscalitat!$H$21="D"),INVERSIONS!P95,INVERSIONS!Q95)</f>
        <v>0</v>
      </c>
      <c r="K220" s="1328">
        <f>+IF(OR(Fiscalitat!$H$21="a",Fiscalitat!$H$21="B",Fiscalitat!$H$21="D"),INVERSIONS!R95,INVERSIONS!S95)</f>
        <v>0</v>
      </c>
      <c r="L220" s="1328">
        <f>+IF(OR(Fiscalitat!$H$21="a",Fiscalitat!$H$21="B",Fiscalitat!$H$21="D"),INVERSIONS!T95,INVERSIONS!U95)</f>
        <v>0</v>
      </c>
      <c r="M220" s="1328">
        <f>+IF(OR(Fiscalitat!$H$21="a",Fiscalitat!$H$21="B",Fiscalitat!$H$21="D"),INVERSIONS!V95,INVERSIONS!W95)</f>
        <v>0</v>
      </c>
      <c r="N220" s="1328">
        <f>+IF(OR(Fiscalitat!$H$21="a",Fiscalitat!$H$21="B",Fiscalitat!$H$21="D"),INVERSIONS!X95,INVERSIONS!Y95)</f>
        <v>0</v>
      </c>
      <c r="O220" s="1329">
        <f t="shared" si="70"/>
        <v>0</v>
      </c>
    </row>
    <row r="221" spans="1:15" ht="13" x14ac:dyDescent="0.25">
      <c r="A221" s="1917" t="s">
        <v>460</v>
      </c>
      <c r="B221" s="1917"/>
      <c r="C221" s="1328">
        <f>B242+N157+PRÉSTECS!BA18+LEASING!CQ12</f>
        <v>0</v>
      </c>
      <c r="D221" s="1328">
        <f>C242+O157+PRÉSTECS!BB18+LEASING!CR12</f>
        <v>0</v>
      </c>
      <c r="E221" s="1328">
        <f>D242+P157+PRÉSTECS!BC18+LEASING!CS12</f>
        <v>0</v>
      </c>
      <c r="F221" s="1328">
        <f>E242+Q157+PRÉSTECS!BD18+LEASING!CT12</f>
        <v>0</v>
      </c>
      <c r="G221" s="1328">
        <f>F242+R157+PRÉSTECS!BE18+LEASING!CU12</f>
        <v>0</v>
      </c>
      <c r="H221" s="1328">
        <f>G242+S157+PRÉSTECS!BF18+LEASING!CV12</f>
        <v>0</v>
      </c>
      <c r="I221" s="1328">
        <f>H242+T157+PRÉSTECS!BG18+LEASING!CW12</f>
        <v>0</v>
      </c>
      <c r="J221" s="1328">
        <f>I242+U157+PRÉSTECS!BH18+LEASING!CX12</f>
        <v>0</v>
      </c>
      <c r="K221" s="1328">
        <f>J242+V157+PRÉSTECS!BI18+LEASING!CY12</f>
        <v>0</v>
      </c>
      <c r="L221" s="1328">
        <f>K242+W157+PRÉSTECS!BJ18+LEASING!CZ12</f>
        <v>0</v>
      </c>
      <c r="M221" s="1328">
        <f>L242+X157+PRÉSTECS!BK18+LEASING!DA12</f>
        <v>0</v>
      </c>
      <c r="N221" s="1328">
        <f>M242+Y157+PRÉSTECS!BL18+LEASING!DB12</f>
        <v>0</v>
      </c>
      <c r="O221" s="1329">
        <f t="shared" si="70"/>
        <v>0</v>
      </c>
    </row>
    <row r="222" spans="1:15" ht="13" x14ac:dyDescent="0.25">
      <c r="A222" s="1917" t="s">
        <v>461</v>
      </c>
      <c r="B222" s="1917"/>
      <c r="C222" s="1328">
        <f>PRÉSTECS!BA19</f>
        <v>0</v>
      </c>
      <c r="D222" s="1328">
        <f>PRÉSTECS!BB19</f>
        <v>0</v>
      </c>
      <c r="E222" s="1328">
        <f>PRÉSTECS!BC19</f>
        <v>0</v>
      </c>
      <c r="F222" s="1328">
        <f>PRÉSTECS!BD19</f>
        <v>0</v>
      </c>
      <c r="G222" s="1328">
        <f>PRÉSTECS!BE19</f>
        <v>0</v>
      </c>
      <c r="H222" s="1328">
        <f>PRÉSTECS!BF19</f>
        <v>0</v>
      </c>
      <c r="I222" s="1328">
        <f>PRÉSTECS!BG19</f>
        <v>0</v>
      </c>
      <c r="J222" s="1328">
        <f>PRÉSTECS!BH19</f>
        <v>0</v>
      </c>
      <c r="K222" s="1328">
        <f>PRÉSTECS!BI19</f>
        <v>0</v>
      </c>
      <c r="L222" s="1328">
        <f>PRÉSTECS!BJ19</f>
        <v>0</v>
      </c>
      <c r="M222" s="1328">
        <f>PRÉSTECS!BK19</f>
        <v>0</v>
      </c>
      <c r="N222" s="1328">
        <f>PRÉSTECS!BL19</f>
        <v>0</v>
      </c>
      <c r="O222" s="1329">
        <f t="shared" si="70"/>
        <v>0</v>
      </c>
    </row>
    <row r="223" spans="1:15" ht="13" x14ac:dyDescent="0.25">
      <c r="A223" s="1917" t="s">
        <v>423</v>
      </c>
      <c r="B223" s="1917"/>
      <c r="C223" s="1328">
        <f>IF(OR(Fiscalitat!$H$21="a",Fiscalitat!$H$21="B",Fiscalitat!$H$21="D"),0,C194*MERCADERIES!$DO165+'INGRESSOS _ COMPRES'!Q195+(VARIABLES!B144+C199+VARIABLES!B147+C201+C202+C205+C206+C207)*VARIABLES!$F134+VARIABLES!B177+LEASING!CQ14)</f>
        <v>0</v>
      </c>
      <c r="D223" s="1328">
        <f>IF(OR(Fiscalitat!$H$21="a",Fiscalitat!$H$21="B",Fiscalitat!$H$21="D"),0,D194*MERCADERIES!$DO165+'INGRESSOS _ COMPRES'!R195+(VARIABLES!C144+D199+VARIABLES!C147+D201+D202+D205+D206+D207)*VARIABLES!$F134+VARIABLES!C177+LEASING!CR14)</f>
        <v>0</v>
      </c>
      <c r="E223" s="1328">
        <f>IF(OR(Fiscalitat!$H$21="a",Fiscalitat!$H$21="B",Fiscalitat!$H$21="D"),0,E194*MERCADERIES!$DO165+'INGRESSOS _ COMPRES'!S195+(VARIABLES!D144+E199+VARIABLES!D147+E201+E202+E205+E206+E207)*VARIABLES!$F134+VARIABLES!D177+LEASING!CS14)</f>
        <v>0</v>
      </c>
      <c r="F223" s="1328">
        <f>IF(OR(Fiscalitat!$H$21="a",Fiscalitat!$H$21="B",Fiscalitat!$H$21="D"),0,F194*MERCADERIES!$DO165+'INGRESSOS _ COMPRES'!T195+(VARIABLES!E144+F199+VARIABLES!E147+F201+F202+F205+F206+F207)*VARIABLES!$F134+VARIABLES!E177+LEASING!CT14)</f>
        <v>0</v>
      </c>
      <c r="G223" s="1328">
        <f>IF(OR(Fiscalitat!$H$21="a",Fiscalitat!$H$21="B",Fiscalitat!$H$21="D"),0,G194*MERCADERIES!$DO165+'INGRESSOS _ COMPRES'!U195+(VARIABLES!F144+G199+VARIABLES!F147+G201+G202+G205+G206+G207)*VARIABLES!$F134+VARIABLES!F177+LEASING!CU14)</f>
        <v>0</v>
      </c>
      <c r="H223" s="1328">
        <f>IF(OR(Fiscalitat!$H$21="a",Fiscalitat!$H$21="B",Fiscalitat!$H$21="D"),0,H194*MERCADERIES!$DO165+'INGRESSOS _ COMPRES'!V195+(VARIABLES!G144+H199+VARIABLES!G147+H201+H202+H205+H206+H207)*VARIABLES!$F134+VARIABLES!G177+LEASING!CV14)</f>
        <v>0</v>
      </c>
      <c r="I223" s="1328">
        <f>IF(OR(Fiscalitat!$H$21="a",Fiscalitat!$H$21="B",Fiscalitat!$H$21="D"),0,I194*MERCADERIES!$DO165+'INGRESSOS _ COMPRES'!W195+(VARIABLES!H144+I199+VARIABLES!H147+I201+I202+I205+I206+I207)*VARIABLES!$F134+VARIABLES!H177+LEASING!CW14)</f>
        <v>0</v>
      </c>
      <c r="J223" s="1328">
        <f>IF(OR(Fiscalitat!$H$21="a",Fiscalitat!$H$21="B",Fiscalitat!$H$21="D"),0,J194*MERCADERIES!$DO165+'INGRESSOS _ COMPRES'!X195+(VARIABLES!I144+J199+VARIABLES!I147+J201+J202+J205+J206+J207)*VARIABLES!$F134+VARIABLES!I177+LEASING!CX14)</f>
        <v>0</v>
      </c>
      <c r="K223" s="1328">
        <f>IF(OR(Fiscalitat!$H$21="a",Fiscalitat!$H$21="B",Fiscalitat!$H$21="D"),0,K194*MERCADERIES!$DO165+'INGRESSOS _ COMPRES'!Y195+(VARIABLES!J144+K199+VARIABLES!J147+K201+K202+K205+K206+K207)*VARIABLES!$F134+VARIABLES!J177+LEASING!CY14)</f>
        <v>0</v>
      </c>
      <c r="L223" s="1328">
        <f>IF(OR(Fiscalitat!$H$21="a",Fiscalitat!$H$21="B",Fiscalitat!$H$21="D"),0,L194*MERCADERIES!$DO165+'INGRESSOS _ COMPRES'!Z195+(VARIABLES!K144+L199+VARIABLES!K147+L201+L202+L205+L206+L207)*VARIABLES!$F134+VARIABLES!K177+LEASING!CZ14)</f>
        <v>0</v>
      </c>
      <c r="M223" s="1328">
        <f>IF(OR(Fiscalitat!$H$21="a",Fiscalitat!$H$21="B",Fiscalitat!$H$21="D"),0,M194*MERCADERIES!$DO165+'INGRESSOS _ COMPRES'!AA195+(VARIABLES!L144+M199+VARIABLES!L147+M201+M202+M205+M206+M207)*VARIABLES!$F134+VARIABLES!L177+LEASING!DA14)</f>
        <v>0</v>
      </c>
      <c r="N223" s="1328">
        <f>IF(OR(Fiscalitat!$H$21="a",Fiscalitat!$H$21="B",Fiscalitat!$H$21="D"),0,N194*MERCADERIES!$DO165+'INGRESSOS _ COMPRES'!AB195+(VARIABLES!M144+N199+VARIABLES!M147+N201+N202+N205+N206+N207)*VARIABLES!$F134+VARIABLES!M177+LEASING!DB14)</f>
        <v>0</v>
      </c>
      <c r="O223" s="1329">
        <f t="shared" si="70"/>
        <v>0</v>
      </c>
    </row>
    <row r="224" spans="1:15" ht="13" x14ac:dyDescent="0.25">
      <c r="A224" s="1918" t="s">
        <v>462</v>
      </c>
      <c r="B224" s="1918"/>
      <c r="C224" s="1330">
        <f>C193+C196+C208+C216+SUM(C220:C223)</f>
        <v>0</v>
      </c>
      <c r="D224" s="1330">
        <f t="shared" ref="D224:O224" si="73">D193+D196+D208+D216+SUM(D220:D223)</f>
        <v>0</v>
      </c>
      <c r="E224" s="1330">
        <f t="shared" si="73"/>
        <v>0</v>
      </c>
      <c r="F224" s="1330">
        <f t="shared" si="73"/>
        <v>0</v>
      </c>
      <c r="G224" s="1330">
        <f t="shared" si="73"/>
        <v>0</v>
      </c>
      <c r="H224" s="1330">
        <f t="shared" si="73"/>
        <v>0</v>
      </c>
      <c r="I224" s="1330">
        <f t="shared" si="73"/>
        <v>0</v>
      </c>
      <c r="J224" s="1330">
        <f t="shared" si="73"/>
        <v>0</v>
      </c>
      <c r="K224" s="1330">
        <f t="shared" si="73"/>
        <v>0</v>
      </c>
      <c r="L224" s="1330">
        <f t="shared" si="73"/>
        <v>0</v>
      </c>
      <c r="M224" s="1330">
        <f t="shared" si="73"/>
        <v>0</v>
      </c>
      <c r="N224" s="1330">
        <f t="shared" si="73"/>
        <v>0</v>
      </c>
      <c r="O224" s="1330">
        <f t="shared" si="73"/>
        <v>0</v>
      </c>
    </row>
    <row r="225" spans="1:16" x14ac:dyDescent="0.25">
      <c r="C225" s="1331"/>
      <c r="D225" s="1331"/>
      <c r="E225" s="1331"/>
      <c r="F225" s="1331"/>
      <c r="G225" s="1331"/>
      <c r="H225" s="1331"/>
      <c r="I225" s="1331"/>
      <c r="J225" s="1331"/>
      <c r="K225" s="1331"/>
      <c r="L225" s="1331"/>
      <c r="M225" s="1331"/>
      <c r="N225" s="1331"/>
      <c r="O225" s="1331"/>
    </row>
    <row r="226" spans="1:16" ht="13" x14ac:dyDescent="0.25">
      <c r="A226" s="1926" t="s">
        <v>255</v>
      </c>
      <c r="B226" s="1926"/>
      <c r="C226" s="1330">
        <f>O144+'Pla inversions i finançament'!D33-'Pla inversions i finançament'!D15-'Pla inversions i finançament'!D6-'Pla inversions i finançament'!D2-'Pla inversions i finançament'!D31</f>
        <v>0</v>
      </c>
      <c r="D226" s="1330">
        <f>C229+C240-C231</f>
        <v>0</v>
      </c>
      <c r="E226" s="1330">
        <f t="shared" ref="E226:N226" si="74">D229+D230-D231</f>
        <v>0</v>
      </c>
      <c r="F226" s="1330">
        <f t="shared" si="74"/>
        <v>0</v>
      </c>
      <c r="G226" s="1330">
        <f t="shared" si="74"/>
        <v>0</v>
      </c>
      <c r="H226" s="1330">
        <f t="shared" si="74"/>
        <v>0</v>
      </c>
      <c r="I226" s="1330">
        <f t="shared" si="74"/>
        <v>0</v>
      </c>
      <c r="J226" s="1330">
        <f t="shared" si="74"/>
        <v>0</v>
      </c>
      <c r="K226" s="1330">
        <f t="shared" si="74"/>
        <v>0</v>
      </c>
      <c r="L226" s="1330">
        <f t="shared" si="74"/>
        <v>0</v>
      </c>
      <c r="M226" s="1330">
        <f t="shared" si="74"/>
        <v>0</v>
      </c>
      <c r="N226" s="1330">
        <f t="shared" si="74"/>
        <v>0</v>
      </c>
      <c r="O226" s="1330">
        <f>C226</f>
        <v>0</v>
      </c>
    </row>
    <row r="227" spans="1:16" ht="13" x14ac:dyDescent="0.25">
      <c r="A227" s="1926" t="s">
        <v>463</v>
      </c>
      <c r="B227" s="1926"/>
      <c r="C227" s="1330">
        <f t="shared" ref="C227:O227" si="75">C190-C224</f>
        <v>0</v>
      </c>
      <c r="D227" s="1330">
        <f t="shared" si="75"/>
        <v>0</v>
      </c>
      <c r="E227" s="1330">
        <f t="shared" si="75"/>
        <v>0</v>
      </c>
      <c r="F227" s="1330">
        <f t="shared" si="75"/>
        <v>0</v>
      </c>
      <c r="G227" s="1330">
        <f t="shared" si="75"/>
        <v>0</v>
      </c>
      <c r="H227" s="1330">
        <f t="shared" si="75"/>
        <v>0</v>
      </c>
      <c r="I227" s="1330">
        <f t="shared" si="75"/>
        <v>0</v>
      </c>
      <c r="J227" s="1330">
        <f t="shared" si="75"/>
        <v>0</v>
      </c>
      <c r="K227" s="1330">
        <f t="shared" si="75"/>
        <v>0</v>
      </c>
      <c r="L227" s="1330">
        <f t="shared" si="75"/>
        <v>0</v>
      </c>
      <c r="M227" s="1330">
        <f t="shared" si="75"/>
        <v>0</v>
      </c>
      <c r="N227" s="1330">
        <f t="shared" si="75"/>
        <v>0</v>
      </c>
      <c r="O227" s="1330">
        <f t="shared" si="75"/>
        <v>0</v>
      </c>
    </row>
    <row r="228" spans="1:16" ht="13" x14ac:dyDescent="0.25">
      <c r="A228" s="1927" t="str">
        <f>+A58</f>
        <v>LIQUIDACIÓN IVA</v>
      </c>
      <c r="B228" s="1927"/>
      <c r="C228" s="1328">
        <f>IF(OR($C$181="ABRIL",$C$181="JULIOL",$C$181="OCTUBRE",$C$181="GENER"),VARIABLES!$N117,0)</f>
        <v>0</v>
      </c>
      <c r="D228" s="1328">
        <f>IF(OR($D$181="ABRIL",$D$181="JULIOL",$D$181="OCTUBRE",$D$181="GENER"),VARIABLES!$N117,0)+VARIABLES!B179</f>
        <v>0</v>
      </c>
      <c r="E228" s="1328">
        <f>IF(OR(E181="ABRIL",E181="JULIOL",E181="OCTUBRE",E181="GENER"),VARIABLES!$N117,0)+VARIABLES!C179</f>
        <v>0</v>
      </c>
      <c r="F228" s="1328">
        <f>VARIABLES!D179</f>
        <v>0</v>
      </c>
      <c r="G228" s="1328">
        <f>VARIABLES!E179</f>
        <v>0</v>
      </c>
      <c r="H228" s="1328">
        <f>VARIABLES!F179</f>
        <v>0</v>
      </c>
      <c r="I228" s="1328">
        <f>VARIABLES!G179</f>
        <v>0</v>
      </c>
      <c r="J228" s="1328">
        <f>VARIABLES!H179</f>
        <v>0</v>
      </c>
      <c r="K228" s="1328">
        <f>VARIABLES!I179</f>
        <v>0</v>
      </c>
      <c r="L228" s="1328">
        <f>VARIABLES!J179</f>
        <v>0</v>
      </c>
      <c r="M228" s="1328">
        <f>VARIABLES!K179</f>
        <v>0</v>
      </c>
      <c r="N228" s="1328">
        <f>VARIABLES!L179</f>
        <v>0</v>
      </c>
      <c r="O228" s="1329">
        <f>SUM(C228:N228)</f>
        <v>0</v>
      </c>
    </row>
    <row r="229" spans="1:16" ht="13" x14ac:dyDescent="0.25">
      <c r="A229" s="1926" t="s">
        <v>254</v>
      </c>
      <c r="B229" s="1926"/>
      <c r="C229" s="1330">
        <f t="shared" ref="C229:N229" si="76">C226+C227-C228</f>
        <v>0</v>
      </c>
      <c r="D229" s="1330">
        <f t="shared" si="76"/>
        <v>0</v>
      </c>
      <c r="E229" s="1330">
        <f t="shared" si="76"/>
        <v>0</v>
      </c>
      <c r="F229" s="1330">
        <f t="shared" si="76"/>
        <v>0</v>
      </c>
      <c r="G229" s="1330">
        <f t="shared" si="76"/>
        <v>0</v>
      </c>
      <c r="H229" s="1330">
        <f t="shared" si="76"/>
        <v>0</v>
      </c>
      <c r="I229" s="1330">
        <f t="shared" si="76"/>
        <v>0</v>
      </c>
      <c r="J229" s="1330">
        <f t="shared" si="76"/>
        <v>0</v>
      </c>
      <c r="K229" s="1330">
        <f t="shared" si="76"/>
        <v>0</v>
      </c>
      <c r="L229" s="1330">
        <f t="shared" si="76"/>
        <v>0</v>
      </c>
      <c r="M229" s="1330">
        <f t="shared" si="76"/>
        <v>0</v>
      </c>
      <c r="N229" s="1330">
        <f t="shared" si="76"/>
        <v>0</v>
      </c>
      <c r="O229" s="1330">
        <f>N229+N230-N231</f>
        <v>0</v>
      </c>
    </row>
    <row r="230" spans="1:16" ht="13" x14ac:dyDescent="0.25">
      <c r="A230" s="1917" t="s">
        <v>464</v>
      </c>
      <c r="B230" s="1917"/>
      <c r="C230" s="1328">
        <f t="shared" ref="C230:N230" si="77">C240</f>
        <v>0</v>
      </c>
      <c r="D230" s="1328">
        <f t="shared" si="77"/>
        <v>0</v>
      </c>
      <c r="E230" s="1328">
        <f t="shared" si="77"/>
        <v>0</v>
      </c>
      <c r="F230" s="1328">
        <f t="shared" si="77"/>
        <v>0</v>
      </c>
      <c r="G230" s="1328">
        <f t="shared" si="77"/>
        <v>0</v>
      </c>
      <c r="H230" s="1328">
        <f t="shared" si="77"/>
        <v>0</v>
      </c>
      <c r="I230" s="1328">
        <f t="shared" si="77"/>
        <v>0</v>
      </c>
      <c r="J230" s="1328">
        <f t="shared" si="77"/>
        <v>0</v>
      </c>
      <c r="K230" s="1328">
        <f t="shared" si="77"/>
        <v>0</v>
      </c>
      <c r="L230" s="1328">
        <f t="shared" si="77"/>
        <v>0</v>
      </c>
      <c r="M230" s="1328">
        <f t="shared" si="77"/>
        <v>0</v>
      </c>
      <c r="N230" s="1328">
        <f t="shared" si="77"/>
        <v>0</v>
      </c>
      <c r="O230" s="1329">
        <f>SUM(C230:N230)</f>
        <v>0</v>
      </c>
    </row>
    <row r="231" spans="1:16" ht="13" x14ac:dyDescent="0.25">
      <c r="A231" s="1917" t="s">
        <v>465</v>
      </c>
      <c r="B231" s="1917"/>
      <c r="C231" s="1328">
        <f t="shared" ref="C231:N231" si="78">C241</f>
        <v>0</v>
      </c>
      <c r="D231" s="1328">
        <f t="shared" si="78"/>
        <v>0</v>
      </c>
      <c r="E231" s="1328">
        <f t="shared" si="78"/>
        <v>0</v>
      </c>
      <c r="F231" s="1328">
        <f t="shared" si="78"/>
        <v>0</v>
      </c>
      <c r="G231" s="1328">
        <f t="shared" si="78"/>
        <v>0</v>
      </c>
      <c r="H231" s="1328">
        <f t="shared" si="78"/>
        <v>0</v>
      </c>
      <c r="I231" s="1328">
        <f t="shared" si="78"/>
        <v>0</v>
      </c>
      <c r="J231" s="1328">
        <f t="shared" si="78"/>
        <v>0</v>
      </c>
      <c r="K231" s="1328">
        <f t="shared" si="78"/>
        <v>0</v>
      </c>
      <c r="L231" s="1328">
        <f t="shared" si="78"/>
        <v>0</v>
      </c>
      <c r="M231" s="1328">
        <f t="shared" si="78"/>
        <v>0</v>
      </c>
      <c r="N231" s="1328">
        <f t="shared" si="78"/>
        <v>0</v>
      </c>
      <c r="O231" s="1329">
        <f>SUM(C231:N231)</f>
        <v>0</v>
      </c>
    </row>
    <row r="232" spans="1:16" ht="13" x14ac:dyDescent="0.25">
      <c r="A232" s="1917" t="s">
        <v>466</v>
      </c>
      <c r="B232" s="1917"/>
      <c r="C232" s="1328">
        <f>C243</f>
        <v>0</v>
      </c>
      <c r="D232" s="1328">
        <f t="shared" ref="D232:N232" si="79">D243</f>
        <v>0</v>
      </c>
      <c r="E232" s="1328">
        <f t="shared" si="79"/>
        <v>0</v>
      </c>
      <c r="F232" s="1328">
        <f t="shared" si="79"/>
        <v>0</v>
      </c>
      <c r="G232" s="1328">
        <f t="shared" si="79"/>
        <v>0</v>
      </c>
      <c r="H232" s="1328">
        <f t="shared" si="79"/>
        <v>0</v>
      </c>
      <c r="I232" s="1328">
        <f t="shared" si="79"/>
        <v>0</v>
      </c>
      <c r="J232" s="1328">
        <f t="shared" si="79"/>
        <v>0</v>
      </c>
      <c r="K232" s="1328">
        <f t="shared" si="79"/>
        <v>0</v>
      </c>
      <c r="L232" s="1328">
        <f t="shared" si="79"/>
        <v>0</v>
      </c>
      <c r="M232" s="1328">
        <f t="shared" si="79"/>
        <v>0</v>
      </c>
      <c r="N232" s="1328">
        <f t="shared" si="79"/>
        <v>0</v>
      </c>
      <c r="O232" s="1329">
        <f>N232</f>
        <v>0</v>
      </c>
    </row>
    <row r="234" spans="1:16" ht="13" x14ac:dyDescent="0.25">
      <c r="B234" s="1336" t="s">
        <v>129</v>
      </c>
    </row>
    <row r="236" spans="1:16" x14ac:dyDescent="0.25">
      <c r="B236" s="1337" t="s">
        <v>467</v>
      </c>
      <c r="C236" s="243" t="str">
        <f>'Introducció dades'!E146</f>
        <v>TRIMESTRAL</v>
      </c>
      <c r="D236" s="1339">
        <v>4</v>
      </c>
    </row>
    <row r="237" spans="1:16" x14ac:dyDescent="0.25">
      <c r="B237" s="1337" t="s">
        <v>133</v>
      </c>
      <c r="C237" s="247">
        <f>'Introducció dades'!E147</f>
        <v>0.05</v>
      </c>
      <c r="D237" s="1345">
        <f>IF(D236=12,C237/12)+IF(D236=4,C237/4)+IF(D236=2,C237/2)+IF(D236=1,C237)</f>
        <v>1.2500000000000001E-2</v>
      </c>
    </row>
    <row r="238" spans="1:16" x14ac:dyDescent="0.25">
      <c r="O238" s="1931" t="s">
        <v>245</v>
      </c>
      <c r="P238" s="1356"/>
    </row>
    <row r="239" spans="1:16" ht="13" x14ac:dyDescent="0.25">
      <c r="A239" s="1912" t="s">
        <v>468</v>
      </c>
      <c r="B239" s="1912"/>
      <c r="C239" s="1322" t="str">
        <f t="shared" ref="C239:N239" si="80">C181</f>
        <v>GENER</v>
      </c>
      <c r="D239" s="1322" t="str">
        <f t="shared" si="80"/>
        <v>FEBRER</v>
      </c>
      <c r="E239" s="1322" t="str">
        <f t="shared" si="80"/>
        <v>MARÇ</v>
      </c>
      <c r="F239" s="1322" t="str">
        <f t="shared" si="80"/>
        <v>ABRIL</v>
      </c>
      <c r="G239" s="1322" t="str">
        <f t="shared" si="80"/>
        <v>MAIG</v>
      </c>
      <c r="H239" s="1322" t="str">
        <f t="shared" si="80"/>
        <v>JUNY</v>
      </c>
      <c r="I239" s="1322" t="str">
        <f t="shared" si="80"/>
        <v>JULIOL</v>
      </c>
      <c r="J239" s="1322" t="str">
        <f t="shared" si="80"/>
        <v>AGOST</v>
      </c>
      <c r="K239" s="1322" t="str">
        <f t="shared" si="80"/>
        <v>SETEMBRE</v>
      </c>
      <c r="L239" s="1322" t="str">
        <f t="shared" si="80"/>
        <v>OCTUBRE</v>
      </c>
      <c r="M239" s="1322" t="str">
        <f t="shared" si="80"/>
        <v>NOVEMBRE</v>
      </c>
      <c r="N239" s="1322" t="str">
        <f t="shared" si="80"/>
        <v>DESEMBRE</v>
      </c>
      <c r="O239" s="1931"/>
      <c r="P239" s="1356"/>
    </row>
    <row r="240" spans="1:16" ht="13" x14ac:dyDescent="0.25">
      <c r="A240" s="1917" t="s">
        <v>469</v>
      </c>
      <c r="B240" s="1917"/>
      <c r="C240" s="1328">
        <f>-IF(C229&lt;0,C229,0)</f>
        <v>0</v>
      </c>
      <c r="D240" s="1328">
        <f t="shared" ref="D240:N240" si="81">-IF(D229&lt;0,D229,0)</f>
        <v>0</v>
      </c>
      <c r="E240" s="1328">
        <f t="shared" si="81"/>
        <v>0</v>
      </c>
      <c r="F240" s="1328">
        <f t="shared" si="81"/>
        <v>0</v>
      </c>
      <c r="G240" s="1328">
        <f t="shared" si="81"/>
        <v>0</v>
      </c>
      <c r="H240" s="1328">
        <f t="shared" si="81"/>
        <v>0</v>
      </c>
      <c r="I240" s="1328">
        <f t="shared" si="81"/>
        <v>0</v>
      </c>
      <c r="J240" s="1328">
        <f t="shared" si="81"/>
        <v>0</v>
      </c>
      <c r="K240" s="1328">
        <f t="shared" si="81"/>
        <v>0</v>
      </c>
      <c r="L240" s="1328">
        <f t="shared" si="81"/>
        <v>0</v>
      </c>
      <c r="M240" s="1328">
        <f t="shared" si="81"/>
        <v>0</v>
      </c>
      <c r="N240" s="1328">
        <f t="shared" si="81"/>
        <v>0</v>
      </c>
      <c r="O240" s="1329">
        <f>SUM(C240:N240)</f>
        <v>0</v>
      </c>
      <c r="P240" s="1356"/>
    </row>
    <row r="241" spans="1:16" ht="13" x14ac:dyDescent="0.25">
      <c r="A241" s="1917" t="s">
        <v>470</v>
      </c>
      <c r="B241" s="1917"/>
      <c r="C241" s="1328">
        <f>IF(C229&lt;B243,C229,0)+IF(C229&gt;B243,B243,0)-IF(C229&lt;0,C229,0)</f>
        <v>0</v>
      </c>
      <c r="D241" s="1328">
        <f t="shared" ref="D241:N241" si="82">IF(D229&lt;C243,D229,0)+IF(D229&gt;C243,C243,0)-IF(D229&lt;0,D229,0)</f>
        <v>0</v>
      </c>
      <c r="E241" s="1328">
        <f t="shared" si="82"/>
        <v>0</v>
      </c>
      <c r="F241" s="1328">
        <f t="shared" si="82"/>
        <v>0</v>
      </c>
      <c r="G241" s="1328">
        <f t="shared" si="82"/>
        <v>0</v>
      </c>
      <c r="H241" s="1328">
        <f t="shared" si="82"/>
        <v>0</v>
      </c>
      <c r="I241" s="1328">
        <f t="shared" si="82"/>
        <v>0</v>
      </c>
      <c r="J241" s="1328">
        <f t="shared" si="82"/>
        <v>0</v>
      </c>
      <c r="K241" s="1328">
        <f t="shared" si="82"/>
        <v>0</v>
      </c>
      <c r="L241" s="1328">
        <f t="shared" si="82"/>
        <v>0</v>
      </c>
      <c r="M241" s="1328">
        <f t="shared" si="82"/>
        <v>0</v>
      </c>
      <c r="N241" s="1328">
        <f t="shared" si="82"/>
        <v>0</v>
      </c>
      <c r="O241" s="1329">
        <f>SUM(C241:N241)</f>
        <v>0</v>
      </c>
      <c r="P241" s="1356"/>
    </row>
    <row r="242" spans="1:16" ht="13" x14ac:dyDescent="0.25">
      <c r="A242" s="1917" t="s">
        <v>471</v>
      </c>
      <c r="B242" s="1917"/>
      <c r="C242" s="1328"/>
      <c r="D242" s="1328">
        <f>IF($D236=12,C243*$D237,0)+IF(AND(OR(D239="MARÇ",D239="JUNY",D239="SETEMBRE",D239="DESEMBRE"),$D236=4),(C243+D243)/2*$D237,0)+IF(AND(OR(D239="JUNY",D239="DESEMBRE"),$D236=2),(C243+D243)/2*$D237)</f>
        <v>0</v>
      </c>
      <c r="E242" s="1328">
        <f t="shared" ref="E242:M242" si="83">IF($D236=12,E243*$D237,0)+IF(AND(OR(E239="MARÇ",E239="JUNY",E239="SETEMBRE",E239="DESEMBRE"),$D236=4),(C243+D243+E243)/3*$D237,0)+IF(AND(OR(E239="JUNY",E239="DESEMBRE"),$D236=2),(C243+D243+E243)/3*$D237)</f>
        <v>0</v>
      </c>
      <c r="F242" s="1328">
        <f t="shared" si="83"/>
        <v>0</v>
      </c>
      <c r="G242" s="1328">
        <f t="shared" si="83"/>
        <v>0</v>
      </c>
      <c r="H242" s="1328">
        <f t="shared" si="83"/>
        <v>0</v>
      </c>
      <c r="I242" s="1328">
        <f t="shared" si="83"/>
        <v>0</v>
      </c>
      <c r="J242" s="1328">
        <f t="shared" si="83"/>
        <v>0</v>
      </c>
      <c r="K242" s="1328">
        <f t="shared" si="83"/>
        <v>0</v>
      </c>
      <c r="L242" s="1328">
        <f t="shared" si="83"/>
        <v>0</v>
      </c>
      <c r="M242" s="1328">
        <f t="shared" si="83"/>
        <v>0</v>
      </c>
      <c r="N242" s="1328">
        <f>IF($D236=12,N243*$D237,0)+IF(AND(OR(N239="MARÇ",N239="JUN",N239="SETEMBRE",N239="DESEMBRE"),$D236=4),(L243+M243+N243)/3*$D237,0)+IF(AND(OR(N239="JUNY",N239="DESEMBRE"),$D236=2),(L243+M243+N243)/3*$D237)</f>
        <v>0</v>
      </c>
      <c r="O242" s="1329">
        <f>SUM(C242:N242)</f>
        <v>0</v>
      </c>
      <c r="P242" s="1356"/>
    </row>
    <row r="243" spans="1:16" ht="13" x14ac:dyDescent="0.25">
      <c r="A243" s="1926" t="s">
        <v>466</v>
      </c>
      <c r="B243" s="1926"/>
      <c r="C243" s="1330">
        <f>O147+B243+C240-C241</f>
        <v>0</v>
      </c>
      <c r="D243" s="1330">
        <f>C243+D240-D241</f>
        <v>0</v>
      </c>
      <c r="E243" s="1330">
        <f t="shared" ref="E243:N243" si="84">D243+E240-E241</f>
        <v>0</v>
      </c>
      <c r="F243" s="1330">
        <f t="shared" si="84"/>
        <v>0</v>
      </c>
      <c r="G243" s="1330">
        <f t="shared" si="84"/>
        <v>0</v>
      </c>
      <c r="H243" s="1330">
        <f t="shared" si="84"/>
        <v>0</v>
      </c>
      <c r="I243" s="1330">
        <f t="shared" si="84"/>
        <v>0</v>
      </c>
      <c r="J243" s="1330">
        <f t="shared" si="84"/>
        <v>0</v>
      </c>
      <c r="K243" s="1330">
        <f t="shared" si="84"/>
        <v>0</v>
      </c>
      <c r="L243" s="1330">
        <f t="shared" si="84"/>
        <v>0</v>
      </c>
      <c r="M243" s="1330">
        <f t="shared" si="84"/>
        <v>0</v>
      </c>
      <c r="N243" s="1330">
        <f t="shared" si="84"/>
        <v>0</v>
      </c>
      <c r="O243" s="1330">
        <f>N243</f>
        <v>0</v>
      </c>
      <c r="P243" s="1356"/>
    </row>
    <row r="244" spans="1:16" x14ac:dyDescent="0.25">
      <c r="B244" s="1341"/>
      <c r="C244" s="1342"/>
      <c r="D244" s="1343"/>
    </row>
    <row r="245" spans="1:16" ht="13" x14ac:dyDescent="0.25">
      <c r="B245" s="1344" t="s">
        <v>472</v>
      </c>
      <c r="C245" s="1342"/>
      <c r="D245" s="1343"/>
    </row>
    <row r="247" spans="1:16" x14ac:dyDescent="0.25">
      <c r="B247" s="1337" t="s">
        <v>473</v>
      </c>
      <c r="C247" s="1357" t="str">
        <f>C162</f>
        <v>TRIMESTRAL</v>
      </c>
      <c r="D247" s="1339">
        <f>IF(C247="TRIMESTRAL",4,0)</f>
        <v>4</v>
      </c>
    </row>
    <row r="248" spans="1:16" x14ac:dyDescent="0.25">
      <c r="B248" s="1337" t="s">
        <v>133</v>
      </c>
      <c r="C248" s="247">
        <f>C163</f>
        <v>0</v>
      </c>
      <c r="D248" s="1345">
        <f>C248/D247</f>
        <v>0</v>
      </c>
    </row>
    <row r="249" spans="1:16" x14ac:dyDescent="0.25">
      <c r="B249" s="1337" t="s">
        <v>25</v>
      </c>
      <c r="C249" s="247">
        <f>C164</f>
        <v>0.15</v>
      </c>
      <c r="D249" s="1343"/>
    </row>
    <row r="250" spans="1:16" x14ac:dyDescent="0.25">
      <c r="O250" s="1931" t="s">
        <v>245</v>
      </c>
      <c r="P250" s="1356"/>
    </row>
    <row r="251" spans="1:16" x14ac:dyDescent="0.25">
      <c r="A251" s="1346"/>
      <c r="B251" s="1347"/>
      <c r="C251" s="1322" t="str">
        <f t="shared" ref="C251:N251" si="85">C239</f>
        <v>GENER</v>
      </c>
      <c r="D251" s="1322" t="str">
        <f t="shared" si="85"/>
        <v>FEBRER</v>
      </c>
      <c r="E251" s="1322" t="str">
        <f t="shared" si="85"/>
        <v>MARÇ</v>
      </c>
      <c r="F251" s="1322" t="str">
        <f t="shared" si="85"/>
        <v>ABRIL</v>
      </c>
      <c r="G251" s="1322" t="str">
        <f t="shared" si="85"/>
        <v>MAIG</v>
      </c>
      <c r="H251" s="1322" t="str">
        <f t="shared" si="85"/>
        <v>JUNY</v>
      </c>
      <c r="I251" s="1322" t="str">
        <f t="shared" si="85"/>
        <v>JULIOL</v>
      </c>
      <c r="J251" s="1322" t="str">
        <f t="shared" si="85"/>
        <v>AGOST</v>
      </c>
      <c r="K251" s="1322" t="str">
        <f t="shared" si="85"/>
        <v>SETEMBRE</v>
      </c>
      <c r="L251" s="1322" t="str">
        <f t="shared" si="85"/>
        <v>OCTUBRE</v>
      </c>
      <c r="M251" s="1322" t="str">
        <f t="shared" si="85"/>
        <v>NOVEMBRE</v>
      </c>
      <c r="N251" s="1322" t="str">
        <f t="shared" si="85"/>
        <v>DESEMBRE</v>
      </c>
      <c r="O251" s="1931"/>
      <c r="P251" s="1356"/>
    </row>
    <row r="252" spans="1:16" ht="13" x14ac:dyDescent="0.25">
      <c r="A252" s="1917" t="s">
        <v>474</v>
      </c>
      <c r="B252" s="1917"/>
      <c r="C252" s="1348">
        <f>IF(AND(C229&gt;0,OR(C251="MARÇ",C251="JUNY",C251="SETEMBRE",C251="DESEMBRE")),C229*$D248,0)</f>
        <v>0</v>
      </c>
      <c r="D252" s="1348">
        <f>IF(AND(D229&gt;0,C229+D229&gt;0,OR(D251="MARÇ",D251="JUNY",D251="SETEMBRE",D251="DESEMBRE")),(C229+D229)/2*$D248,0)</f>
        <v>0</v>
      </c>
      <c r="E252" s="1348">
        <f>IF(AND(E229&gt;0,C229+D229+E229&gt;0,OR(E251="MARÇ",E251="JUNY",E251="SETEMBRE",E251="DESEMBRE")),(C229+D229+E229)/3*$D248,0)</f>
        <v>0</v>
      </c>
      <c r="F252" s="1348">
        <f>IF(AND(F229&gt;0,D229+E229+F229&gt;0,OR(F251="MARÇ",F251="JUNY",F251="SETEMBRE",F251="DESEMBRE")),(D229+E229+F229)/3*$D248,0)</f>
        <v>0</v>
      </c>
      <c r="G252" s="1348">
        <f>IF(AND(G229&gt;0,E229+F229+G229&gt;0,OR(G251="MARÇ",G251="JUNy",G251="SETEMBRE",G251="DESEMBRE")),(E229+F229+G229)/3*$D248,0)</f>
        <v>0</v>
      </c>
      <c r="H252" s="1348">
        <f t="shared" ref="H252:N252" si="86">IF(AND(H229&gt;0,F229+G229+H229&gt;0,OR(H251="MARÇ",H251="JUNY",H251="SETEMBRE",H251="DESEMBRE")),(F229+G229+H229)/3*$D248,0)</f>
        <v>0</v>
      </c>
      <c r="I252" s="1348">
        <f t="shared" si="86"/>
        <v>0</v>
      </c>
      <c r="J252" s="1348">
        <f t="shared" si="86"/>
        <v>0</v>
      </c>
      <c r="K252" s="1348">
        <f t="shared" si="86"/>
        <v>0</v>
      </c>
      <c r="L252" s="1348">
        <f t="shared" si="86"/>
        <v>0</v>
      </c>
      <c r="M252" s="1348">
        <f t="shared" si="86"/>
        <v>0</v>
      </c>
      <c r="N252" s="1348">
        <f t="shared" si="86"/>
        <v>0</v>
      </c>
      <c r="O252" s="1349">
        <f>SUM(C252:N252)</f>
        <v>0</v>
      </c>
      <c r="P252" s="1356"/>
    </row>
    <row r="253" spans="1:16" ht="13" x14ac:dyDescent="0.25">
      <c r="A253" s="1917" t="s">
        <v>475</v>
      </c>
      <c r="B253" s="1917"/>
      <c r="C253" s="1348">
        <f>C252*C249</f>
        <v>0</v>
      </c>
      <c r="D253" s="1348">
        <f t="shared" ref="D253:N253" si="87">D252*$C249</f>
        <v>0</v>
      </c>
      <c r="E253" s="1348">
        <f t="shared" si="87"/>
        <v>0</v>
      </c>
      <c r="F253" s="1348">
        <f t="shared" si="87"/>
        <v>0</v>
      </c>
      <c r="G253" s="1348">
        <f t="shared" si="87"/>
        <v>0</v>
      </c>
      <c r="H253" s="1348">
        <f t="shared" si="87"/>
        <v>0</v>
      </c>
      <c r="I253" s="1348">
        <f t="shared" si="87"/>
        <v>0</v>
      </c>
      <c r="J253" s="1348">
        <f t="shared" si="87"/>
        <v>0</v>
      </c>
      <c r="K253" s="1348">
        <f t="shared" si="87"/>
        <v>0</v>
      </c>
      <c r="L253" s="1348">
        <f t="shared" si="87"/>
        <v>0</v>
      </c>
      <c r="M253" s="1348">
        <f t="shared" si="87"/>
        <v>0</v>
      </c>
      <c r="N253" s="1348">
        <f t="shared" si="87"/>
        <v>0</v>
      </c>
      <c r="O253" s="1349">
        <f>SUM(C253:N253)</f>
        <v>0</v>
      </c>
      <c r="P253" s="1356"/>
    </row>
    <row r="254" spans="1:16" ht="13" x14ac:dyDescent="0.25">
      <c r="A254" s="1917" t="s">
        <v>476</v>
      </c>
      <c r="B254" s="1917"/>
      <c r="C254" s="1348">
        <f t="shared" ref="C254:N254" si="88">C252-C253</f>
        <v>0</v>
      </c>
      <c r="D254" s="1348">
        <f t="shared" si="88"/>
        <v>0</v>
      </c>
      <c r="E254" s="1348">
        <f t="shared" si="88"/>
        <v>0</v>
      </c>
      <c r="F254" s="1348">
        <f t="shared" si="88"/>
        <v>0</v>
      </c>
      <c r="G254" s="1348">
        <f t="shared" si="88"/>
        <v>0</v>
      </c>
      <c r="H254" s="1348">
        <f t="shared" si="88"/>
        <v>0</v>
      </c>
      <c r="I254" s="1348">
        <f t="shared" si="88"/>
        <v>0</v>
      </c>
      <c r="J254" s="1348">
        <f t="shared" si="88"/>
        <v>0</v>
      </c>
      <c r="K254" s="1348">
        <f t="shared" si="88"/>
        <v>0</v>
      </c>
      <c r="L254" s="1348">
        <f t="shared" si="88"/>
        <v>0</v>
      </c>
      <c r="M254" s="1348">
        <f t="shared" si="88"/>
        <v>0</v>
      </c>
      <c r="N254" s="1348">
        <f t="shared" si="88"/>
        <v>0</v>
      </c>
      <c r="O254" s="1349">
        <f>SUM(C254:N254)</f>
        <v>0</v>
      </c>
      <c r="P254" s="1356"/>
    </row>
  </sheetData>
  <mergeCells count="186">
    <mergeCell ref="A254:B254"/>
    <mergeCell ref="A241:B241"/>
    <mergeCell ref="A242:B242"/>
    <mergeCell ref="A243:B243"/>
    <mergeCell ref="A252:B252"/>
    <mergeCell ref="A253:B253"/>
    <mergeCell ref="A228:B228"/>
    <mergeCell ref="A229:B229"/>
    <mergeCell ref="A230:B230"/>
    <mergeCell ref="A231:B231"/>
    <mergeCell ref="A226:B226"/>
    <mergeCell ref="A227:B227"/>
    <mergeCell ref="A219:B219"/>
    <mergeCell ref="A220:B220"/>
    <mergeCell ref="A221:B221"/>
    <mergeCell ref="A222:B222"/>
    <mergeCell ref="O250:O251"/>
    <mergeCell ref="A232:B232"/>
    <mergeCell ref="O238:O239"/>
    <mergeCell ref="A239:B239"/>
    <mergeCell ref="A240:B240"/>
    <mergeCell ref="A223:B223"/>
    <mergeCell ref="A224:B224"/>
    <mergeCell ref="A210:B210"/>
    <mergeCell ref="A211:B211"/>
    <mergeCell ref="A212:B212"/>
    <mergeCell ref="A213:B213"/>
    <mergeCell ref="A214:B214"/>
    <mergeCell ref="A215:B215"/>
    <mergeCell ref="A216:B216"/>
    <mergeCell ref="A217:B217"/>
    <mergeCell ref="A218:B218"/>
    <mergeCell ref="A202:B202"/>
    <mergeCell ref="A198:B198"/>
    <mergeCell ref="A203:B203"/>
    <mergeCell ref="A204:B204"/>
    <mergeCell ref="A205:B205"/>
    <mergeCell ref="A206:B206"/>
    <mergeCell ref="A207:B207"/>
    <mergeCell ref="A208:B208"/>
    <mergeCell ref="A209:B209"/>
    <mergeCell ref="A192:B192"/>
    <mergeCell ref="A193:B193"/>
    <mergeCell ref="A194:B194"/>
    <mergeCell ref="A195:B195"/>
    <mergeCell ref="A196:B196"/>
    <mergeCell ref="A197:B197"/>
    <mergeCell ref="A199:B199"/>
    <mergeCell ref="A200:B200"/>
    <mergeCell ref="A201:B201"/>
    <mergeCell ref="A182:B182"/>
    <mergeCell ref="A183:B183"/>
    <mergeCell ref="A184:B184"/>
    <mergeCell ref="A185:B185"/>
    <mergeCell ref="A186:B186"/>
    <mergeCell ref="A187:B187"/>
    <mergeCell ref="A188:B188"/>
    <mergeCell ref="A189:B189"/>
    <mergeCell ref="A190:B190"/>
    <mergeCell ref="A157:B157"/>
    <mergeCell ref="A158:B158"/>
    <mergeCell ref="O165:O166"/>
    <mergeCell ref="A167:B167"/>
    <mergeCell ref="A168:B168"/>
    <mergeCell ref="A169:B169"/>
    <mergeCell ref="A174:C174"/>
    <mergeCell ref="C180:N180"/>
    <mergeCell ref="O180:O181"/>
    <mergeCell ref="A143:B143"/>
    <mergeCell ref="A144:B144"/>
    <mergeCell ref="A145:B145"/>
    <mergeCell ref="A146:B146"/>
    <mergeCell ref="A147:B147"/>
    <mergeCell ref="O153:O154"/>
    <mergeCell ref="A154:B154"/>
    <mergeCell ref="A155:B155"/>
    <mergeCell ref="A156:B156"/>
    <mergeCell ref="A132:B132"/>
    <mergeCell ref="A133:B133"/>
    <mergeCell ref="A134:B134"/>
    <mergeCell ref="A135:B135"/>
    <mergeCell ref="A136:B136"/>
    <mergeCell ref="A137:B137"/>
    <mergeCell ref="A138:B138"/>
    <mergeCell ref="A139:B139"/>
    <mergeCell ref="A142:B142"/>
    <mergeCell ref="A123:B123"/>
    <mergeCell ref="A124:B124"/>
    <mergeCell ref="A125:B125"/>
    <mergeCell ref="A126:B126"/>
    <mergeCell ref="A127:B127"/>
    <mergeCell ref="A128:B128"/>
    <mergeCell ref="A129:B129"/>
    <mergeCell ref="A130:B130"/>
    <mergeCell ref="A131:B131"/>
    <mergeCell ref="A115:B115"/>
    <mergeCell ref="A116:B116"/>
    <mergeCell ref="A117:B117"/>
    <mergeCell ref="A113:B113"/>
    <mergeCell ref="A118:B118"/>
    <mergeCell ref="A119:B119"/>
    <mergeCell ref="A120:B120"/>
    <mergeCell ref="A121:B121"/>
    <mergeCell ref="A122:B122"/>
    <mergeCell ref="A104:B104"/>
    <mergeCell ref="A105:B105"/>
    <mergeCell ref="A107:B107"/>
    <mergeCell ref="A108:B108"/>
    <mergeCell ref="A109:B109"/>
    <mergeCell ref="A110:B110"/>
    <mergeCell ref="A111:B111"/>
    <mergeCell ref="A112:B112"/>
    <mergeCell ref="A114:B114"/>
    <mergeCell ref="C95:N95"/>
    <mergeCell ref="O95:O96"/>
    <mergeCell ref="A97:B97"/>
    <mergeCell ref="A98:B98"/>
    <mergeCell ref="A99:B99"/>
    <mergeCell ref="A100:B100"/>
    <mergeCell ref="A101:B101"/>
    <mergeCell ref="A102:B102"/>
    <mergeCell ref="A103:B103"/>
    <mergeCell ref="A70:B70"/>
    <mergeCell ref="A71:B71"/>
    <mergeCell ref="A72:B72"/>
    <mergeCell ref="A73:B73"/>
    <mergeCell ref="O80:O81"/>
    <mergeCell ref="A82:B82"/>
    <mergeCell ref="A83:B83"/>
    <mergeCell ref="A84:B84"/>
    <mergeCell ref="A89:C89"/>
    <mergeCell ref="A54:B54"/>
    <mergeCell ref="A56:B56"/>
    <mergeCell ref="A57:B57"/>
    <mergeCell ref="A58:B58"/>
    <mergeCell ref="A59:B59"/>
    <mergeCell ref="A60:B60"/>
    <mergeCell ref="A61:B61"/>
    <mergeCell ref="A62:B62"/>
    <mergeCell ref="O68:O69"/>
    <mergeCell ref="A69:B69"/>
    <mergeCell ref="A45:B45"/>
    <mergeCell ref="A46:B46"/>
    <mergeCell ref="A47:B47"/>
    <mergeCell ref="A48:B48"/>
    <mergeCell ref="A49:B49"/>
    <mergeCell ref="A50:B50"/>
    <mergeCell ref="A51:B51"/>
    <mergeCell ref="A52:B52"/>
    <mergeCell ref="A53:B53"/>
    <mergeCell ref="A36:B36"/>
    <mergeCell ref="A37:B37"/>
    <mergeCell ref="A38:B38"/>
    <mergeCell ref="A39:B39"/>
    <mergeCell ref="A40:B40"/>
    <mergeCell ref="A41:B41"/>
    <mergeCell ref="A42:B42"/>
    <mergeCell ref="A43:B43"/>
    <mergeCell ref="A44:B44"/>
    <mergeCell ref="A27:B27"/>
    <mergeCell ref="A29:B29"/>
    <mergeCell ref="A28:B28"/>
    <mergeCell ref="A30:B30"/>
    <mergeCell ref="A31:B31"/>
    <mergeCell ref="A32:B32"/>
    <mergeCell ref="A33:B33"/>
    <mergeCell ref="A34:B34"/>
    <mergeCell ref="A35:B35"/>
    <mergeCell ref="A17:B17"/>
    <mergeCell ref="A18:B18"/>
    <mergeCell ref="A19:B19"/>
    <mergeCell ref="A21:B21"/>
    <mergeCell ref="A22:B22"/>
    <mergeCell ref="A23:B23"/>
    <mergeCell ref="A24:B24"/>
    <mergeCell ref="A25:B25"/>
    <mergeCell ref="A26:B26"/>
    <mergeCell ref="A3:C3"/>
    <mergeCell ref="C9:N9"/>
    <mergeCell ref="O9:O10"/>
    <mergeCell ref="A11:B11"/>
    <mergeCell ref="A12:B12"/>
    <mergeCell ref="A13:B13"/>
    <mergeCell ref="A14:B14"/>
    <mergeCell ref="A15:B15"/>
    <mergeCell ref="A16:B16"/>
  </mergeCells>
  <phoneticPr fontId="22" type="noConversion"/>
  <conditionalFormatting sqref="C4:C7 C90:C93 C175:C178">
    <cfRule type="cellIs" dxfId="33" priority="1" stopIfTrue="1" operator="notEqual">
      <formula>1</formula>
    </cfRule>
  </conditionalFormatting>
  <pageMargins left="0.59027777777777779" right="0.59027777777777779" top="0.78680555555555554" bottom="0.19652777777777777" header="0.19652777777777777" footer="0.51180555555555562"/>
  <pageSetup paperSize="9" scale="51" firstPageNumber="0" orientation="landscape" horizontalDpi="300" verticalDpi="300" r:id="rId1"/>
  <headerFooter alignWithMargins="0">
    <oddHeader>&amp;L&amp;A</oddHead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6"/>
  <dimension ref="A1:S37"/>
  <sheetViews>
    <sheetView topLeftCell="A2" workbookViewId="0">
      <selection activeCell="B42" sqref="B41:B42"/>
    </sheetView>
  </sheetViews>
  <sheetFormatPr defaultColWidth="11.453125" defaultRowHeight="12.5" x14ac:dyDescent="0.25"/>
  <cols>
    <col min="1" max="1" width="4" customWidth="1"/>
    <col min="2" max="2" width="23.453125" customWidth="1"/>
    <col min="3" max="3" width="4.7265625" customWidth="1"/>
    <col min="4" max="4" width="4.81640625" customWidth="1"/>
    <col min="5" max="8" width="10.7265625" customWidth="1"/>
    <col min="9" max="16" width="0" hidden="1" customWidth="1"/>
  </cols>
  <sheetData>
    <row r="1" spans="1:19" x14ac:dyDescent="0.25">
      <c r="A1" s="183"/>
      <c r="B1" s="46"/>
      <c r="C1" s="46"/>
      <c r="D1" s="46"/>
      <c r="E1" s="46"/>
      <c r="F1" s="46"/>
      <c r="G1" s="46"/>
      <c r="H1" s="47"/>
      <c r="Q1" s="37"/>
      <c r="R1" s="37"/>
      <c r="S1" s="37"/>
    </row>
    <row r="2" spans="1:19" ht="15.5" x14ac:dyDescent="0.35">
      <c r="A2" s="42">
        <v>7</v>
      </c>
      <c r="B2" s="1358" t="s">
        <v>477</v>
      </c>
      <c r="C2" s="51"/>
      <c r="D2" s="51"/>
      <c r="E2" s="51"/>
      <c r="F2" s="51"/>
      <c r="G2" s="51"/>
      <c r="H2" s="52"/>
      <c r="Q2" s="37"/>
      <c r="R2" s="37"/>
      <c r="S2" s="37"/>
    </row>
    <row r="3" spans="1:19" x14ac:dyDescent="0.25">
      <c r="A3" s="62"/>
      <c r="B3" s="51"/>
      <c r="C3" s="51"/>
      <c r="D3" s="51"/>
      <c r="E3" s="51"/>
      <c r="F3" s="51"/>
      <c r="G3" s="51"/>
      <c r="H3" s="52"/>
      <c r="Q3" s="37"/>
      <c r="R3" s="37"/>
      <c r="S3" s="37"/>
    </row>
    <row r="4" spans="1:19" ht="25.5" customHeight="1" x14ac:dyDescent="0.3">
      <c r="A4" s="1932" t="s">
        <v>478</v>
      </c>
      <c r="B4" s="1932"/>
      <c r="C4" s="1359">
        <v>2</v>
      </c>
      <c r="D4" s="51"/>
      <c r="E4" s="51"/>
      <c r="F4" s="51"/>
      <c r="G4" s="51"/>
      <c r="H4" s="52"/>
      <c r="Q4" s="37"/>
      <c r="R4" s="37"/>
      <c r="S4" s="37"/>
    </row>
    <row r="5" spans="1:19" ht="13" x14ac:dyDescent="0.3">
      <c r="A5" s="62"/>
      <c r="B5" s="1360" t="s">
        <v>479</v>
      </c>
      <c r="C5" s="51"/>
      <c r="D5" s="51"/>
      <c r="E5" s="274" t="str">
        <f>+IF($C$4=2,"¿Serà una cooperativa? (SI/NO)","")</f>
        <v>¿Serà una cooperativa? (SI/NO)</v>
      </c>
      <c r="F5" s="51"/>
      <c r="G5" s="51"/>
      <c r="H5" s="1361" t="s">
        <v>482</v>
      </c>
      <c r="K5">
        <v>1</v>
      </c>
      <c r="L5" s="1362" t="s">
        <v>480</v>
      </c>
      <c r="Q5" s="37"/>
      <c r="R5" s="37"/>
      <c r="S5" s="37"/>
    </row>
    <row r="6" spans="1:19" ht="13" x14ac:dyDescent="0.3">
      <c r="A6" s="62"/>
      <c r="B6" s="1360" t="s">
        <v>481</v>
      </c>
      <c r="C6" s="51"/>
      <c r="D6" s="51"/>
      <c r="E6" s="1933" t="str">
        <f>+IF($H$5="si","¿Fiscalment bonificada? (SI/NO)",IF(H5="NO","¿És una PIME? (SI/NO)",""))</f>
        <v>¿És una PIME? (SI/NO)</v>
      </c>
      <c r="F6" s="1933"/>
      <c r="G6" s="1933"/>
      <c r="H6" s="1361" t="s">
        <v>480</v>
      </c>
      <c r="K6">
        <v>2</v>
      </c>
      <c r="L6" s="1362" t="s">
        <v>482</v>
      </c>
      <c r="Q6" s="37"/>
      <c r="R6" s="37"/>
      <c r="S6" s="37"/>
    </row>
    <row r="7" spans="1:19" ht="13" x14ac:dyDescent="0.3">
      <c r="A7" s="62"/>
      <c r="B7" s="51"/>
      <c r="C7" s="51"/>
      <c r="D7" s="51"/>
      <c r="E7" s="1934" t="str">
        <f>IF($C$8=1,"Introdueix les quantitats de cada trimestre"," ")</f>
        <v xml:space="preserve"> </v>
      </c>
      <c r="F7" s="1934"/>
      <c r="G7" s="1934"/>
      <c r="H7" s="1934"/>
      <c r="Q7" s="37"/>
      <c r="R7" s="37"/>
      <c r="S7" s="37"/>
    </row>
    <row r="8" spans="1:19" ht="13" x14ac:dyDescent="0.3">
      <c r="A8" s="1935" t="str">
        <f>+IF(C4=1,"Eligeix sistema IRPF"," ")</f>
        <v xml:space="preserve"> </v>
      </c>
      <c r="B8" s="1935"/>
      <c r="C8" s="1363"/>
      <c r="D8" s="51"/>
      <c r="E8" s="1364" t="str">
        <f>+IF($C$8=1,"Trim I"," ")</f>
        <v xml:space="preserve"> </v>
      </c>
      <c r="F8" s="1364" t="str">
        <f>+IF($C$8=1,"Trim II"," ")</f>
        <v xml:space="preserve"> </v>
      </c>
      <c r="G8" s="1364" t="str">
        <f>+IF($C$8=1,"Trim III"," ")</f>
        <v xml:space="preserve"> </v>
      </c>
      <c r="H8" s="1365" t="str">
        <f>+IF($C$8=1,"Trim IV"," ")</f>
        <v xml:space="preserve"> </v>
      </c>
      <c r="Q8" s="37"/>
      <c r="R8" s="37"/>
      <c r="S8" s="37"/>
    </row>
    <row r="9" spans="1:19" hidden="1" x14ac:dyDescent="0.25">
      <c r="A9" s="62"/>
      <c r="B9" s="51"/>
      <c r="C9" s="51"/>
      <c r="D9" s="51"/>
      <c r="E9" s="1366" t="s">
        <v>8</v>
      </c>
      <c r="F9" s="1366" t="s">
        <v>11</v>
      </c>
      <c r="G9" s="1366" t="s">
        <v>14</v>
      </c>
      <c r="H9" s="1367" t="s">
        <v>5</v>
      </c>
      <c r="I9" s="1366" t="s">
        <v>6</v>
      </c>
      <c r="J9" s="1366" t="s">
        <v>7</v>
      </c>
      <c r="K9" s="1366" t="s">
        <v>9</v>
      </c>
      <c r="L9" s="1366" t="s">
        <v>10</v>
      </c>
      <c r="M9" s="1366" t="s">
        <v>12</v>
      </c>
      <c r="N9" s="1366" t="s">
        <v>13</v>
      </c>
      <c r="O9" s="1366" t="s">
        <v>15</v>
      </c>
      <c r="P9" s="1366" t="s">
        <v>16</v>
      </c>
      <c r="Q9" s="37"/>
      <c r="R9" s="37"/>
      <c r="S9" s="37"/>
    </row>
    <row r="10" spans="1:19" ht="13" x14ac:dyDescent="0.3">
      <c r="A10" s="62"/>
      <c r="B10" s="253" t="str">
        <f>+IF($C$4=1,"1. Mòduls IRPF"," ")</f>
        <v xml:space="preserve"> </v>
      </c>
      <c r="C10" s="253"/>
      <c r="D10" s="51"/>
      <c r="E10" s="552"/>
      <c r="F10" s="552"/>
      <c r="G10" s="552"/>
      <c r="H10" s="1361"/>
      <c r="I10" s="51">
        <v>0</v>
      </c>
      <c r="J10" s="51">
        <v>0</v>
      </c>
      <c r="K10" s="51">
        <v>0</v>
      </c>
      <c r="L10" s="51">
        <v>0</v>
      </c>
      <c r="M10" s="51">
        <v>0</v>
      </c>
      <c r="N10" s="51">
        <v>0</v>
      </c>
      <c r="O10" s="51">
        <v>0</v>
      </c>
      <c r="P10" s="51">
        <v>0</v>
      </c>
      <c r="Q10" s="37"/>
      <c r="R10" s="37"/>
      <c r="S10" s="37"/>
    </row>
    <row r="11" spans="1:19" ht="13" x14ac:dyDescent="0.3">
      <c r="A11" s="62"/>
      <c r="B11" s="253" t="str">
        <f>+IF($C$4=1,"2. Estimació Directa"," ")</f>
        <v xml:space="preserve"> </v>
      </c>
      <c r="C11" s="51"/>
      <c r="D11" s="51"/>
      <c r="E11" s="1936"/>
      <c r="F11" s="1936"/>
      <c r="G11" s="1936"/>
      <c r="H11" s="1368"/>
      <c r="Q11" s="37"/>
      <c r="R11" s="37"/>
      <c r="S11" s="37"/>
    </row>
    <row r="12" spans="1:19" ht="13" x14ac:dyDescent="0.3">
      <c r="A12" s="62"/>
      <c r="B12" s="51"/>
      <c r="C12" s="51"/>
      <c r="D12" s="51"/>
      <c r="E12" s="1934" t="str">
        <f>IF($C$13=1,"Introdueix les quantitats de cada trimestre"," ")</f>
        <v xml:space="preserve"> </v>
      </c>
      <c r="F12" s="1934"/>
      <c r="G12" s="1934"/>
      <c r="H12" s="1934"/>
      <c r="Q12" s="37"/>
      <c r="R12" s="37"/>
      <c r="S12" s="37"/>
    </row>
    <row r="13" spans="1:19" ht="13" x14ac:dyDescent="0.3">
      <c r="A13" s="1935" t="str">
        <f>+IF(OR(C4=1,C4=2),"Règim del IVA"," ")</f>
        <v>Règim del IVA</v>
      </c>
      <c r="B13" s="1935"/>
      <c r="C13" s="1363"/>
      <c r="D13" s="253"/>
      <c r="E13" s="1364" t="str">
        <f>+IF($C$13=1,"Trim I"," ")</f>
        <v xml:space="preserve"> </v>
      </c>
      <c r="F13" s="1364" t="str">
        <f>+IF($C$13=1,"Trim II"," ")</f>
        <v xml:space="preserve"> </v>
      </c>
      <c r="G13" s="1364" t="str">
        <f>+IF($C$13=1,"Trim III"," ")</f>
        <v xml:space="preserve"> </v>
      </c>
      <c r="H13" s="1365" t="str">
        <f>+IF($C$13=1,"Trim IV"," ")</f>
        <v xml:space="preserve"> </v>
      </c>
      <c r="Q13" s="37"/>
      <c r="R13" s="37"/>
      <c r="S13" s="37"/>
    </row>
    <row r="14" spans="1:19" hidden="1" x14ac:dyDescent="0.25">
      <c r="A14" s="62"/>
      <c r="B14" s="51"/>
      <c r="C14" s="51"/>
      <c r="D14" s="51"/>
      <c r="E14" s="1366" t="s">
        <v>7</v>
      </c>
      <c r="F14" s="1366" t="s">
        <v>10</v>
      </c>
      <c r="G14" s="1366" t="s">
        <v>13</v>
      </c>
      <c r="H14" s="1367" t="s">
        <v>16</v>
      </c>
      <c r="I14" s="1366" t="s">
        <v>483</v>
      </c>
      <c r="J14" s="1366" t="s">
        <v>484</v>
      </c>
      <c r="K14" s="1366" t="s">
        <v>485</v>
      </c>
      <c r="L14" s="1366" t="s">
        <v>486</v>
      </c>
      <c r="M14" s="1366" t="s">
        <v>487</v>
      </c>
      <c r="N14" s="1366" t="s">
        <v>488</v>
      </c>
      <c r="O14" s="1366" t="s">
        <v>489</v>
      </c>
      <c r="P14" s="1366" t="s">
        <v>490</v>
      </c>
      <c r="Q14" s="37"/>
      <c r="R14" s="37"/>
      <c r="S14" s="37"/>
    </row>
    <row r="15" spans="1:19" ht="13" x14ac:dyDescent="0.3">
      <c r="A15" s="62"/>
      <c r="B15" s="51" t="str">
        <f>+IF(C8=1,"1. Mòduls IVA"," ")</f>
        <v xml:space="preserve"> </v>
      </c>
      <c r="C15" s="51"/>
      <c r="D15" s="51"/>
      <c r="E15" s="552"/>
      <c r="F15" s="552"/>
      <c r="G15" s="552"/>
      <c r="H15" s="1361"/>
      <c r="I15">
        <v>0</v>
      </c>
      <c r="J15">
        <v>0</v>
      </c>
      <c r="K15">
        <v>0</v>
      </c>
      <c r="L15">
        <v>0</v>
      </c>
      <c r="M15">
        <v>0</v>
      </c>
      <c r="N15">
        <v>0</v>
      </c>
      <c r="O15">
        <v>0</v>
      </c>
      <c r="P15">
        <v>0</v>
      </c>
      <c r="Q15" s="37"/>
      <c r="R15" s="37"/>
      <c r="S15" s="37"/>
    </row>
    <row r="16" spans="1:19" x14ac:dyDescent="0.25">
      <c r="A16" s="62"/>
      <c r="B16" s="51" t="str">
        <f>+IF(OR(C8=2,C4=2),"2. Règim General"," ")</f>
        <v>2. Règim General</v>
      </c>
      <c r="C16" s="51"/>
      <c r="D16" s="51"/>
      <c r="E16" s="51"/>
      <c r="F16" s="51"/>
      <c r="G16" s="51"/>
      <c r="H16" s="52"/>
      <c r="Q16" s="37"/>
      <c r="R16" s="37"/>
      <c r="S16" s="37"/>
    </row>
    <row r="17" spans="1:19" ht="12.75" customHeight="1" x14ac:dyDescent="0.3">
      <c r="A17" s="62"/>
      <c r="B17" s="51" t="str">
        <f>+IF(OR(C8=1,C8=2),"3. Recàrrec d'Equivalència"," ")</f>
        <v xml:space="preserve"> </v>
      </c>
      <c r="C17" s="51"/>
      <c r="D17" s="51"/>
      <c r="E17" s="1934"/>
      <c r="F17" s="1934"/>
      <c r="G17" s="1934"/>
      <c r="H17" s="1934"/>
      <c r="Q17" s="37"/>
      <c r="R17" s="37"/>
      <c r="S17" s="37"/>
    </row>
    <row r="18" spans="1:19" x14ac:dyDescent="0.25">
      <c r="A18" s="415"/>
      <c r="B18" s="404"/>
      <c r="C18" s="404"/>
      <c r="D18" s="404"/>
      <c r="E18" s="404"/>
      <c r="F18" s="404"/>
      <c r="G18" s="404"/>
      <c r="H18" s="205"/>
      <c r="Q18" s="37"/>
      <c r="R18" s="37"/>
      <c r="S18" s="37"/>
    </row>
    <row r="19" spans="1:19" x14ac:dyDescent="0.25">
      <c r="Q19" s="37"/>
      <c r="R19" s="37"/>
      <c r="S19" s="37"/>
    </row>
    <row r="20" spans="1:19" ht="13" hidden="1" x14ac:dyDescent="0.3">
      <c r="B20" s="1937" t="s">
        <v>491</v>
      </c>
      <c r="C20" s="1937"/>
      <c r="D20" s="1937"/>
      <c r="J20" s="1369" t="s">
        <v>492</v>
      </c>
      <c r="Q20" s="37"/>
      <c r="R20" s="37"/>
      <c r="S20" s="37"/>
    </row>
    <row r="21" spans="1:19" ht="13" hidden="1" x14ac:dyDescent="0.3">
      <c r="B21" s="1938" t="s">
        <v>493</v>
      </c>
      <c r="C21" s="1938"/>
      <c r="D21" s="1938"/>
      <c r="E21" s="1370" t="b">
        <f>+AND($C$4=1,$C$8=1,$C$13=1)</f>
        <v>0</v>
      </c>
      <c r="F21" s="1371" t="s">
        <v>135</v>
      </c>
      <c r="H21" s="1372" t="str">
        <f>VLOOKUP(TRUE,$E$21:$F$25,2,FALSE)</f>
        <v>E</v>
      </c>
      <c r="J21" s="1373">
        <f>+IF(H5="SI",0.3,IF(H5="NO",0.1,0))</f>
        <v>0.1</v>
      </c>
      <c r="Q21" s="37"/>
      <c r="R21" s="37"/>
      <c r="S21" s="37"/>
    </row>
    <row r="22" spans="1:19" hidden="1" x14ac:dyDescent="0.25">
      <c r="B22" s="1938" t="s">
        <v>494</v>
      </c>
      <c r="C22" s="1938"/>
      <c r="D22" s="1938"/>
      <c r="E22" s="1370" t="b">
        <f>+AND($C$4=1,$C$8=1,$C$13=3)</f>
        <v>0</v>
      </c>
      <c r="F22" s="1371" t="s">
        <v>137</v>
      </c>
      <c r="Q22" s="37"/>
      <c r="R22" s="37"/>
      <c r="S22" s="37"/>
    </row>
    <row r="23" spans="1:19" hidden="1" x14ac:dyDescent="0.25">
      <c r="B23" s="1938" t="s">
        <v>495</v>
      </c>
      <c r="C23" s="1938"/>
      <c r="D23" s="1938"/>
      <c r="E23" s="1370" t="b">
        <f>+AND($C$4=1,$C$8=2,$C$13=2)</f>
        <v>0</v>
      </c>
      <c r="F23" s="1371" t="s">
        <v>139</v>
      </c>
      <c r="Q23" s="37"/>
      <c r="R23" s="37"/>
      <c r="S23" s="37"/>
    </row>
    <row r="24" spans="1:19" ht="13" hidden="1" x14ac:dyDescent="0.3">
      <c r="B24" s="1938" t="s">
        <v>496</v>
      </c>
      <c r="C24" s="1938"/>
      <c r="D24" s="1938"/>
      <c r="E24" s="1370" t="b">
        <f>+AND($C$4=1,$C$8=2,$C$13=3)</f>
        <v>0</v>
      </c>
      <c r="F24" s="1371" t="s">
        <v>136</v>
      </c>
      <c r="H24" s="1374">
        <f>+IF(OR(H21="A",H21="B"),H21,H28)</f>
        <v>0.2</v>
      </c>
      <c r="Q24" s="37"/>
      <c r="R24" s="37"/>
      <c r="S24" s="37"/>
    </row>
    <row r="25" spans="1:19" hidden="1" x14ac:dyDescent="0.25">
      <c r="B25" s="1938" t="s">
        <v>497</v>
      </c>
      <c r="C25" s="1938"/>
      <c r="D25" s="1938"/>
      <c r="E25" s="1370" t="b">
        <f>+AND($C$4=2)</f>
        <v>1</v>
      </c>
      <c r="F25" s="1371" t="s">
        <v>138</v>
      </c>
      <c r="Q25" s="37"/>
      <c r="R25" s="37"/>
      <c r="S25" s="37"/>
    </row>
    <row r="26" spans="1:19" hidden="1" x14ac:dyDescent="0.25">
      <c r="Q26" s="37"/>
      <c r="R26" s="37"/>
      <c r="S26" s="37"/>
    </row>
    <row r="27" spans="1:19" ht="13" hidden="1" x14ac:dyDescent="0.3">
      <c r="B27" s="1375" t="s">
        <v>404</v>
      </c>
      <c r="F27" s="1376" t="s">
        <v>498</v>
      </c>
      <c r="G27" s="1376" t="s">
        <v>499</v>
      </c>
      <c r="Q27" s="37"/>
      <c r="R27" s="37"/>
      <c r="S27" s="37"/>
    </row>
    <row r="28" spans="1:19" ht="13" hidden="1" x14ac:dyDescent="0.3">
      <c r="B28" s="1938" t="s">
        <v>500</v>
      </c>
      <c r="C28" s="1938"/>
      <c r="D28" s="1938"/>
      <c r="E28" s="1370" t="b">
        <f>+AND($C$4=2,$H$5="SI",$H$6="no")</f>
        <v>0</v>
      </c>
      <c r="F28" s="1377">
        <v>0.2</v>
      </c>
      <c r="G28" s="1377">
        <v>0.18</v>
      </c>
      <c r="H28" s="1372">
        <f>VLOOKUP(TRUE,$E$28:$F$32,2,FALSE)</f>
        <v>0.2</v>
      </c>
      <c r="Q28" s="37"/>
      <c r="R28" s="37"/>
      <c r="S28" s="37"/>
    </row>
    <row r="29" spans="1:19" hidden="1" x14ac:dyDescent="0.25">
      <c r="B29" s="1938" t="s">
        <v>501</v>
      </c>
      <c r="C29" s="1938"/>
      <c r="D29" s="1938"/>
      <c r="E29" s="1370" t="b">
        <f>+AND($C$4=2,$H$5="SI",$H$6="si")</f>
        <v>0</v>
      </c>
      <c r="F29" s="1377">
        <v>0.1</v>
      </c>
      <c r="G29" s="1377">
        <v>0.18</v>
      </c>
      <c r="Q29" s="37"/>
      <c r="R29" s="37"/>
      <c r="S29" s="37"/>
    </row>
    <row r="30" spans="1:19" hidden="1" x14ac:dyDescent="0.25">
      <c r="B30" s="1938" t="s">
        <v>502</v>
      </c>
      <c r="C30" s="1938"/>
      <c r="D30" s="1938"/>
      <c r="E30" s="1370" t="b">
        <f>+AND($C$4=2,$H$5="NO",$H$6="si")</f>
        <v>1</v>
      </c>
      <c r="F30" s="1377">
        <v>0.2</v>
      </c>
      <c r="G30" s="1377">
        <v>0.18</v>
      </c>
      <c r="Q30" s="37"/>
      <c r="R30" s="37"/>
      <c r="S30" s="37"/>
    </row>
    <row r="31" spans="1:19" hidden="1" x14ac:dyDescent="0.25">
      <c r="B31" s="1938" t="s">
        <v>503</v>
      </c>
      <c r="C31" s="1938"/>
      <c r="D31" s="1938"/>
      <c r="E31" s="1370" t="b">
        <f>+AND($C$4=2,$H$5="NO",$H$6="NO")</f>
        <v>0</v>
      </c>
      <c r="F31" s="1378">
        <v>0.25</v>
      </c>
      <c r="G31" s="1377">
        <v>0.18</v>
      </c>
      <c r="Q31" s="37"/>
      <c r="R31" s="37"/>
      <c r="S31" s="37"/>
    </row>
    <row r="32" spans="1:19" hidden="1" x14ac:dyDescent="0.25">
      <c r="B32" s="1938" t="s">
        <v>504</v>
      </c>
      <c r="C32" s="1938"/>
      <c r="D32" s="1938"/>
      <c r="E32" s="1370" t="b">
        <f>+AND(+OR(H21="C",H21="D"))</f>
        <v>0</v>
      </c>
      <c r="F32" s="1377">
        <v>0.2</v>
      </c>
      <c r="Q32" s="37"/>
      <c r="R32" s="37"/>
      <c r="S32" s="37"/>
    </row>
    <row r="33" spans="1:19" x14ac:dyDescent="0.25">
      <c r="A33" s="37"/>
      <c r="B33" s="37"/>
      <c r="C33" s="37"/>
      <c r="D33" s="37"/>
      <c r="E33" s="37"/>
      <c r="F33" s="37"/>
      <c r="G33" s="37"/>
      <c r="H33" s="37"/>
      <c r="Q33" s="37"/>
      <c r="R33" s="37"/>
      <c r="S33" s="37"/>
    </row>
    <row r="34" spans="1:19" x14ac:dyDescent="0.25">
      <c r="A34" s="37"/>
      <c r="B34" s="37"/>
      <c r="C34" s="37"/>
      <c r="D34" s="37"/>
      <c r="E34" s="37"/>
      <c r="F34" s="37"/>
      <c r="G34" s="37"/>
      <c r="H34" s="37"/>
      <c r="Q34" s="37"/>
      <c r="R34" s="37"/>
      <c r="S34" s="37"/>
    </row>
    <row r="35" spans="1:19" x14ac:dyDescent="0.25">
      <c r="A35" s="37"/>
      <c r="B35" s="37"/>
      <c r="C35" s="37"/>
      <c r="D35" s="37"/>
      <c r="E35" s="37"/>
      <c r="F35" s="37"/>
      <c r="G35" s="37"/>
      <c r="H35" s="37"/>
      <c r="Q35" s="37"/>
      <c r="R35" s="37"/>
      <c r="S35" s="37"/>
    </row>
    <row r="36" spans="1:19" x14ac:dyDescent="0.25">
      <c r="A36" s="37"/>
      <c r="B36" s="37"/>
      <c r="C36" s="37"/>
      <c r="D36" s="37"/>
      <c r="E36" s="37"/>
      <c r="F36" s="37"/>
      <c r="G36" s="37"/>
      <c r="H36" s="37"/>
      <c r="Q36" s="37"/>
      <c r="R36" s="37"/>
      <c r="S36" s="37"/>
    </row>
    <row r="37" spans="1:19" x14ac:dyDescent="0.25">
      <c r="A37" s="37"/>
      <c r="B37" s="37"/>
      <c r="C37" s="37"/>
      <c r="D37" s="37"/>
      <c r="E37" s="37"/>
      <c r="F37" s="37"/>
      <c r="G37" s="37"/>
      <c r="H37" s="37"/>
      <c r="Q37" s="37"/>
      <c r="R37" s="37"/>
      <c r="S37" s="37"/>
    </row>
  </sheetData>
  <sheetProtection password="CC2F" sheet="1" objects="1" scenarios="1"/>
  <mergeCells count="19">
    <mergeCell ref="B22:D22"/>
    <mergeCell ref="B23:D23"/>
    <mergeCell ref="B30:D30"/>
    <mergeCell ref="B31:D31"/>
    <mergeCell ref="B32:D32"/>
    <mergeCell ref="B24:D24"/>
    <mergeCell ref="B25:D25"/>
    <mergeCell ref="B28:D28"/>
    <mergeCell ref="B29:D29"/>
    <mergeCell ref="E12:H12"/>
    <mergeCell ref="A13:B13"/>
    <mergeCell ref="E17:H17"/>
    <mergeCell ref="B20:D20"/>
    <mergeCell ref="B21:D21"/>
    <mergeCell ref="A4:B4"/>
    <mergeCell ref="E6:G6"/>
    <mergeCell ref="E7:H7"/>
    <mergeCell ref="A8:B8"/>
    <mergeCell ref="E11:G11"/>
  </mergeCells>
  <phoneticPr fontId="22" type="noConversion"/>
  <conditionalFormatting sqref="C10">
    <cfRule type="expression" dxfId="32" priority="1" stopIfTrue="1">
      <formula>"si($C$2=1)"</formula>
    </cfRule>
  </conditionalFormatting>
  <conditionalFormatting sqref="C8">
    <cfRule type="expression" dxfId="31" priority="2" stopIfTrue="1">
      <formula>$C$4=1</formula>
    </cfRule>
    <cfRule type="cellIs" priority="3" stopIfTrue="1" operator="notEqual">
      <formula>1</formula>
    </cfRule>
  </conditionalFormatting>
  <conditionalFormatting sqref="C13">
    <cfRule type="expression" dxfId="30" priority="4" stopIfTrue="1">
      <formula>$C$4=1</formula>
    </cfRule>
    <cfRule type="cellIs" dxfId="29" priority="5" stopIfTrue="1" operator="notEqual">
      <formula>1</formula>
    </cfRule>
  </conditionalFormatting>
  <conditionalFormatting sqref="H5">
    <cfRule type="expression" dxfId="28" priority="6" stopIfTrue="1">
      <formula>$C$4=2</formula>
    </cfRule>
  </conditionalFormatting>
  <conditionalFormatting sqref="H6">
    <cfRule type="expression" dxfId="27" priority="7" stopIfTrue="1">
      <formula>$H$5="SI"</formula>
    </cfRule>
    <cfRule type="expression" dxfId="26" priority="8" stopIfTrue="1">
      <formula>$H$5="no"</formula>
    </cfRule>
  </conditionalFormatting>
  <conditionalFormatting sqref="E5:G5">
    <cfRule type="expression" dxfId="25" priority="9" stopIfTrue="1">
      <formula>$C$4=2</formula>
    </cfRule>
  </conditionalFormatting>
  <conditionalFormatting sqref="E6:G6">
    <cfRule type="expression" dxfId="24" priority="10" stopIfTrue="1">
      <formula>+OR($H$5="si",$H$5="no")</formula>
    </cfRule>
  </conditionalFormatting>
  <conditionalFormatting sqref="E10:H10">
    <cfRule type="expression" dxfId="23" priority="11" stopIfTrue="1">
      <formula>$C$8=1</formula>
    </cfRule>
  </conditionalFormatting>
  <conditionalFormatting sqref="E7:H7">
    <cfRule type="expression" dxfId="22" priority="12" stopIfTrue="1">
      <formula>$C$8=1</formula>
    </cfRule>
  </conditionalFormatting>
  <conditionalFormatting sqref="E12:H12">
    <cfRule type="expression" dxfId="21" priority="13" stopIfTrue="1">
      <formula>$C$13=1</formula>
    </cfRule>
  </conditionalFormatting>
  <conditionalFormatting sqref="E15:H15">
    <cfRule type="expression" dxfId="20" priority="14" stopIfTrue="1">
      <formula>$C$13=1</formula>
    </cfRule>
  </conditionalFormatting>
  <conditionalFormatting sqref="A8:B8 B10:B11">
    <cfRule type="expression" dxfId="19" priority="15" stopIfTrue="1">
      <formula>$C$4=1</formula>
    </cfRule>
  </conditionalFormatting>
  <conditionalFormatting sqref="A13:B13">
    <cfRule type="expression" dxfId="18" priority="16" stopIfTrue="1">
      <formula>$C$4=1</formula>
    </cfRule>
    <cfRule type="expression" dxfId="17" priority="17" stopIfTrue="1">
      <formula>$C$4=2</formula>
    </cfRule>
  </conditionalFormatting>
  <conditionalFormatting sqref="B15">
    <cfRule type="expression" dxfId="16" priority="18" stopIfTrue="1">
      <formula>$C$8=1</formula>
    </cfRule>
  </conditionalFormatting>
  <conditionalFormatting sqref="B17">
    <cfRule type="expression" dxfId="15" priority="19" stopIfTrue="1">
      <formula>$C$8=1</formula>
    </cfRule>
    <cfRule type="expression" dxfId="14" priority="20" stopIfTrue="1">
      <formula>$C$8=2</formula>
    </cfRule>
  </conditionalFormatting>
  <conditionalFormatting sqref="B16">
    <cfRule type="expression" dxfId="13" priority="21" stopIfTrue="1">
      <formula>OR($C$8=2,$C$4=2)</formula>
    </cfRule>
  </conditionalFormatting>
  <dataValidations count="6">
    <dataValidation type="list" errorStyle="information" allowBlank="1" showErrorMessage="1" error="Recuerda que sólo puedes introducir un 1 si tributas por IRPF y un 2 si tributas por Impuesto de Sociedades._x000a_" promptTitle="Primer paso" prompt="Pon 1 si tributas por IRPF y 2 si tributas por Impuesto de Sociedades." sqref="C4" xr:uid="{00000000-0002-0000-1200-000000000000}">
      <formula1>$K$5:$K$6</formula1>
      <formula2>0</formula2>
    </dataValidation>
    <dataValidation type="list" errorStyle="information" allowBlank="1" showErrorMessage="1" error="Las únicas respuestas válidas son Si y No" sqref="H5:H6" xr:uid="{00000000-0002-0000-1200-000001000000}">
      <formula1>$L$5:$L$6</formula1>
      <formula2>0</formula2>
    </dataValidation>
    <dataValidation type="decimal" errorStyle="warning" allowBlank="1" showErrorMessage="1" error="Esta casilla sólo puede contener números." sqref="E10:H10" xr:uid="{00000000-0002-0000-1200-000002000000}">
      <formula1>0</formula1>
      <formula2>1000000</formula2>
    </dataValidation>
    <dataValidation type="decimal" allowBlank="1" showErrorMessage="1" error="Esta casilla sólo puede contener números." sqref="E15:H15" xr:uid="{00000000-0002-0000-1200-000003000000}">
      <formula1>0</formula1>
      <formula2>1000000</formula2>
    </dataValidation>
    <dataValidation type="list" errorStyle="information" allowBlank="1" showErrorMessage="1" error="Elige 1 si estas sujeto al régimen de módulos y 2 si has elegido estimación directa._x000a_" sqref="C8" xr:uid="{00000000-0002-0000-1200-000004000000}">
      <formula1>$K$5:$K$6</formula1>
      <formula2>0</formula2>
    </dataValidation>
    <dataValidation type="whole" allowBlank="1" showErrorMessage="1" sqref="C13" xr:uid="{00000000-0002-0000-1200-000005000000}">
      <formula1>1</formula1>
      <formula2>3</formula2>
    </dataValidation>
  </dataValidations>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60" r:id="rId4" name="Button 4">
              <controlPr defaultSize="0" autoFill="0" autoLine="0" autoPict="0">
                <anchor moveWithCells="1" sizeWithCells="1">
                  <from>
                    <xdr:col>3</xdr:col>
                    <xdr:colOff>317500</xdr:colOff>
                    <xdr:row>0</xdr:row>
                    <xdr:rowOff>152400</xdr:rowOff>
                  </from>
                  <to>
                    <xdr:col>5</xdr:col>
                    <xdr:colOff>317500</xdr:colOff>
                    <xdr:row>2</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7"/>
  <dimension ref="A1:E100"/>
  <sheetViews>
    <sheetView workbookViewId="0">
      <selection activeCell="B23" sqref="B23"/>
    </sheetView>
  </sheetViews>
  <sheetFormatPr defaultColWidth="11.453125" defaultRowHeight="13" x14ac:dyDescent="0.3"/>
  <cols>
    <col min="1" max="1" width="35.7265625" customWidth="1"/>
    <col min="2" max="2" width="11.453125" style="7"/>
    <col min="4" max="4" width="35.7265625" customWidth="1"/>
  </cols>
  <sheetData>
    <row r="1" spans="1:5" x14ac:dyDescent="0.3">
      <c r="A1" s="8" t="s">
        <v>17</v>
      </c>
      <c r="B1"/>
    </row>
    <row r="2" spans="1:5" x14ac:dyDescent="0.3">
      <c r="B2" s="9"/>
    </row>
    <row r="3" spans="1:5" x14ac:dyDescent="0.3">
      <c r="A3" s="10" t="s">
        <v>18</v>
      </c>
      <c r="B3" s="11">
        <f>SUM(B4:B13)</f>
        <v>0</v>
      </c>
      <c r="C3" s="12"/>
      <c r="D3" s="13" t="s">
        <v>19</v>
      </c>
      <c r="E3" s="11">
        <f>SUM(E4:E13)</f>
        <v>0</v>
      </c>
    </row>
    <row r="4" spans="1:5" x14ac:dyDescent="0.3">
      <c r="A4" s="14" t="s">
        <v>20</v>
      </c>
      <c r="B4" s="15">
        <f>TRESORERIA!O52</f>
        <v>0</v>
      </c>
      <c r="C4" s="12"/>
      <c r="D4" s="14" t="s">
        <v>21</v>
      </c>
      <c r="E4" s="15">
        <f>'INGRESSOS _ COMPRES'!O2-TRESORERIA!O13</f>
        <v>0</v>
      </c>
    </row>
    <row r="5" spans="1:5" x14ac:dyDescent="0.3">
      <c r="A5" s="14" t="s">
        <v>22</v>
      </c>
      <c r="B5" s="15">
        <f>+IF(OR(Fiscalitat!$H$21="a",Fiscalitat!$H$21="B",Fiscalitat!$H$21="D"),0,TRESORERIA!O53)</f>
        <v>0</v>
      </c>
      <c r="C5" s="12"/>
      <c r="D5" s="14" t="s">
        <v>23</v>
      </c>
      <c r="E5" s="15">
        <f>'INGRESSOS _ COMPRES'!O17-TRESORERIA!O14</f>
        <v>0</v>
      </c>
    </row>
    <row r="6" spans="1:5" x14ac:dyDescent="0.3">
      <c r="A6" s="14" t="s">
        <v>24</v>
      </c>
      <c r="B6" s="15">
        <f>+IF(OR(Fiscalitat!$H$21="a",Fiscalitat!$H$21="B",Fiscalitat!$H$21="D"),0,TRESORERIA!O58)</f>
        <v>0</v>
      </c>
      <c r="C6" s="12"/>
      <c r="D6" s="14" t="s">
        <v>25</v>
      </c>
      <c r="E6" s="15">
        <f>TRESORERIA!O83</f>
        <v>0</v>
      </c>
    </row>
    <row r="7" spans="1:5" x14ac:dyDescent="0.3">
      <c r="A7" s="14" t="s">
        <v>26</v>
      </c>
      <c r="B7" s="15">
        <f>TRESORERIA!O61</f>
        <v>0</v>
      </c>
      <c r="C7" s="12"/>
      <c r="D7" s="14" t="s">
        <v>27</v>
      </c>
      <c r="E7" s="15"/>
    </row>
    <row r="8" spans="1:5" x14ac:dyDescent="0.3">
      <c r="A8" s="14" t="s">
        <v>28</v>
      </c>
      <c r="B8" s="15">
        <f>TRESORERIA!O50</f>
        <v>0</v>
      </c>
      <c r="C8" s="12"/>
      <c r="D8" s="14" t="s">
        <v>29</v>
      </c>
      <c r="E8" s="15">
        <f>TRESORERIA!O84-TRESORERIA!O16</f>
        <v>0</v>
      </c>
    </row>
    <row r="9" spans="1:5" x14ac:dyDescent="0.3">
      <c r="A9" s="14" t="s">
        <v>30</v>
      </c>
      <c r="B9" s="15">
        <f>'Balanç de situació'!D38</f>
        <v>0</v>
      </c>
      <c r="C9" s="12"/>
      <c r="D9" s="14"/>
      <c r="E9" s="15"/>
    </row>
    <row r="10" spans="1:5" x14ac:dyDescent="0.3">
      <c r="A10" s="14" t="s">
        <v>31</v>
      </c>
      <c r="B10" s="15">
        <f>-'Resultats anuals'!B13</f>
        <v>0</v>
      </c>
      <c r="C10" s="12"/>
      <c r="D10" s="14"/>
      <c r="E10" s="15"/>
    </row>
    <row r="11" spans="1:5" x14ac:dyDescent="0.3">
      <c r="A11" s="14" t="s">
        <v>32</v>
      </c>
      <c r="B11" s="15">
        <f>+TRESORERIA!C25</f>
        <v>0</v>
      </c>
      <c r="C11" s="12"/>
      <c r="D11" s="14"/>
      <c r="E11" s="15"/>
    </row>
    <row r="12" spans="1:5" x14ac:dyDescent="0.3">
      <c r="A12" s="16"/>
      <c r="B12" s="15"/>
      <c r="C12" s="12"/>
      <c r="D12" s="14"/>
      <c r="E12" s="15"/>
    </row>
    <row r="13" spans="1:5" x14ac:dyDescent="0.3">
      <c r="A13" s="16"/>
      <c r="B13" s="15"/>
      <c r="C13" s="12"/>
      <c r="D13" s="14"/>
      <c r="E13" s="15"/>
    </row>
    <row r="14" spans="1:5" ht="12.5" x14ac:dyDescent="0.25">
      <c r="B14" s="12"/>
      <c r="C14" s="12"/>
      <c r="D14" s="12"/>
      <c r="E14" s="12"/>
    </row>
    <row r="15" spans="1:5" x14ac:dyDescent="0.3">
      <c r="A15" s="17" t="s">
        <v>33</v>
      </c>
      <c r="B15" s="11">
        <f>SUM(B16:B25)</f>
        <v>0</v>
      </c>
      <c r="C15" s="12"/>
      <c r="D15" s="17" t="s">
        <v>34</v>
      </c>
      <c r="E15" s="11">
        <f>SUM(E16:E25)</f>
        <v>0</v>
      </c>
    </row>
    <row r="16" spans="1:5" x14ac:dyDescent="0.3">
      <c r="A16" s="14" t="s">
        <v>35</v>
      </c>
      <c r="B16" s="15">
        <f>'Resultats per mesos'!I41</f>
        <v>0</v>
      </c>
      <c r="C16" s="12"/>
      <c r="D16" s="14" t="s">
        <v>36</v>
      </c>
      <c r="E16" s="15">
        <f>TRESORERIA!O60</f>
        <v>0</v>
      </c>
    </row>
    <row r="17" spans="1:5" x14ac:dyDescent="0.3">
      <c r="A17" s="14" t="s">
        <v>37</v>
      </c>
      <c r="B17" s="15">
        <f>'Resultats per mesos'!I42</f>
        <v>0</v>
      </c>
      <c r="C17" s="12"/>
      <c r="D17" s="14" t="s">
        <v>38</v>
      </c>
      <c r="E17" s="15">
        <f>TRESORERIA!C56</f>
        <v>0</v>
      </c>
    </row>
    <row r="18" spans="1:5" x14ac:dyDescent="0.3">
      <c r="A18" s="14" t="s">
        <v>39</v>
      </c>
      <c r="B18" s="15">
        <f>PROMOTORS!N44+PERSONAL!N64+PERSONAL!N70</f>
        <v>0</v>
      </c>
      <c r="C18" s="12"/>
      <c r="D18" s="14" t="s">
        <v>40</v>
      </c>
      <c r="E18" s="15">
        <f>TRESORERIA!O15</f>
        <v>0</v>
      </c>
    </row>
    <row r="19" spans="1:5" x14ac:dyDescent="0.3">
      <c r="A19" s="14" t="s">
        <v>41</v>
      </c>
      <c r="B19" s="15">
        <f>PROMOTORS!O89+PERSONAL!O95</f>
        <v>0</v>
      </c>
      <c r="C19" s="12"/>
      <c r="D19" s="14" t="s">
        <v>42</v>
      </c>
      <c r="E19" s="15">
        <f>TRESORERIA!O18</f>
        <v>0</v>
      </c>
    </row>
    <row r="20" spans="1:5" x14ac:dyDescent="0.3">
      <c r="A20" s="14" t="s">
        <v>43</v>
      </c>
      <c r="B20" s="15">
        <f>IF(Fiscalitat!H21="e",TRIBUTS!O31,TRIBUTS!O31+VARIABLES!N62)</f>
        <v>0</v>
      </c>
      <c r="C20" s="12"/>
      <c r="D20" s="14"/>
      <c r="E20" s="15"/>
    </row>
    <row r="21" spans="1:5" x14ac:dyDescent="0.3">
      <c r="A21" s="14" t="s">
        <v>44</v>
      </c>
      <c r="B21" s="15">
        <f>'INGRESSOS _ COMPRES'!O34-TRESORERIA!O23</f>
        <v>0</v>
      </c>
      <c r="C21" s="12"/>
      <c r="D21" s="14"/>
      <c r="E21" s="15"/>
    </row>
    <row r="22" spans="1:5" x14ac:dyDescent="0.3">
      <c r="A22" s="14" t="s">
        <v>45</v>
      </c>
      <c r="B22" s="15">
        <f>'INGRESSOS _ COMPRES'!O49-TRESORERIA!O24</f>
        <v>0</v>
      </c>
      <c r="C22" s="12"/>
      <c r="D22" s="14"/>
      <c r="E22" s="15"/>
    </row>
    <row r="23" spans="1:5" x14ac:dyDescent="0.3">
      <c r="A23" s="14" t="s">
        <v>46</v>
      </c>
      <c r="B23" s="15">
        <f>+IF(Fiscalitat!$H$21="e",VARIABLES!N62,0)</f>
        <v>0</v>
      </c>
      <c r="C23" s="12"/>
      <c r="D23" s="14"/>
      <c r="E23" s="15"/>
    </row>
    <row r="24" spans="1:5" x14ac:dyDescent="0.3">
      <c r="A24" s="16"/>
      <c r="B24" s="15"/>
      <c r="C24" s="12"/>
      <c r="D24" s="14"/>
      <c r="E24" s="15"/>
    </row>
    <row r="25" spans="1:5" x14ac:dyDescent="0.3">
      <c r="A25" s="16"/>
      <c r="B25" s="15"/>
      <c r="C25" s="12"/>
      <c r="D25" s="14"/>
      <c r="E25" s="15"/>
    </row>
    <row r="26" spans="1:5" x14ac:dyDescent="0.3">
      <c r="B26" s="18"/>
      <c r="C26" s="12"/>
      <c r="D26" s="12"/>
      <c r="E26" s="12"/>
    </row>
    <row r="27" spans="1:5" x14ac:dyDescent="0.3">
      <c r="A27" s="19" t="s">
        <v>47</v>
      </c>
      <c r="B27" s="12"/>
      <c r="C27" s="12"/>
      <c r="D27" s="12"/>
      <c r="E27" s="12"/>
    </row>
    <row r="28" spans="1:5" x14ac:dyDescent="0.3">
      <c r="B28" s="18"/>
      <c r="C28" s="12"/>
      <c r="D28" s="12"/>
      <c r="E28" s="12"/>
    </row>
    <row r="29" spans="1:5" x14ac:dyDescent="0.3">
      <c r="A29" s="13" t="s">
        <v>18</v>
      </c>
      <c r="B29" s="11">
        <f>SUM(B30:B41)</f>
        <v>0</v>
      </c>
      <c r="C29" s="12"/>
      <c r="D29" s="13" t="s">
        <v>19</v>
      </c>
      <c r="E29" s="11">
        <f>SUM(E30:E40)</f>
        <v>0</v>
      </c>
    </row>
    <row r="30" spans="1:5" x14ac:dyDescent="0.3">
      <c r="A30" s="14" t="s">
        <v>20</v>
      </c>
      <c r="B30" s="15">
        <f>TRESORERIA!O137</f>
        <v>0</v>
      </c>
      <c r="C30" s="12"/>
      <c r="D30" s="14" t="s">
        <v>21</v>
      </c>
      <c r="E30" s="15">
        <f>'INGRESSOS _ COMPRES'!O68-TRESORERIA!O99+E4</f>
        <v>0</v>
      </c>
    </row>
    <row r="31" spans="1:5" x14ac:dyDescent="0.3">
      <c r="A31" s="14" t="s">
        <v>48</v>
      </c>
      <c r="B31" s="15">
        <f>TRESORERIA!O135</f>
        <v>0</v>
      </c>
      <c r="C31" s="12"/>
      <c r="D31" s="14" t="s">
        <v>23</v>
      </c>
      <c r="E31" s="15">
        <f>'INGRESSOS _ COMPRES'!O83-TRESORERIA!O100+E5</f>
        <v>0</v>
      </c>
    </row>
    <row r="32" spans="1:5" x14ac:dyDescent="0.3">
      <c r="A32" s="14" t="s">
        <v>22</v>
      </c>
      <c r="B32" s="15">
        <f>+IF(OR(Fiscalitat!$H$21="a",Fiscalitat!$H$21="B",Fiscalitat!$H$21="D"),0,TRESORERIA!O138)</f>
        <v>0</v>
      </c>
      <c r="C32" s="12"/>
      <c r="D32" s="14" t="s">
        <v>25</v>
      </c>
      <c r="E32" s="15">
        <f>TRESORERIA!O168</f>
        <v>0</v>
      </c>
    </row>
    <row r="33" spans="1:5" x14ac:dyDescent="0.3">
      <c r="A33" s="14" t="s">
        <v>24</v>
      </c>
      <c r="B33" s="15">
        <f>+IF(OR(Fiscalitat!$H$21="a",Fiscalitat!$H$21="B",Fiscalitat!$H$21="D"),0,TRESORERIA!O143)</f>
        <v>0</v>
      </c>
      <c r="C33" s="12"/>
      <c r="D33" s="14" t="s">
        <v>29</v>
      </c>
      <c r="E33" s="15">
        <f>E8+TRESORERIA!O169-TRESORERIA!O102</f>
        <v>0</v>
      </c>
    </row>
    <row r="34" spans="1:5" x14ac:dyDescent="0.3">
      <c r="A34" s="14" t="s">
        <v>26</v>
      </c>
      <c r="B34" s="15">
        <f>TRESORERIA!O146</f>
        <v>0</v>
      </c>
      <c r="C34" s="12"/>
      <c r="D34" s="14"/>
      <c r="E34" s="15"/>
    </row>
    <row r="35" spans="1:5" x14ac:dyDescent="0.3">
      <c r="A35" s="14" t="s">
        <v>49</v>
      </c>
      <c r="B35" s="15">
        <f>B19</f>
        <v>0</v>
      </c>
      <c r="C35" s="12"/>
      <c r="D35" s="14"/>
      <c r="E35" s="15"/>
    </row>
    <row r="36" spans="1:5" x14ac:dyDescent="0.3">
      <c r="A36" s="14" t="s">
        <v>50</v>
      </c>
      <c r="B36" s="15">
        <f>B21</f>
        <v>0</v>
      </c>
      <c r="C36" s="12"/>
      <c r="D36" s="14"/>
      <c r="E36" s="15"/>
    </row>
    <row r="37" spans="1:5" x14ac:dyDescent="0.3">
      <c r="A37" s="14" t="s">
        <v>51</v>
      </c>
      <c r="B37" s="15">
        <f>B22</f>
        <v>0</v>
      </c>
      <c r="C37" s="12"/>
      <c r="D37" s="14"/>
      <c r="E37" s="15"/>
    </row>
    <row r="38" spans="1:5" x14ac:dyDescent="0.3">
      <c r="A38" s="14" t="s">
        <v>52</v>
      </c>
      <c r="B38" s="15">
        <f>B20</f>
        <v>0</v>
      </c>
      <c r="C38" s="12"/>
      <c r="D38" s="14"/>
      <c r="E38" s="15"/>
    </row>
    <row r="39" spans="1:5" x14ac:dyDescent="0.3">
      <c r="A39" s="14" t="s">
        <v>53</v>
      </c>
      <c r="B39" s="15">
        <f>B18</f>
        <v>0</v>
      </c>
      <c r="C39" s="12"/>
      <c r="D39" s="14"/>
      <c r="E39" s="15"/>
    </row>
    <row r="40" spans="1:5" x14ac:dyDescent="0.3">
      <c r="A40" s="14" t="s">
        <v>31</v>
      </c>
      <c r="B40" s="15">
        <f>-'Resultats anuals'!D13</f>
        <v>0</v>
      </c>
      <c r="C40" s="12"/>
      <c r="D40" s="14"/>
      <c r="E40" s="15"/>
    </row>
    <row r="41" spans="1:5" x14ac:dyDescent="0.3">
      <c r="A41" s="14" t="s">
        <v>54</v>
      </c>
      <c r="B41" s="15">
        <f>+B23</f>
        <v>0</v>
      </c>
      <c r="C41" s="12"/>
      <c r="D41" s="14"/>
      <c r="E41" s="15"/>
    </row>
    <row r="42" spans="1:5" x14ac:dyDescent="0.3">
      <c r="A42" s="16"/>
      <c r="B42" s="15"/>
      <c r="C42" s="12"/>
      <c r="D42" s="12"/>
      <c r="E42" s="12"/>
    </row>
    <row r="43" spans="1:5" x14ac:dyDescent="0.3">
      <c r="B43" s="18"/>
      <c r="C43" s="12"/>
      <c r="D43" s="12"/>
      <c r="E43" s="12"/>
    </row>
    <row r="44" spans="1:5" x14ac:dyDescent="0.3">
      <c r="A44" s="17" t="s">
        <v>33</v>
      </c>
      <c r="B44" s="11">
        <f>SUM(B45:B54)</f>
        <v>0</v>
      </c>
      <c r="C44" s="12"/>
      <c r="D44" s="17" t="s">
        <v>34</v>
      </c>
      <c r="E44" s="11">
        <f>SUM(E45:E54)</f>
        <v>0</v>
      </c>
    </row>
    <row r="45" spans="1:5" x14ac:dyDescent="0.3">
      <c r="A45" s="14" t="s">
        <v>35</v>
      </c>
      <c r="B45" s="15">
        <f>'Resultats per mesos'!I88</f>
        <v>0</v>
      </c>
      <c r="C45" s="12"/>
      <c r="D45" s="14" t="s">
        <v>36</v>
      </c>
      <c r="E45" s="15">
        <f>TRESORERIA!O145</f>
        <v>0</v>
      </c>
    </row>
    <row r="46" spans="1:5" x14ac:dyDescent="0.3">
      <c r="A46" s="14" t="s">
        <v>37</v>
      </c>
      <c r="B46" s="15">
        <f>'Resultats per mesos'!I89</f>
        <v>0</v>
      </c>
      <c r="C46" s="12"/>
      <c r="D46" s="14" t="s">
        <v>38</v>
      </c>
      <c r="E46" s="15">
        <f>TRESORERIA!C141</f>
        <v>0</v>
      </c>
    </row>
    <row r="47" spans="1:5" x14ac:dyDescent="0.3">
      <c r="A47" s="14" t="s">
        <v>39</v>
      </c>
      <c r="B47" s="15">
        <f>PROMOTORS!N145+PERSONAL!N161+PERSONAL!N167</f>
        <v>0</v>
      </c>
      <c r="C47" s="12"/>
      <c r="D47" s="14" t="s">
        <v>40</v>
      </c>
      <c r="E47" s="15">
        <f>TRESORERIA!O101</f>
        <v>0</v>
      </c>
    </row>
    <row r="48" spans="1:5" x14ac:dyDescent="0.3">
      <c r="A48" s="14" t="s">
        <v>41</v>
      </c>
      <c r="B48" s="15">
        <f>PROMOTORS!O190+PERSONAL!O192</f>
        <v>0</v>
      </c>
      <c r="C48" s="12"/>
      <c r="D48" s="14" t="s">
        <v>27</v>
      </c>
      <c r="E48" s="15">
        <f>TRESORERIA!C104</f>
        <v>0</v>
      </c>
    </row>
    <row r="49" spans="1:5" x14ac:dyDescent="0.3">
      <c r="A49" s="14" t="s">
        <v>43</v>
      </c>
      <c r="B49" s="15">
        <f>IF(Fiscalitat!H21="e",TRIBUTS!O42,TRIBUTS!O42+VARIABLES!N126)</f>
        <v>0</v>
      </c>
      <c r="C49" s="12"/>
      <c r="D49" s="14" t="s">
        <v>21</v>
      </c>
      <c r="E49" s="15">
        <f>E4</f>
        <v>0</v>
      </c>
    </row>
    <row r="50" spans="1:5" x14ac:dyDescent="0.3">
      <c r="A50" s="14" t="s">
        <v>44</v>
      </c>
      <c r="B50" s="15">
        <f>IF('INGRESSOS _ COMPRES'!O100=0,0,'INGRESSOS _ COMPRES'!O100+B36-TRESORERIA!O109)</f>
        <v>0</v>
      </c>
      <c r="C50" s="12"/>
      <c r="D50" s="14" t="s">
        <v>23</v>
      </c>
      <c r="E50" s="15">
        <f>E5</f>
        <v>0</v>
      </c>
    </row>
    <row r="51" spans="1:5" x14ac:dyDescent="0.3">
      <c r="A51" s="14" t="s">
        <v>45</v>
      </c>
      <c r="B51" s="15">
        <f>IF('INGRESSOS _ COMPRES'!O115=0,0,'INGRESSOS _ COMPRES'!O115+B37-TRESORERIA!O110)</f>
        <v>0</v>
      </c>
      <c r="C51" s="12"/>
      <c r="D51" s="14" t="s">
        <v>55</v>
      </c>
      <c r="E51" s="15">
        <f>E8</f>
        <v>0</v>
      </c>
    </row>
    <row r="52" spans="1:5" x14ac:dyDescent="0.3">
      <c r="A52" s="14" t="s">
        <v>46</v>
      </c>
      <c r="B52" s="15">
        <f>+IF(Fiscalitat!$H$21="e",IF(VARIABLES!N126&lt;0,0,VARIABLES!N126),0)</f>
        <v>0</v>
      </c>
      <c r="C52" s="12"/>
      <c r="D52" s="14"/>
      <c r="E52" s="15"/>
    </row>
    <row r="53" spans="1:5" x14ac:dyDescent="0.3">
      <c r="A53" s="14" t="s">
        <v>56</v>
      </c>
      <c r="B53" s="15">
        <f>+VARIABLES!B126-VARIABLES!N127</f>
        <v>0</v>
      </c>
      <c r="C53" s="12"/>
      <c r="D53" s="14"/>
      <c r="E53" s="15"/>
    </row>
    <row r="54" spans="1:5" x14ac:dyDescent="0.3">
      <c r="A54" s="16"/>
      <c r="B54" s="15"/>
      <c r="C54" s="12"/>
      <c r="D54" s="14"/>
      <c r="E54" s="15"/>
    </row>
    <row r="55" spans="1:5" x14ac:dyDescent="0.3">
      <c r="B55" s="18"/>
      <c r="C55" s="12"/>
      <c r="D55" s="12"/>
      <c r="E55" s="12"/>
    </row>
    <row r="56" spans="1:5" x14ac:dyDescent="0.3">
      <c r="A56" s="19" t="s">
        <v>57</v>
      </c>
      <c r="B56" s="12"/>
      <c r="C56" s="12"/>
      <c r="D56" s="12"/>
      <c r="E56" s="12"/>
    </row>
    <row r="57" spans="1:5" x14ac:dyDescent="0.3">
      <c r="B57" s="18"/>
      <c r="C57" s="12"/>
      <c r="D57" s="12"/>
      <c r="E57" s="12"/>
    </row>
    <row r="58" spans="1:5" x14ac:dyDescent="0.3">
      <c r="A58" s="13" t="s">
        <v>18</v>
      </c>
      <c r="B58" s="11">
        <f>SUM(B59:B70)</f>
        <v>0</v>
      </c>
      <c r="C58" s="12"/>
      <c r="D58" s="13" t="s">
        <v>19</v>
      </c>
      <c r="E58" s="11">
        <f>SUM(E59:E69)</f>
        <v>0</v>
      </c>
    </row>
    <row r="59" spans="1:5" x14ac:dyDescent="0.3">
      <c r="A59" s="14" t="s">
        <v>20</v>
      </c>
      <c r="B59" s="15">
        <f>TRESORERIA!O222</f>
        <v>0</v>
      </c>
      <c r="C59" s="12"/>
      <c r="D59" s="14" t="s">
        <v>21</v>
      </c>
      <c r="E59" s="15">
        <f>'INGRESSOS _ COMPRES'!O134-TRESORERIA!O184+E30</f>
        <v>0</v>
      </c>
    </row>
    <row r="60" spans="1:5" x14ac:dyDescent="0.3">
      <c r="A60" s="14" t="s">
        <v>48</v>
      </c>
      <c r="B60" s="15">
        <f>TRESORERIA!O220</f>
        <v>0</v>
      </c>
      <c r="C60" s="12"/>
      <c r="D60" s="14" t="s">
        <v>23</v>
      </c>
      <c r="E60" s="15">
        <f>'INGRESSOS _ COMPRES'!O149-TRESORERIA!O185+E31</f>
        <v>0</v>
      </c>
    </row>
    <row r="61" spans="1:5" x14ac:dyDescent="0.3">
      <c r="A61" s="14" t="s">
        <v>22</v>
      </c>
      <c r="B61" s="15">
        <f>+IF(OR(Fiscalitat!$H$21="a",Fiscalitat!$H$21="B",Fiscalitat!$H$21="D"),0,TRESORERIA!O223)</f>
        <v>0</v>
      </c>
      <c r="C61" s="12"/>
      <c r="D61" s="14" t="s">
        <v>25</v>
      </c>
      <c r="E61" s="15">
        <f>TRESORERIA!O253</f>
        <v>0</v>
      </c>
    </row>
    <row r="62" spans="1:5" x14ac:dyDescent="0.3">
      <c r="A62" s="14" t="s">
        <v>24</v>
      </c>
      <c r="B62" s="15">
        <f>+IF(OR(Fiscalitat!$H$21="a",Fiscalitat!$H$21="B",Fiscalitat!$H$21="D"),0,TRESORERIA!O228)</f>
        <v>0</v>
      </c>
      <c r="C62" s="12"/>
      <c r="D62" s="14" t="s">
        <v>29</v>
      </c>
      <c r="E62" s="15">
        <f>E33+TRESORERIA!O254-TRESORERIA!O187</f>
        <v>0</v>
      </c>
    </row>
    <row r="63" spans="1:5" x14ac:dyDescent="0.3">
      <c r="A63" s="14" t="s">
        <v>26</v>
      </c>
      <c r="B63" s="15">
        <f>TRESORERIA!O231</f>
        <v>0</v>
      </c>
      <c r="C63" s="12"/>
      <c r="D63" s="14"/>
      <c r="E63" s="15"/>
    </row>
    <row r="64" spans="1:5" x14ac:dyDescent="0.3">
      <c r="A64" s="14" t="s">
        <v>49</v>
      </c>
      <c r="B64" s="15">
        <f>B48</f>
        <v>0</v>
      </c>
      <c r="C64" s="12"/>
      <c r="D64" s="14"/>
      <c r="E64" s="15"/>
    </row>
    <row r="65" spans="1:5" x14ac:dyDescent="0.3">
      <c r="A65" s="14" t="s">
        <v>50</v>
      </c>
      <c r="B65" s="15">
        <f>B50</f>
        <v>0</v>
      </c>
      <c r="C65" s="12"/>
      <c r="D65" s="14"/>
      <c r="E65" s="15"/>
    </row>
    <row r="66" spans="1:5" x14ac:dyDescent="0.3">
      <c r="A66" s="14" t="s">
        <v>51</v>
      </c>
      <c r="B66" s="15">
        <f>B51</f>
        <v>0</v>
      </c>
      <c r="C66" s="12"/>
      <c r="D66" s="14"/>
      <c r="E66" s="15"/>
    </row>
    <row r="67" spans="1:5" x14ac:dyDescent="0.3">
      <c r="A67" s="14" t="s">
        <v>52</v>
      </c>
      <c r="B67" s="15">
        <f>B49</f>
        <v>0</v>
      </c>
      <c r="C67" s="12"/>
      <c r="D67" s="14"/>
      <c r="E67" s="15"/>
    </row>
    <row r="68" spans="1:5" x14ac:dyDescent="0.3">
      <c r="A68" s="14" t="s">
        <v>53</v>
      </c>
      <c r="B68" s="15">
        <f>B47</f>
        <v>0</v>
      </c>
      <c r="C68" s="12"/>
      <c r="D68" s="14"/>
      <c r="E68" s="15"/>
    </row>
    <row r="69" spans="1:5" x14ac:dyDescent="0.3">
      <c r="A69" s="14" t="s">
        <v>31</v>
      </c>
      <c r="B69" s="15">
        <f>-'Resultats anuals'!F13</f>
        <v>0</v>
      </c>
      <c r="C69" s="12"/>
      <c r="D69" s="14"/>
      <c r="E69" s="15"/>
    </row>
    <row r="70" spans="1:5" x14ac:dyDescent="0.3">
      <c r="A70" s="14" t="s">
        <v>54</v>
      </c>
      <c r="B70" s="15">
        <f>+B52</f>
        <v>0</v>
      </c>
      <c r="C70" s="12"/>
      <c r="D70" s="14"/>
      <c r="E70" s="15"/>
    </row>
    <row r="71" spans="1:5" x14ac:dyDescent="0.3">
      <c r="A71" s="16"/>
      <c r="B71" s="15"/>
      <c r="C71" s="12"/>
      <c r="D71" s="20"/>
      <c r="E71" s="18"/>
    </row>
    <row r="72" spans="1:5" x14ac:dyDescent="0.3">
      <c r="B72" s="18"/>
      <c r="C72" s="12"/>
      <c r="D72" s="12"/>
      <c r="E72" s="12"/>
    </row>
    <row r="73" spans="1:5" x14ac:dyDescent="0.3">
      <c r="A73" s="17" t="s">
        <v>33</v>
      </c>
      <c r="B73" s="11">
        <f>SUM(B74:B83)</f>
        <v>0</v>
      </c>
      <c r="C73" s="12"/>
      <c r="D73" s="17" t="s">
        <v>34</v>
      </c>
      <c r="E73" s="11">
        <f>SUM(E74:E83)</f>
        <v>0</v>
      </c>
    </row>
    <row r="74" spans="1:5" x14ac:dyDescent="0.3">
      <c r="A74" s="14" t="s">
        <v>35</v>
      </c>
      <c r="B74" s="15">
        <f>'Resultats per mesos'!I135</f>
        <v>0</v>
      </c>
      <c r="C74" s="12"/>
      <c r="D74" s="14" t="s">
        <v>36</v>
      </c>
      <c r="E74" s="15">
        <f>TRESORERIA!O230</f>
        <v>0</v>
      </c>
    </row>
    <row r="75" spans="1:5" x14ac:dyDescent="0.3">
      <c r="A75" s="14" t="s">
        <v>37</v>
      </c>
      <c r="B75" s="15">
        <f>'Resultats per mesos'!I136</f>
        <v>0</v>
      </c>
      <c r="C75" s="12"/>
      <c r="D75" s="14" t="s">
        <v>38</v>
      </c>
      <c r="E75" s="15">
        <f>TRESORERIA!C226</f>
        <v>0</v>
      </c>
    </row>
    <row r="76" spans="1:5" x14ac:dyDescent="0.3">
      <c r="A76" s="14" t="s">
        <v>39</v>
      </c>
      <c r="B76" s="15">
        <f>PROMOTORS!N246+PERSONAL!N258+PERSONAL!N264</f>
        <v>0</v>
      </c>
      <c r="C76" s="12"/>
      <c r="D76" s="14" t="s">
        <v>40</v>
      </c>
      <c r="E76" s="15">
        <f>TRESORERIA!O186</f>
        <v>0</v>
      </c>
    </row>
    <row r="77" spans="1:5" x14ac:dyDescent="0.3">
      <c r="A77" s="14" t="s">
        <v>41</v>
      </c>
      <c r="B77" s="15">
        <f>PROMOTORS!O291+PERSONAL!O289</f>
        <v>0</v>
      </c>
      <c r="C77" s="12"/>
      <c r="D77" s="14" t="s">
        <v>27</v>
      </c>
      <c r="E77" s="15">
        <f>TRESORERIA!O189</f>
        <v>0</v>
      </c>
    </row>
    <row r="78" spans="1:5" x14ac:dyDescent="0.3">
      <c r="A78" s="14" t="s">
        <v>43</v>
      </c>
      <c r="B78" s="15">
        <f>IF(Fiscalitat!H21="e",TRIBUTS!O53,TRIBUTS!O53+VARIABLES!N192)</f>
        <v>0</v>
      </c>
      <c r="C78" s="12"/>
      <c r="D78" s="14" t="s">
        <v>21</v>
      </c>
      <c r="E78" s="15">
        <f>E30</f>
        <v>0</v>
      </c>
    </row>
    <row r="79" spans="1:5" x14ac:dyDescent="0.3">
      <c r="A79" s="14" t="s">
        <v>44</v>
      </c>
      <c r="B79" s="15">
        <f>IF('INGRESSOS _ COMPRES'!O166=0,0,'INGRESSOS _ COMPRES'!O166+B65-TRESORERIA!O194)</f>
        <v>0</v>
      </c>
      <c r="C79" s="12"/>
      <c r="D79" s="14" t="s">
        <v>23</v>
      </c>
      <c r="E79" s="15">
        <f>E31</f>
        <v>0</v>
      </c>
    </row>
    <row r="80" spans="1:5" x14ac:dyDescent="0.3">
      <c r="A80" s="14" t="s">
        <v>45</v>
      </c>
      <c r="B80" s="15">
        <f>IF('INGRESSOS _ COMPRES'!O181=0,0,'INGRESSOS _ COMPRES'!O181+B66-TRESORERIA!O195)</f>
        <v>0</v>
      </c>
      <c r="C80" s="12"/>
      <c r="D80" s="14" t="s">
        <v>55</v>
      </c>
      <c r="E80" s="15">
        <f>E33</f>
        <v>0</v>
      </c>
    </row>
    <row r="81" spans="1:5" x14ac:dyDescent="0.3">
      <c r="A81" s="14" t="s">
        <v>46</v>
      </c>
      <c r="B81" s="15">
        <f>+IF(Fiscalitat!$H$21="e",IF(VARIABLES!N192&lt;0,0,VARIABLES!N192),0)</f>
        <v>0</v>
      </c>
      <c r="C81" s="12"/>
      <c r="D81" s="14"/>
      <c r="E81" s="15"/>
    </row>
    <row r="82" spans="1:5" x14ac:dyDescent="0.3">
      <c r="A82" s="14" t="s">
        <v>56</v>
      </c>
      <c r="B82" s="15">
        <f>+VARIABLES!B192-VARIABLES!N193</f>
        <v>0</v>
      </c>
      <c r="C82" s="12"/>
      <c r="D82" s="14"/>
      <c r="E82" s="15"/>
    </row>
    <row r="83" spans="1:5" x14ac:dyDescent="0.3">
      <c r="A83" s="16"/>
      <c r="B83" s="15"/>
      <c r="C83" s="12"/>
      <c r="D83" s="14"/>
      <c r="E83" s="15"/>
    </row>
    <row r="84" spans="1:5" x14ac:dyDescent="0.3">
      <c r="B84" s="9"/>
      <c r="C84" s="21"/>
    </row>
    <row r="85" spans="1:5" ht="12.5" x14ac:dyDescent="0.25">
      <c r="B85"/>
      <c r="C85" s="21"/>
    </row>
    <row r="86" spans="1:5" ht="12.5" x14ac:dyDescent="0.25">
      <c r="B86"/>
      <c r="C86" s="21"/>
    </row>
    <row r="87" spans="1:5" ht="12.5" x14ac:dyDescent="0.25">
      <c r="B87"/>
      <c r="C87" s="21"/>
    </row>
    <row r="88" spans="1:5" ht="12.5" x14ac:dyDescent="0.25">
      <c r="B88"/>
      <c r="C88" s="21"/>
    </row>
    <row r="89" spans="1:5" ht="12.5" x14ac:dyDescent="0.25">
      <c r="B89"/>
      <c r="C89" s="21"/>
    </row>
    <row r="90" spans="1:5" ht="12.5" x14ac:dyDescent="0.25">
      <c r="B90"/>
      <c r="C90" s="21"/>
    </row>
    <row r="91" spans="1:5" ht="12.5" x14ac:dyDescent="0.25">
      <c r="B91"/>
      <c r="C91" s="21"/>
    </row>
    <row r="92" spans="1:5" ht="12.5" x14ac:dyDescent="0.25">
      <c r="B92"/>
    </row>
    <row r="93" spans="1:5" x14ac:dyDescent="0.3">
      <c r="B93" s="9"/>
      <c r="C93" s="21"/>
    </row>
    <row r="94" spans="1:5" ht="12.5" x14ac:dyDescent="0.25">
      <c r="B94"/>
      <c r="C94" s="21"/>
    </row>
    <row r="95" spans="1:5" ht="12.5" x14ac:dyDescent="0.25">
      <c r="B95"/>
      <c r="C95" s="21"/>
    </row>
    <row r="96" spans="1:5" ht="12.5" x14ac:dyDescent="0.25">
      <c r="B96"/>
      <c r="C96" s="21"/>
    </row>
    <row r="97" spans="3:3" x14ac:dyDescent="0.3">
      <c r="C97" s="21"/>
    </row>
    <row r="98" spans="3:3" x14ac:dyDescent="0.3">
      <c r="C98" s="21"/>
    </row>
    <row r="99" spans="3:3" x14ac:dyDescent="0.3">
      <c r="C99" s="21"/>
    </row>
    <row r="100" spans="3:3" x14ac:dyDescent="0.3">
      <c r="C100" s="21"/>
    </row>
  </sheetData>
  <sheetProtection sheet="1" objects="1" scenarios="1"/>
  <phoneticPr fontId="22" type="noConversion"/>
  <pageMargins left="0.78749999999999998" right="0.78749999999999998" top="0.98402777777777783" bottom="0.98402777777777783" header="0.51180555555555562" footer="0.51180555555555562"/>
  <pageSetup paperSize="9" firstPageNumber="0" orientation="portrait" horizontalDpi="300" verticalDpi="300" r:id="rId1"/>
  <headerFooter alignWithMargins="0"/>
  <rowBreaks count="2" manualBreakCount="2">
    <brk id="26" max="16383" man="1"/>
    <brk id="55" max="16383" man="1"/>
  </rowBreak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4">
    <pageSetUpPr fitToPage="1"/>
  </sheetPr>
  <dimension ref="A1:D39"/>
  <sheetViews>
    <sheetView workbookViewId="0">
      <selection activeCell="B7" sqref="B7"/>
    </sheetView>
  </sheetViews>
  <sheetFormatPr defaultColWidth="11.453125" defaultRowHeight="12.5" x14ac:dyDescent="0.25"/>
  <cols>
    <col min="1" max="1" width="48.26953125" customWidth="1"/>
    <col min="2" max="4" width="14.7265625" customWidth="1"/>
  </cols>
  <sheetData>
    <row r="1" spans="1:4" ht="25.5" customHeight="1" x14ac:dyDescent="0.25">
      <c r="A1" s="1379"/>
      <c r="B1" s="1350" t="s">
        <v>123</v>
      </c>
      <c r="C1" s="1350" t="s">
        <v>124</v>
      </c>
      <c r="D1" s="1350" t="s">
        <v>125</v>
      </c>
    </row>
    <row r="2" spans="1:4" ht="13" x14ac:dyDescent="0.3">
      <c r="A2" s="1383" t="s">
        <v>738</v>
      </c>
      <c r="B2" s="799">
        <f>SUM(B3:B5)</f>
        <v>0</v>
      </c>
      <c r="C2" s="799">
        <f>SUM(C3:C5)</f>
        <v>0</v>
      </c>
      <c r="D2" s="799">
        <f>SUM(D3:D5)</f>
        <v>0</v>
      </c>
    </row>
    <row r="3" spans="1:4" ht="13" x14ac:dyDescent="0.3">
      <c r="A3" s="1380" t="str">
        <f>INVERSIONS!A78</f>
        <v>Propietat industrial (patents i marques)</v>
      </c>
      <c r="B3" s="1384">
        <f>INVERSIONS!Z28</f>
        <v>0</v>
      </c>
      <c r="C3" s="1384">
        <f>INVERSIONS!Z53</f>
        <v>0</v>
      </c>
      <c r="D3" s="1384">
        <f>INVERSIONS!Z78</f>
        <v>0</v>
      </c>
    </row>
    <row r="4" spans="1:4" ht="13" x14ac:dyDescent="0.3">
      <c r="A4" s="1380" t="str">
        <f>INVERSIONS!A79</f>
        <v>Drets de traspàs</v>
      </c>
      <c r="B4" s="1381">
        <f>INVERSIONS!Z29</f>
        <v>0</v>
      </c>
      <c r="C4" s="1381">
        <f>INVERSIONS!Z54</f>
        <v>0</v>
      </c>
      <c r="D4" s="1381">
        <f>INVERSIONS!Z79</f>
        <v>0</v>
      </c>
    </row>
    <row r="5" spans="1:4" ht="13" x14ac:dyDescent="0.3">
      <c r="A5" s="1380" t="str">
        <f>INVERSIONS!A80</f>
        <v>Aplicacions informàtiques</v>
      </c>
      <c r="B5" s="1381">
        <f>INVERSIONS!Z30</f>
        <v>0</v>
      </c>
      <c r="C5" s="1381">
        <f>INVERSIONS!Z55</f>
        <v>0</v>
      </c>
      <c r="D5" s="1381">
        <f>INVERSIONS!Z80</f>
        <v>0</v>
      </c>
    </row>
    <row r="6" spans="1:4" ht="13" x14ac:dyDescent="0.3">
      <c r="A6" s="1383" t="str">
        <f>INVERSIONS!A81</f>
        <v>INVERSIONS MATERIALS</v>
      </c>
      <c r="B6" s="799">
        <f>SUM(B7:B14)</f>
        <v>0</v>
      </c>
      <c r="C6" s="799">
        <f>SUM(C7:C14)</f>
        <v>0</v>
      </c>
      <c r="D6" s="799">
        <f>SUM(D7:D14)</f>
        <v>0</v>
      </c>
    </row>
    <row r="7" spans="1:4" ht="13" x14ac:dyDescent="0.3">
      <c r="A7" s="1380" t="str">
        <f>INVERSIONS!A82</f>
        <v>Terrenys</v>
      </c>
      <c r="B7" s="1384">
        <f>INVERSIONS!Z32</f>
        <v>0</v>
      </c>
      <c r="C7" s="1384">
        <f>INVERSIONS!Z57</f>
        <v>0</v>
      </c>
      <c r="D7" s="1384">
        <f>INVERSIONS!Z82</f>
        <v>0</v>
      </c>
    </row>
    <row r="8" spans="1:4" ht="13" x14ac:dyDescent="0.3">
      <c r="A8" s="1380" t="str">
        <f>INVERSIONS!A83</f>
        <v>Construccions</v>
      </c>
      <c r="B8" s="1381">
        <f>INVERSIONS!Z33</f>
        <v>0</v>
      </c>
      <c r="C8" s="1381">
        <f>INVERSIONS!Z58</f>
        <v>0</v>
      </c>
      <c r="D8" s="1381">
        <f>INVERSIONS!Z83</f>
        <v>0</v>
      </c>
    </row>
    <row r="9" spans="1:4" ht="13" x14ac:dyDescent="0.3">
      <c r="A9" s="187" t="str">
        <f>INVERSIONS!A84</f>
        <v>Maquinària</v>
      </c>
      <c r="B9" s="1381">
        <f>INVERSIONS!Z34</f>
        <v>0</v>
      </c>
      <c r="C9" s="1381">
        <f>INVERSIONS!Z59</f>
        <v>0</v>
      </c>
      <c r="D9" s="1381">
        <f>INVERSIONS!Z84</f>
        <v>0</v>
      </c>
    </row>
    <row r="10" spans="1:4" ht="13" x14ac:dyDescent="0.3">
      <c r="A10" s="1380" t="str">
        <f>INVERSIONS!A85</f>
        <v>Altres instal·lacions</v>
      </c>
      <c r="B10" s="1381">
        <f>INVERSIONS!Z35</f>
        <v>0</v>
      </c>
      <c r="C10" s="1381">
        <f>INVERSIONS!Z60</f>
        <v>0</v>
      </c>
      <c r="D10" s="1381">
        <f>INVERSIONS!Z85</f>
        <v>0</v>
      </c>
    </row>
    <row r="11" spans="1:4" ht="13" x14ac:dyDescent="0.3">
      <c r="A11" s="1380" t="str">
        <f>INVERSIONS!A88</f>
        <v>Mobiliari</v>
      </c>
      <c r="B11" s="1381">
        <f>INVERSIONS!Z38</f>
        <v>0</v>
      </c>
      <c r="C11" s="1381">
        <f>INVERSIONS!Z63</f>
        <v>0</v>
      </c>
      <c r="D11" s="1381">
        <f>INVERSIONS!Z88</f>
        <v>0</v>
      </c>
    </row>
    <row r="12" spans="1:4" ht="13" x14ac:dyDescent="0.3">
      <c r="A12" s="1380" t="str">
        <f>INVERSIONS!A89</f>
        <v>Equips processos informació</v>
      </c>
      <c r="B12" s="1381">
        <f>INVERSIONS!Z39</f>
        <v>0</v>
      </c>
      <c r="C12" s="1381">
        <f>INVERSIONS!Z64</f>
        <v>0</v>
      </c>
      <c r="D12" s="1381">
        <f>INVERSIONS!Z89</f>
        <v>0</v>
      </c>
    </row>
    <row r="13" spans="1:4" ht="13" x14ac:dyDescent="0.3">
      <c r="A13" s="1380" t="str">
        <f>INVERSIONS!A90</f>
        <v>Elements de transport</v>
      </c>
      <c r="B13" s="1381">
        <f>INVERSIONS!Z40</f>
        <v>0</v>
      </c>
      <c r="C13" s="1381">
        <f>INVERSIONS!Z65</f>
        <v>0</v>
      </c>
      <c r="D13" s="1381">
        <f>INVERSIONS!Z90</f>
        <v>0</v>
      </c>
    </row>
    <row r="14" spans="1:4" ht="13" x14ac:dyDescent="0.3">
      <c r="A14" s="1382" t="str">
        <f>INVERSIONS!A91</f>
        <v>Altre immobilitzat material</v>
      </c>
      <c r="B14" s="793">
        <f>INVERSIONS!Z41</f>
        <v>0</v>
      </c>
      <c r="C14" s="793">
        <f>INVERSIONS!Z66</f>
        <v>0</v>
      </c>
      <c r="D14" s="793">
        <f>INVERSIONS!Z91</f>
        <v>0</v>
      </c>
    </row>
    <row r="15" spans="1:4" ht="13" x14ac:dyDescent="0.3">
      <c r="A15" s="1383" t="str">
        <f>INVERSIONS!A92</f>
        <v>FIANCES I DIPÒSITS A LLARG TERMINI</v>
      </c>
      <c r="B15" s="799">
        <f>SUM(B16:B17)</f>
        <v>0</v>
      </c>
      <c r="C15" s="799">
        <f>SUM(C16:C17)</f>
        <v>0</v>
      </c>
      <c r="D15" s="799">
        <f>SUM(D16:D17)</f>
        <v>0</v>
      </c>
    </row>
    <row r="16" spans="1:4" ht="13" x14ac:dyDescent="0.3">
      <c r="A16" s="1380" t="str">
        <f>INVERSIONS!A93</f>
        <v>Fiances a llarg termini</v>
      </c>
      <c r="B16" s="1384">
        <f>INVERSIONS!Z43</f>
        <v>0</v>
      </c>
      <c r="C16" s="1384">
        <f>INVERSIONS!Z68</f>
        <v>0</v>
      </c>
      <c r="D16" s="1384">
        <f>INVERSIONS!Z93</f>
        <v>0</v>
      </c>
    </row>
    <row r="17" spans="1:4" ht="13" x14ac:dyDescent="0.3">
      <c r="A17" s="1380" t="str">
        <f>INVERSIONS!A94</f>
        <v>Dipòsits a llarg termini</v>
      </c>
      <c r="B17" s="1648">
        <f>INVERSIONS!Z44</f>
        <v>0</v>
      </c>
      <c r="C17" s="1648">
        <f>INVERSIONS!Z69</f>
        <v>0</v>
      </c>
      <c r="D17" s="1648">
        <f>INVERSIONS!Z94</f>
        <v>0</v>
      </c>
    </row>
    <row r="18" spans="1:4" ht="13" x14ac:dyDescent="0.3">
      <c r="A18" s="1652" t="s">
        <v>718</v>
      </c>
      <c r="B18" s="1653">
        <f>+INVERSIONS!H10</f>
        <v>0</v>
      </c>
      <c r="C18" s="1650"/>
      <c r="D18" s="1650"/>
    </row>
    <row r="19" spans="1:4" ht="13" x14ac:dyDescent="0.3">
      <c r="A19" s="1385" t="s">
        <v>505</v>
      </c>
      <c r="B19" s="1647">
        <f>IF(MERCADERIES!B17="SI",MERCADERIES!CU21,0)+'Introducció dades'!C11</f>
        <v>0</v>
      </c>
      <c r="C19" s="1651"/>
      <c r="D19" s="1651"/>
    </row>
    <row r="20" spans="1:4" ht="13" x14ac:dyDescent="0.3">
      <c r="A20" s="1387" t="s">
        <v>506</v>
      </c>
      <c r="B20" s="1388">
        <f>B33-B19-B15-B6-B2-B18</f>
        <v>0</v>
      </c>
      <c r="C20" s="1649">
        <f>IF(C33-C15-C6-C2&gt;0,C33-C15-C6-C2,0)</f>
        <v>0</v>
      </c>
      <c r="D20" s="1649">
        <f>IF(D33-D15-D6-D2&gt;0,D33-D15-D6-D2,0)</f>
        <v>0</v>
      </c>
    </row>
    <row r="21" spans="1:4" ht="13" x14ac:dyDescent="0.3">
      <c r="A21" s="1389" t="s">
        <v>259</v>
      </c>
      <c r="B21" s="1390">
        <f>+B19+B15+B6+B2+B18+B20</f>
        <v>0</v>
      </c>
      <c r="C21" s="1390">
        <f>C20+C15+C6+C2</f>
        <v>0</v>
      </c>
      <c r="D21" s="1390">
        <f>D20+D15+D6+D2</f>
        <v>0</v>
      </c>
    </row>
    <row r="22" spans="1:4" x14ac:dyDescent="0.25">
      <c r="B22" s="12"/>
      <c r="C22" s="12"/>
      <c r="D22" s="12"/>
    </row>
    <row r="23" spans="1:4" ht="13" x14ac:dyDescent="0.3">
      <c r="A23" s="7"/>
      <c r="B23" s="18"/>
      <c r="C23" s="12"/>
      <c r="D23" s="12"/>
    </row>
    <row r="24" spans="1:4" ht="13" x14ac:dyDescent="0.3">
      <c r="A24" s="7"/>
      <c r="B24" s="12"/>
      <c r="C24" s="12"/>
      <c r="D24" s="12"/>
    </row>
    <row r="25" spans="1:4" ht="25.5" customHeight="1" x14ac:dyDescent="0.25">
      <c r="A25" s="1379"/>
      <c r="B25" s="237" t="str">
        <f>+'Introducció dades'!C127</f>
        <v>PRIMER ANY</v>
      </c>
      <c r="C25" s="237" t="str">
        <f>+'Introducció dades'!D127</f>
        <v>SEGON ANY</v>
      </c>
      <c r="D25" s="237" t="str">
        <f>+'Introducció dades'!E127</f>
        <v>TERCER ANY</v>
      </c>
    </row>
    <row r="26" spans="1:4" ht="13" x14ac:dyDescent="0.3">
      <c r="A26" s="1391" t="str">
        <f>+'Introducció dades'!B128</f>
        <v>Recursos propis</v>
      </c>
      <c r="B26" s="799">
        <f>SUM(B27:B28)</f>
        <v>0</v>
      </c>
      <c r="C26" s="799">
        <f>SUM(C27:C28)</f>
        <v>0</v>
      </c>
      <c r="D26" s="799">
        <f>SUM(D27:D28)</f>
        <v>0</v>
      </c>
    </row>
    <row r="27" spans="1:4" ht="13" x14ac:dyDescent="0.3">
      <c r="A27" s="1392" t="str">
        <f>+'Introducció dades'!B129</f>
        <v>CAPITAL SOCIAL</v>
      </c>
      <c r="B27" s="1393">
        <f>FINANÇAMENT!B8</f>
        <v>0</v>
      </c>
      <c r="C27" s="1394">
        <f>FINANÇAMENT!C8</f>
        <v>0</v>
      </c>
      <c r="D27" s="1393">
        <f>FINANÇAMENT!D8</f>
        <v>0</v>
      </c>
    </row>
    <row r="28" spans="1:4" ht="13" x14ac:dyDescent="0.3">
      <c r="A28" s="1392" t="str">
        <f>+'Introducció dades'!B130</f>
        <v>Aportacions dels socis</v>
      </c>
      <c r="B28" s="1395">
        <f>FINANÇAMENT!B9</f>
        <v>0</v>
      </c>
      <c r="C28" s="1384">
        <f>FINANÇAMENT!C9</f>
        <v>0</v>
      </c>
      <c r="D28" s="1395">
        <f>FINANÇAMENT!D9</f>
        <v>0</v>
      </c>
    </row>
    <row r="29" spans="1:4" ht="13" x14ac:dyDescent="0.3">
      <c r="A29" s="1391" t="str">
        <f>+'Introducció dades'!B131</f>
        <v>Crèdits o préstecs</v>
      </c>
      <c r="B29" s="799">
        <f>FINANÇAMENT!B10</f>
        <v>0</v>
      </c>
      <c r="C29" s="799">
        <f>FINANÇAMENT!C10</f>
        <v>0</v>
      </c>
      <c r="D29" s="799">
        <f>FINANÇAMENT!D10</f>
        <v>0</v>
      </c>
    </row>
    <row r="30" spans="1:4" ht="13" x14ac:dyDescent="0.3">
      <c r="A30" s="1391" t="str">
        <f>+'Introducció dades'!B132</f>
        <v>Capitalització</v>
      </c>
      <c r="B30" s="799">
        <f>FINANÇAMENT!B11</f>
        <v>0</v>
      </c>
      <c r="C30" s="799">
        <f>FINANÇAMENT!C11</f>
        <v>0</v>
      </c>
      <c r="D30" s="799">
        <f>FINANÇAMENT!D11</f>
        <v>0</v>
      </c>
    </row>
    <row r="31" spans="1:4" ht="13" x14ac:dyDescent="0.3">
      <c r="A31" s="1391" t="str">
        <f>+'Introducció dades'!B133</f>
        <v>Subvenció</v>
      </c>
      <c r="B31" s="799">
        <f>FINANÇAMENT!B12</f>
        <v>0</v>
      </c>
      <c r="C31" s="799">
        <f>FINANÇAMENT!C12</f>
        <v>0</v>
      </c>
      <c r="D31" s="799">
        <f>FINANÇAMENT!D12</f>
        <v>0</v>
      </c>
    </row>
    <row r="32" spans="1:4" ht="12.75" hidden="1" customHeight="1" x14ac:dyDescent="0.3">
      <c r="A32" s="1397" t="s">
        <v>27</v>
      </c>
      <c r="B32" s="154">
        <f>FINANÇAMENT!B13</f>
        <v>0</v>
      </c>
      <c r="C32" s="154">
        <f>FINANÇAMENT!C13</f>
        <v>0</v>
      </c>
      <c r="D32" s="154">
        <f>FINANÇAMENT!D13</f>
        <v>0</v>
      </c>
    </row>
    <row r="33" spans="1:4" ht="13" x14ac:dyDescent="0.3">
      <c r="A33" s="1389" t="s">
        <v>120</v>
      </c>
      <c r="B33" s="1390">
        <f>SUM(B27:B32)</f>
        <v>0</v>
      </c>
      <c r="C33" s="1390">
        <f>SUM(C27:C32)</f>
        <v>0</v>
      </c>
      <c r="D33" s="1390">
        <f>SUM(D27:D32)</f>
        <v>0</v>
      </c>
    </row>
    <row r="34" spans="1:4" x14ac:dyDescent="0.25">
      <c r="B34" s="12"/>
      <c r="C34" s="12"/>
      <c r="D34" s="12"/>
    </row>
    <row r="36" spans="1:4" ht="26" x14ac:dyDescent="0.3">
      <c r="A36" s="1398" t="s">
        <v>507</v>
      </c>
      <c r="B36" s="1399">
        <f>+'Necessitats de finançament'!B7</f>
        <v>0</v>
      </c>
    </row>
    <row r="37" spans="1:4" ht="13" x14ac:dyDescent="0.3">
      <c r="A37" s="1398" t="s">
        <v>508</v>
      </c>
      <c r="B37" s="1399" t="str">
        <f>+'Necessitats de finançament'!B11</f>
        <v>DESEMBRE</v>
      </c>
    </row>
    <row r="38" spans="1:4" ht="13" x14ac:dyDescent="0.3">
      <c r="A38" s="1398" t="s">
        <v>509</v>
      </c>
      <c r="B38" s="1399">
        <f>+'Necessitats de finançament'!B13</f>
        <v>0</v>
      </c>
    </row>
    <row r="39" spans="1:4" ht="26" x14ac:dyDescent="0.3">
      <c r="A39" s="1398" t="s">
        <v>510</v>
      </c>
      <c r="B39" s="1399">
        <f>+'Necessitats de finançament'!B14</f>
        <v>0</v>
      </c>
    </row>
  </sheetData>
  <sheetProtection password="CC2F" sheet="1" objects="1" scenarios="1"/>
  <phoneticPr fontId="22" type="noConversion"/>
  <printOptions horizontalCentered="1"/>
  <pageMargins left="0.39374999999999999" right="0.39374999999999999" top="0.98402777777777772" bottom="0.78749999999999998" header="0.39374999999999999" footer="0.51180555555555562"/>
  <pageSetup paperSize="9" firstPageNumber="0" orientation="portrait" horizontalDpi="300" verticalDpi="300" r:id="rId1"/>
  <headerFooter alignWithMargins="0">
    <oddHeader>&amp;L&amp;"Arial,Negrita"&amp;12&amp;A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autoFill="0" autoLine="0" autoPict="0">
                <anchor moveWithCells="1" sizeWithCells="1">
                  <from>
                    <xdr:col>4</xdr:col>
                    <xdr:colOff>69850</xdr:colOff>
                    <xdr:row>0</xdr:row>
                    <xdr:rowOff>0</xdr:rowOff>
                  </from>
                  <to>
                    <xdr:col>5</xdr:col>
                    <xdr:colOff>342900</xdr:colOff>
                    <xdr:row>0</xdr:row>
                    <xdr:rowOff>228600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0">
    <pageSetUpPr fitToPage="1"/>
  </sheetPr>
  <dimension ref="A2:H24"/>
  <sheetViews>
    <sheetView workbookViewId="0">
      <selection activeCell="A45" sqref="A45"/>
    </sheetView>
  </sheetViews>
  <sheetFormatPr defaultColWidth="11.453125" defaultRowHeight="12.5" x14ac:dyDescent="0.25"/>
  <cols>
    <col min="1" max="1" width="31.1796875" style="21" customWidth="1"/>
    <col min="2" max="2" width="13.26953125" style="21" customWidth="1"/>
    <col min="3" max="3" width="7.26953125" style="876" customWidth="1"/>
    <col min="4" max="4" width="13.26953125" style="21" customWidth="1"/>
    <col min="5" max="5" width="7" style="876" customWidth="1"/>
    <col min="6" max="6" width="13.26953125" style="21" customWidth="1"/>
    <col min="7" max="7" width="7" style="876" customWidth="1"/>
    <col min="8" max="16384" width="11.453125" style="21"/>
  </cols>
  <sheetData>
    <row r="2" spans="1:8" x14ac:dyDescent="0.25">
      <c r="A2" s="1940"/>
      <c r="B2" s="1941" t="s">
        <v>17</v>
      </c>
      <c r="C2" s="1941"/>
      <c r="D2" s="1941" t="s">
        <v>47</v>
      </c>
      <c r="E2" s="1941"/>
      <c r="F2" s="1941" t="s">
        <v>57</v>
      </c>
      <c r="G2" s="1941"/>
    </row>
    <row r="3" spans="1:8" s="9" customFormat="1" ht="12.75" customHeight="1" x14ac:dyDescent="0.3">
      <c r="A3" s="1940"/>
      <c r="B3" s="1941"/>
      <c r="C3" s="1941"/>
      <c r="D3" s="1941"/>
      <c r="E3" s="1941"/>
      <c r="F3" s="1941"/>
      <c r="G3" s="1941"/>
    </row>
    <row r="4" spans="1:8" s="9" customFormat="1" ht="18.75" customHeight="1" x14ac:dyDescent="0.3">
      <c r="A4" s="1940"/>
      <c r="B4" s="1400" t="s">
        <v>295</v>
      </c>
      <c r="C4" s="1401" t="s">
        <v>151</v>
      </c>
      <c r="D4" s="1400" t="s">
        <v>295</v>
      </c>
      <c r="E4" s="1401" t="s">
        <v>151</v>
      </c>
      <c r="F4" s="1400" t="s">
        <v>295</v>
      </c>
      <c r="G4" s="1401" t="s">
        <v>151</v>
      </c>
    </row>
    <row r="5" spans="1:8" x14ac:dyDescent="0.25">
      <c r="A5" s="1939" t="s">
        <v>58</v>
      </c>
      <c r="B5" s="1939"/>
      <c r="C5" s="1939"/>
      <c r="D5" s="1939"/>
      <c r="E5" s="1939"/>
      <c r="F5" s="1939"/>
      <c r="G5" s="1939"/>
      <c r="H5" s="1402"/>
    </row>
    <row r="6" spans="1:8" x14ac:dyDescent="0.25">
      <c r="A6" s="1403" t="s">
        <v>511</v>
      </c>
      <c r="B6" s="1404">
        <f>'Resultats per mesos'!I29</f>
        <v>0</v>
      </c>
      <c r="C6" s="1405">
        <f>IF(B$10=0,0,B6/B$10)</f>
        <v>0</v>
      </c>
      <c r="D6" s="1406">
        <f>'Resultats per mesos'!I76</f>
        <v>0</v>
      </c>
      <c r="E6" s="1407">
        <f>IF(D$10=0,0,D6/D$10)</f>
        <v>0</v>
      </c>
      <c r="F6" s="1404">
        <f>'Resultats per mesos'!I123</f>
        <v>0</v>
      </c>
      <c r="G6" s="1408">
        <f>IF(F$10=0,0,F6/F$10)</f>
        <v>0</v>
      </c>
    </row>
    <row r="7" spans="1:8" x14ac:dyDescent="0.25">
      <c r="A7" s="1409" t="s">
        <v>512</v>
      </c>
      <c r="B7" s="1410">
        <f>'Resultats per mesos'!I30</f>
        <v>0</v>
      </c>
      <c r="C7" s="1411">
        <f>IF(B$10=0,0,B7/B$10)</f>
        <v>0</v>
      </c>
      <c r="D7" s="1412">
        <f>'Resultats per mesos'!I77</f>
        <v>0</v>
      </c>
      <c r="E7" s="1413">
        <f t="shared" ref="E7:E24" si="0">IF(D$10=0,0,D7/D$10)</f>
        <v>0</v>
      </c>
      <c r="F7" s="1410">
        <f>'Resultats per mesos'!I124</f>
        <v>0</v>
      </c>
      <c r="G7" s="1414">
        <f t="shared" ref="G7:G24" si="1">IF(F$10=0,0,F7/F$10)</f>
        <v>0</v>
      </c>
    </row>
    <row r="8" spans="1:8" ht="12.75" hidden="1" customHeight="1" x14ac:dyDescent="0.25">
      <c r="A8" s="1409" t="s">
        <v>513</v>
      </c>
      <c r="B8" s="1410">
        <f>'Resultats per mesos'!I31</f>
        <v>0</v>
      </c>
      <c r="C8" s="1411">
        <f>IF(B$10=0,0,B8/B$10)</f>
        <v>0</v>
      </c>
      <c r="D8" s="1412">
        <f>'Resultats per mesos'!I78</f>
        <v>0</v>
      </c>
      <c r="E8" s="1413">
        <f t="shared" si="0"/>
        <v>0</v>
      </c>
      <c r="F8" s="1410">
        <f>'Resultats per mesos'!I125</f>
        <v>0</v>
      </c>
      <c r="G8" s="1414">
        <f t="shared" si="1"/>
        <v>0</v>
      </c>
    </row>
    <row r="9" spans="1:8" hidden="1" x14ac:dyDescent="0.25">
      <c r="A9" s="1415" t="s">
        <v>437</v>
      </c>
      <c r="B9" s="1416">
        <f>'Resultats per mesos'!I32</f>
        <v>0</v>
      </c>
      <c r="C9" s="1417">
        <f>IF(B$10=0,0,B9/B$10)</f>
        <v>0</v>
      </c>
      <c r="D9" s="1418">
        <f>'Resultats per mesos'!I79</f>
        <v>0</v>
      </c>
      <c r="E9" s="1419">
        <f t="shared" si="0"/>
        <v>0</v>
      </c>
      <c r="F9" s="1416">
        <f>'Resultats per mesos'!I126</f>
        <v>0</v>
      </c>
      <c r="G9" s="1420">
        <f t="shared" si="1"/>
        <v>0</v>
      </c>
    </row>
    <row r="10" spans="1:8" s="9" customFormat="1" ht="13" x14ac:dyDescent="0.3">
      <c r="A10" s="1421" t="s">
        <v>514</v>
      </c>
      <c r="B10" s="799">
        <f>'Resultats per mesos'!I33</f>
        <v>0</v>
      </c>
      <c r="C10" s="1422">
        <f>IF(B$10=0,0,B10/B$10)</f>
        <v>0</v>
      </c>
      <c r="D10" s="799">
        <f>'Resultats per mesos'!I80</f>
        <v>0</v>
      </c>
      <c r="E10" s="1422">
        <f t="shared" si="0"/>
        <v>0</v>
      </c>
      <c r="F10" s="799">
        <f>'Resultats per mesos'!I127</f>
        <v>0</v>
      </c>
      <c r="G10" s="1423">
        <f t="shared" si="1"/>
        <v>0</v>
      </c>
    </row>
    <row r="11" spans="1:8" x14ac:dyDescent="0.25">
      <c r="A11" s="1939" t="s">
        <v>59</v>
      </c>
      <c r="B11" s="1939"/>
      <c r="C11" s="1939"/>
      <c r="D11" s="1939"/>
      <c r="E11" s="1939"/>
      <c r="F11" s="1939"/>
      <c r="G11" s="1939"/>
    </row>
    <row r="12" spans="1:8" x14ac:dyDescent="0.25">
      <c r="A12" s="1403" t="s">
        <v>515</v>
      </c>
      <c r="B12" s="1404">
        <f>'Resultats per mesos'!I35</f>
        <v>0</v>
      </c>
      <c r="C12" s="1405">
        <f t="shared" ref="C12:C24" si="2">IF(B$10=0,0,B12/B$10)</f>
        <v>0</v>
      </c>
      <c r="D12" s="1406">
        <f>'Resultats per mesos'!I82</f>
        <v>0</v>
      </c>
      <c r="E12" s="1407">
        <f t="shared" si="0"/>
        <v>0</v>
      </c>
      <c r="F12" s="1404">
        <f>'Resultats per mesos'!I129</f>
        <v>0</v>
      </c>
      <c r="G12" s="1408">
        <f t="shared" si="1"/>
        <v>0</v>
      </c>
    </row>
    <row r="13" spans="1:8" ht="14.25" customHeight="1" x14ac:dyDescent="0.25">
      <c r="A13" s="1409" t="s">
        <v>31</v>
      </c>
      <c r="B13" s="1416">
        <f>'Resultats per mesos'!I36</f>
        <v>0</v>
      </c>
      <c r="C13" s="1417">
        <f t="shared" si="2"/>
        <v>0</v>
      </c>
      <c r="D13" s="1418">
        <f>'Resultats per mesos'!I83</f>
        <v>0</v>
      </c>
      <c r="E13" s="1419">
        <f t="shared" si="0"/>
        <v>0</v>
      </c>
      <c r="F13" s="1416">
        <f>'Resultats per mesos'!I130</f>
        <v>0</v>
      </c>
      <c r="G13" s="1420">
        <f t="shared" si="1"/>
        <v>0</v>
      </c>
    </row>
    <row r="14" spans="1:8" ht="14.25" customHeight="1" x14ac:dyDescent="0.3">
      <c r="A14" s="1674" t="s">
        <v>727</v>
      </c>
      <c r="B14" s="1681">
        <f>+B10-B12-B13</f>
        <v>0</v>
      </c>
      <c r="C14" s="1682">
        <f t="shared" si="2"/>
        <v>0</v>
      </c>
      <c r="D14" s="1683">
        <f>+D10-D12-D13</f>
        <v>0</v>
      </c>
      <c r="E14" s="1671">
        <f t="shared" si="0"/>
        <v>0</v>
      </c>
      <c r="F14" s="1660">
        <f>+F10-F12-F13</f>
        <v>0</v>
      </c>
      <c r="G14" s="1672">
        <f t="shared" si="1"/>
        <v>0</v>
      </c>
    </row>
    <row r="15" spans="1:8" x14ac:dyDescent="0.25">
      <c r="A15" s="1409" t="s">
        <v>444</v>
      </c>
      <c r="B15" s="1668">
        <f>'Resultats per mesos'!I38</f>
        <v>0</v>
      </c>
      <c r="C15" s="1405">
        <f t="shared" si="2"/>
        <v>0</v>
      </c>
      <c r="D15" s="1667">
        <f>'Resultats per mesos'!I85</f>
        <v>0</v>
      </c>
      <c r="E15" s="1407">
        <f t="shared" si="0"/>
        <v>0</v>
      </c>
      <c r="F15" s="1668">
        <f>'Resultats per mesos'!I132</f>
        <v>0</v>
      </c>
      <c r="G15" s="1669">
        <f t="shared" si="1"/>
        <v>0</v>
      </c>
    </row>
    <row r="16" spans="1:8" x14ac:dyDescent="0.25">
      <c r="A16" s="1409" t="s">
        <v>454</v>
      </c>
      <c r="B16" s="1410">
        <f>'Resultats per mesos'!I39</f>
        <v>0</v>
      </c>
      <c r="C16" s="1417">
        <f>IF(B$10=0,0,B16/B$10)</f>
        <v>0</v>
      </c>
      <c r="D16" s="1418">
        <f>'Resultats per mesos'!I86</f>
        <v>0</v>
      </c>
      <c r="E16" s="1419">
        <f>IF(D$10=0,0,D16/D$10)</f>
        <v>0</v>
      </c>
      <c r="F16" s="1416">
        <f>'Resultats per mesos'!I133</f>
        <v>0</v>
      </c>
      <c r="G16" s="1420">
        <f>IF(F$10=0,0,F16/F$10)</f>
        <v>0</v>
      </c>
    </row>
    <row r="17" spans="1:7" ht="13" x14ac:dyDescent="0.3">
      <c r="A17" s="1659" t="s">
        <v>728</v>
      </c>
      <c r="B17" s="1666">
        <f>+B14-B16-B15</f>
        <v>0</v>
      </c>
      <c r="C17" s="1670">
        <f>IF(B$10=0,0,B17/B$10)</f>
        <v>0</v>
      </c>
      <c r="D17" s="1660">
        <f>+D14-D16-D15</f>
        <v>0</v>
      </c>
      <c r="E17" s="1671">
        <f>IF(D$10=0,0,D17/D$10)</f>
        <v>0</v>
      </c>
      <c r="F17" s="1660">
        <f>+F14-F16-F15</f>
        <v>0</v>
      </c>
      <c r="G17" s="1672">
        <f>IF(F$10=0,0,F17/F$10)</f>
        <v>0</v>
      </c>
    </row>
    <row r="18" spans="1:7" x14ac:dyDescent="0.25">
      <c r="A18" s="1409" t="s">
        <v>35</v>
      </c>
      <c r="B18" s="1410">
        <f>'Resultats per mesos'!I41</f>
        <v>0</v>
      </c>
      <c r="C18" s="1405">
        <f t="shared" si="2"/>
        <v>0</v>
      </c>
      <c r="D18" s="1667">
        <f>'Resultats per mesos'!I88</f>
        <v>0</v>
      </c>
      <c r="E18" s="1407">
        <f t="shared" si="0"/>
        <v>0</v>
      </c>
      <c r="F18" s="1668">
        <f>'Resultats per mesos'!I135</f>
        <v>0</v>
      </c>
      <c r="G18" s="1669">
        <f t="shared" si="1"/>
        <v>0</v>
      </c>
    </row>
    <row r="19" spans="1:7" x14ac:dyDescent="0.25">
      <c r="A19" s="1415" t="s">
        <v>518</v>
      </c>
      <c r="B19" s="1416">
        <f>'Resultats per mesos'!I42</f>
        <v>0</v>
      </c>
      <c r="C19" s="1417">
        <f t="shared" si="2"/>
        <v>0</v>
      </c>
      <c r="D19" s="1418">
        <f>'Resultats per mesos'!I89</f>
        <v>0</v>
      </c>
      <c r="E19" s="1419">
        <f t="shared" si="0"/>
        <v>0</v>
      </c>
      <c r="F19" s="1416">
        <f>'Resultats per mesos'!I136</f>
        <v>0</v>
      </c>
      <c r="G19" s="1420">
        <f t="shared" si="1"/>
        <v>0</v>
      </c>
    </row>
    <row r="20" spans="1:7" ht="13" x14ac:dyDescent="0.3">
      <c r="A20" s="1659" t="s">
        <v>730</v>
      </c>
      <c r="B20" s="1673">
        <f>+B17-B18-B19</f>
        <v>0</v>
      </c>
      <c r="C20" s="1670">
        <f t="shared" si="2"/>
        <v>0</v>
      </c>
      <c r="D20" s="1661">
        <f>+D17-D18-D19</f>
        <v>0</v>
      </c>
      <c r="E20" s="1671">
        <f t="shared" si="0"/>
        <v>0</v>
      </c>
      <c r="F20" s="1661">
        <f>+F17-F18-F19</f>
        <v>0</v>
      </c>
      <c r="G20" s="1672">
        <f t="shared" si="1"/>
        <v>0</v>
      </c>
    </row>
    <row r="21" spans="1:7" x14ac:dyDescent="0.25">
      <c r="A21" s="1409" t="s">
        <v>517</v>
      </c>
      <c r="B21" s="1416">
        <f>'Resultats per mesos'!I44</f>
        <v>0</v>
      </c>
      <c r="C21" s="1675">
        <f>IF(B$10=0,0,B21/B$10)</f>
        <v>0</v>
      </c>
      <c r="D21" s="1676">
        <f>'Resultats per mesos'!I91</f>
        <v>0</v>
      </c>
      <c r="E21" s="1677">
        <f>IF(D$10=0,0,D21/D$10)</f>
        <v>0</v>
      </c>
      <c r="F21" s="1678">
        <f>'Resultats per mesos'!I138</f>
        <v>0</v>
      </c>
      <c r="G21" s="1679">
        <f>IF(F$10=0,0,F21/F$10)</f>
        <v>0</v>
      </c>
    </row>
    <row r="22" spans="1:7" ht="13" x14ac:dyDescent="0.3">
      <c r="A22" s="1674" t="s">
        <v>731</v>
      </c>
      <c r="B22" s="1680">
        <f>+B20-B21</f>
        <v>0</v>
      </c>
      <c r="C22" s="1684">
        <f>IF(B$10=0,0,B22/B$10)</f>
        <v>0</v>
      </c>
      <c r="D22" s="1661">
        <f>+D20-D21</f>
        <v>0</v>
      </c>
      <c r="E22" s="1671">
        <f>IF(D$10=0,0,D22/D$10)</f>
        <v>0</v>
      </c>
      <c r="F22" s="1661">
        <f>+F20-F21</f>
        <v>0</v>
      </c>
      <c r="G22" s="1672">
        <f>IF(F$10=0,0,F22/F$10)</f>
        <v>0</v>
      </c>
    </row>
    <row r="23" spans="1:7" ht="13" thickBot="1" x14ac:dyDescent="0.3">
      <c r="A23" s="1409" t="s">
        <v>516</v>
      </c>
      <c r="B23" s="1668">
        <f>'Resultats per mesos'!I46</f>
        <v>0</v>
      </c>
      <c r="C23" s="1405">
        <f>IF(B$10=0,0,B23/B$10)</f>
        <v>0</v>
      </c>
      <c r="D23" s="1667">
        <f>'Resultats per mesos'!I93</f>
        <v>0</v>
      </c>
      <c r="E23" s="1407">
        <f>IF(D$10=0,0,D23/D$10)</f>
        <v>0</v>
      </c>
      <c r="F23" s="1668">
        <f>'Resultats per mesos'!I140</f>
        <v>0</v>
      </c>
      <c r="G23" s="1669">
        <f>IF(F$10=0,0,F23/F$10)</f>
        <v>0</v>
      </c>
    </row>
    <row r="24" spans="1:7" s="9" customFormat="1" ht="13.5" thickBot="1" x14ac:dyDescent="0.35">
      <c r="A24" s="1425" t="s">
        <v>520</v>
      </c>
      <c r="B24" s="1390">
        <f>'Resultats per mesos'!I47</f>
        <v>0</v>
      </c>
      <c r="C24" s="1426">
        <f t="shared" si="2"/>
        <v>0</v>
      </c>
      <c r="D24" s="1390">
        <f>'Resultats per mesos'!I94</f>
        <v>0</v>
      </c>
      <c r="E24" s="1426">
        <f t="shared" si="0"/>
        <v>0</v>
      </c>
      <c r="F24" s="1390">
        <f>'Resultats per mesos'!I141</f>
        <v>0</v>
      </c>
      <c r="G24" s="1426">
        <f t="shared" si="1"/>
        <v>0</v>
      </c>
    </row>
  </sheetData>
  <sheetProtection password="CC2F" sheet="1" objects="1" scenarios="1"/>
  <mergeCells count="6">
    <mergeCell ref="A5:G5"/>
    <mergeCell ref="A11:G11"/>
    <mergeCell ref="A2:A4"/>
    <mergeCell ref="B2:C3"/>
    <mergeCell ref="D2:E3"/>
    <mergeCell ref="F2:G3"/>
  </mergeCells>
  <phoneticPr fontId="22" type="noConversion"/>
  <printOptions horizontalCentered="1"/>
  <pageMargins left="0.39374999999999999" right="0.39374999999999999" top="0.98402777777777772" bottom="0.78749999999999998" header="0.39374999999999999" footer="0.51180555555555562"/>
  <pageSetup paperSize="9" firstPageNumber="0" orientation="portrait" horizontalDpi="300" verticalDpi="300" r:id="rId1"/>
  <headerFooter alignWithMargins="0">
    <oddHeader>&amp;L&amp;"Arial,Negrita"&amp;12&amp;A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autoFill="0" autoLine="0" autoPict="0">
                <anchor moveWithCells="1" sizeWithCells="1">
                  <from>
                    <xdr:col>7</xdr:col>
                    <xdr:colOff>50800</xdr:colOff>
                    <xdr:row>1</xdr:row>
                    <xdr:rowOff>0</xdr:rowOff>
                  </from>
                  <to>
                    <xdr:col>8</xdr:col>
                    <xdr:colOff>323850</xdr:colOff>
                    <xdr:row>2</xdr:row>
                    <xdr:rowOff>69850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1"/>
  <dimension ref="A1:J141"/>
  <sheetViews>
    <sheetView workbookViewId="0">
      <selection activeCell="I8" sqref="I8"/>
    </sheetView>
  </sheetViews>
  <sheetFormatPr defaultColWidth="11.453125" defaultRowHeight="12.5" x14ac:dyDescent="0.25"/>
  <cols>
    <col min="1" max="1" width="5.7265625" customWidth="1"/>
    <col min="2" max="2" width="34.7265625" customWidth="1"/>
    <col min="3" max="9" width="11.7265625" customWidth="1"/>
    <col min="10" max="10" width="13.453125" customWidth="1"/>
  </cols>
  <sheetData>
    <row r="1" spans="1:10" x14ac:dyDescent="0.25">
      <c r="B1" s="1942" t="s">
        <v>17</v>
      </c>
    </row>
    <row r="2" spans="1:10" x14ac:dyDescent="0.25">
      <c r="B2" s="1942"/>
    </row>
    <row r="3" spans="1:10" ht="13" x14ac:dyDescent="0.3">
      <c r="C3" s="1861" t="s">
        <v>61</v>
      </c>
      <c r="D3" s="1861"/>
      <c r="E3" s="1861"/>
      <c r="F3" s="1861"/>
      <c r="G3" s="1861"/>
      <c r="H3" s="1861"/>
      <c r="I3" s="1943" t="s">
        <v>77</v>
      </c>
      <c r="J3" s="1943"/>
    </row>
    <row r="4" spans="1:10" ht="13" x14ac:dyDescent="0.3">
      <c r="A4" s="801" t="s">
        <v>521</v>
      </c>
      <c r="B4" s="108" t="s">
        <v>522</v>
      </c>
      <c r="C4" s="1427" t="str">
        <f>VARIABLES!B12</f>
        <v>GENER</v>
      </c>
      <c r="D4" s="1428" t="str">
        <f>VARIABLES!C12</f>
        <v>FEBRER</v>
      </c>
      <c r="E4" s="1428" t="str">
        <f>VARIABLES!D12</f>
        <v>MARÇ</v>
      </c>
      <c r="F4" s="1428" t="str">
        <f>VARIABLES!E12</f>
        <v>ABRIL</v>
      </c>
      <c r="G4" s="1428" t="str">
        <f>VARIABLES!F12</f>
        <v>MAIG</v>
      </c>
      <c r="H4" s="1428" t="str">
        <f>VARIABLES!G12</f>
        <v>JUNY</v>
      </c>
      <c r="I4" s="71" t="s">
        <v>523</v>
      </c>
      <c r="J4" s="71" t="s">
        <v>151</v>
      </c>
    </row>
    <row r="5" spans="1:10" x14ac:dyDescent="0.25">
      <c r="A5" s="1429"/>
      <c r="B5" s="1939" t="str">
        <f>+'Resultats anuals'!A5</f>
        <v>INGRESSOS</v>
      </c>
      <c r="C5" s="1939"/>
      <c r="D5" s="1939"/>
      <c r="E5" s="1939"/>
      <c r="F5" s="1939"/>
      <c r="G5" s="1939"/>
      <c r="H5" s="1939"/>
      <c r="I5" s="1939"/>
      <c r="J5" s="1939"/>
    </row>
    <row r="6" spans="1:10" ht="13" x14ac:dyDescent="0.3">
      <c r="A6" s="1429">
        <v>70</v>
      </c>
      <c r="B6" s="1027" t="str">
        <f>+'Resultats anuals'!A6</f>
        <v>Vendes/Prestació de serveis</v>
      </c>
      <c r="C6" s="796">
        <f>'INGRESSOS _ COMPRES'!C32</f>
        <v>0</v>
      </c>
      <c r="D6" s="796">
        <f>'INGRESSOS _ COMPRES'!D32</f>
        <v>0</v>
      </c>
      <c r="E6" s="796">
        <f>'INGRESSOS _ COMPRES'!E32</f>
        <v>0</v>
      </c>
      <c r="F6" s="796">
        <f>'INGRESSOS _ COMPRES'!F32</f>
        <v>0</v>
      </c>
      <c r="G6" s="796">
        <f>'INGRESSOS _ COMPRES'!G32</f>
        <v>0</v>
      </c>
      <c r="H6" s="796">
        <f>'INGRESSOS _ COMPRES'!H32</f>
        <v>0</v>
      </c>
      <c r="I6" s="1424">
        <f>SUM(C6:H6)</f>
        <v>0</v>
      </c>
      <c r="J6" s="1430">
        <f>IF(I$10=0,0,I6/$I$10)</f>
        <v>0</v>
      </c>
    </row>
    <row r="7" spans="1:10" ht="13" x14ac:dyDescent="0.3">
      <c r="A7" s="1429">
        <v>74</v>
      </c>
      <c r="B7" s="1027" t="str">
        <f>+'Resultats anuals'!A7</f>
        <v>Subvencions a l'explotació</v>
      </c>
      <c r="C7" s="1381">
        <f>IF(C4=FINANÇAMENT!$B16,FINANÇAMENT!$B$12,0)</f>
        <v>0</v>
      </c>
      <c r="D7" s="1381">
        <f>IF(D4=FINANÇAMENT!$B16,FINANÇAMENT!$B$12,0)</f>
        <v>0</v>
      </c>
      <c r="E7" s="1381">
        <f>IF(E4=FINANÇAMENT!$B16,FINANÇAMENT!$B$12,0)</f>
        <v>0</v>
      </c>
      <c r="F7" s="1381">
        <f>IF(F4=FINANÇAMENT!$B16,FINANÇAMENT!$B$12,0)</f>
        <v>0</v>
      </c>
      <c r="G7" s="1381">
        <f>IF(G4=FINANÇAMENT!$B16,FINANÇAMENT!$B$12,0)</f>
        <v>0</v>
      </c>
      <c r="H7" s="1381">
        <f>IF(H4=FINANÇAMENT!$B16,FINANÇAMENT!$B$12,0)</f>
        <v>0</v>
      </c>
      <c r="I7" s="1431">
        <f>SUM(C7:H7)</f>
        <v>0</v>
      </c>
      <c r="J7" s="1432">
        <f t="shared" ref="J7:J24" si="0">IF(I$10=0,0,I7/$I$10)</f>
        <v>0</v>
      </c>
    </row>
    <row r="8" spans="1:10" ht="13" x14ac:dyDescent="0.3">
      <c r="A8" s="1429">
        <v>75</v>
      </c>
      <c r="B8" s="1027" t="str">
        <f>+'Resultats anuals'!A8</f>
        <v>Altres ingressos</v>
      </c>
      <c r="C8" s="1381"/>
      <c r="D8" s="1381"/>
      <c r="E8" s="1381"/>
      <c r="F8" s="1381"/>
      <c r="G8" s="1381"/>
      <c r="H8" s="1381"/>
      <c r="I8" s="1431">
        <f>SUM(C8:H8)</f>
        <v>0</v>
      </c>
      <c r="J8" s="1432">
        <f t="shared" si="0"/>
        <v>0</v>
      </c>
    </row>
    <row r="9" spans="1:10" ht="13" x14ac:dyDescent="0.3">
      <c r="A9" s="1429">
        <v>76</v>
      </c>
      <c r="B9" s="1027" t="str">
        <f>+'Resultats anuals'!A9</f>
        <v>Ingressos financers</v>
      </c>
      <c r="C9" s="793">
        <f>TRESORERIA!C82</f>
        <v>0</v>
      </c>
      <c r="D9" s="793">
        <f>TRESORERIA!D82</f>
        <v>0</v>
      </c>
      <c r="E9" s="793">
        <f>TRESORERIA!E82</f>
        <v>0</v>
      </c>
      <c r="F9" s="793">
        <f>TRESORERIA!F82</f>
        <v>0</v>
      </c>
      <c r="G9" s="793">
        <f>TRESORERIA!G82</f>
        <v>0</v>
      </c>
      <c r="H9" s="793">
        <f>TRESORERIA!H82</f>
        <v>0</v>
      </c>
      <c r="I9" s="1053">
        <f>SUM(C9:H9)</f>
        <v>0</v>
      </c>
      <c r="J9" s="1433">
        <f t="shared" si="0"/>
        <v>0</v>
      </c>
    </row>
    <row r="10" spans="1:10" ht="13" x14ac:dyDescent="0.3">
      <c r="A10" s="1429"/>
      <c r="B10" s="1033" t="str">
        <f>+'Resultats anuals'!A10</f>
        <v>TOTAL INGRESSOS</v>
      </c>
      <c r="C10" s="799">
        <f t="shared" ref="C10:H10" si="1">SUM(C6:C9)</f>
        <v>0</v>
      </c>
      <c r="D10" s="799">
        <f t="shared" si="1"/>
        <v>0</v>
      </c>
      <c r="E10" s="799">
        <f t="shared" si="1"/>
        <v>0</v>
      </c>
      <c r="F10" s="799">
        <f t="shared" si="1"/>
        <v>0</v>
      </c>
      <c r="G10" s="799">
        <f t="shared" si="1"/>
        <v>0</v>
      </c>
      <c r="H10" s="799">
        <f t="shared" si="1"/>
        <v>0</v>
      </c>
      <c r="I10" s="799">
        <f>SUM(C10:H10)</f>
        <v>0</v>
      </c>
      <c r="J10" s="1434">
        <f t="shared" si="0"/>
        <v>0</v>
      </c>
    </row>
    <row r="11" spans="1:10" x14ac:dyDescent="0.25">
      <c r="A11" s="1429"/>
      <c r="B11" s="1939" t="str">
        <f>+'Resultats anuals'!A11</f>
        <v>DESPESES</v>
      </c>
      <c r="C11" s="1939"/>
      <c r="D11" s="1939"/>
      <c r="E11" s="1939"/>
      <c r="F11" s="1939"/>
      <c r="G11" s="1939"/>
      <c r="H11" s="1939"/>
      <c r="I11" s="1939"/>
      <c r="J11" s="1939"/>
    </row>
    <row r="12" spans="1:10" ht="13" x14ac:dyDescent="0.3">
      <c r="A12" s="1429">
        <v>60</v>
      </c>
      <c r="B12" s="1027" t="str">
        <f>+'Resultats anuals'!A12</f>
        <v>Compres/Treballs d'altres empreses</v>
      </c>
      <c r="C12" s="796">
        <f>'INGRESSOS _ COMPRES'!C64</f>
        <v>0</v>
      </c>
      <c r="D12" s="796">
        <f>'INGRESSOS _ COMPRES'!D64</f>
        <v>0</v>
      </c>
      <c r="E12" s="796">
        <f>'INGRESSOS _ COMPRES'!E64</f>
        <v>0</v>
      </c>
      <c r="F12" s="796">
        <f>'INGRESSOS _ COMPRES'!F64</f>
        <v>0</v>
      </c>
      <c r="G12" s="796">
        <f>'INGRESSOS _ COMPRES'!G64</f>
        <v>0</v>
      </c>
      <c r="H12" s="796">
        <f>'INGRESSOS _ COMPRES'!H64</f>
        <v>0</v>
      </c>
      <c r="I12" s="1424">
        <f>SUM(C12:H12)</f>
        <v>0</v>
      </c>
      <c r="J12" s="1430">
        <f t="shared" si="0"/>
        <v>0</v>
      </c>
    </row>
    <row r="13" spans="1:10" ht="13" x14ac:dyDescent="0.3">
      <c r="A13" s="1429">
        <v>61</v>
      </c>
      <c r="B13" s="1027" t="str">
        <f>+'Resultats anuals'!A13</f>
        <v>Variació d'existències</v>
      </c>
      <c r="C13" s="1381">
        <f>-MERCADERIES!DC23</f>
        <v>0</v>
      </c>
      <c r="D13" s="1381">
        <f>-MERCADERIES!DD23</f>
        <v>0</v>
      </c>
      <c r="E13" s="1381">
        <f>-MERCADERIES!DE23</f>
        <v>0</v>
      </c>
      <c r="F13" s="1381">
        <f>-MERCADERIES!DF23</f>
        <v>0</v>
      </c>
      <c r="G13" s="1381">
        <f>-MERCADERIES!DG23</f>
        <v>0</v>
      </c>
      <c r="H13" s="1381">
        <f>-MERCADERIES!DH23</f>
        <v>0</v>
      </c>
      <c r="I13" s="1431">
        <f>SUM(C13:H13)</f>
        <v>0</v>
      </c>
      <c r="J13" s="1432">
        <f t="shared" si="0"/>
        <v>0</v>
      </c>
    </row>
    <row r="14" spans="1:10" ht="13" x14ac:dyDescent="0.3">
      <c r="A14" s="1429"/>
      <c r="B14" s="1659" t="s">
        <v>727</v>
      </c>
      <c r="C14" s="1660">
        <f t="shared" ref="C14:H14" si="2">+C10-C12-C13</f>
        <v>0</v>
      </c>
      <c r="D14" s="1660">
        <f t="shared" si="2"/>
        <v>0</v>
      </c>
      <c r="E14" s="1660">
        <f t="shared" si="2"/>
        <v>0</v>
      </c>
      <c r="F14" s="1660">
        <f t="shared" si="2"/>
        <v>0</v>
      </c>
      <c r="G14" s="1660">
        <f t="shared" si="2"/>
        <v>0</v>
      </c>
      <c r="H14" s="1660">
        <f t="shared" si="2"/>
        <v>0</v>
      </c>
      <c r="I14" s="1431">
        <f>SUM(C14:H14)</f>
        <v>0</v>
      </c>
      <c r="J14" s="1432">
        <f t="shared" si="0"/>
        <v>0</v>
      </c>
    </row>
    <row r="15" spans="1:10" ht="13" x14ac:dyDescent="0.3">
      <c r="A15" s="1429">
        <v>62</v>
      </c>
      <c r="B15" s="1027" t="str">
        <f>+'Resultats anuals'!A15</f>
        <v>Serveis externs</v>
      </c>
      <c r="C15" s="1381">
        <f>VARIABLES!B15</f>
        <v>0</v>
      </c>
      <c r="D15" s="1381">
        <f>VARIABLES!C15</f>
        <v>0</v>
      </c>
      <c r="E15" s="1381">
        <f>VARIABLES!D15</f>
        <v>0</v>
      </c>
      <c r="F15" s="1381">
        <f>VARIABLES!E15</f>
        <v>0</v>
      </c>
      <c r="G15" s="1381">
        <f>VARIABLES!F15</f>
        <v>0</v>
      </c>
      <c r="H15" s="1381">
        <f>VARIABLES!G15</f>
        <v>0</v>
      </c>
      <c r="I15" s="1431">
        <f>SUM(C15:H15)</f>
        <v>0</v>
      </c>
      <c r="J15" s="1432">
        <f t="shared" si="0"/>
        <v>0</v>
      </c>
    </row>
    <row r="16" spans="1:10" ht="13" x14ac:dyDescent="0.3">
      <c r="A16" s="1429">
        <v>64</v>
      </c>
      <c r="B16" s="1027" t="str">
        <f>+'Resultats anuals'!A16</f>
        <v>Despeses de personal</v>
      </c>
      <c r="C16" s="1381">
        <f>PROMOTORS!C55+PERSONAL!C76</f>
        <v>0</v>
      </c>
      <c r="D16" s="1381">
        <f>PROMOTORS!D55+PERSONAL!D76</f>
        <v>0</v>
      </c>
      <c r="E16" s="1381">
        <f>PROMOTORS!E55+PERSONAL!E76</f>
        <v>0</v>
      </c>
      <c r="F16" s="1381">
        <f>PROMOTORS!F55+PERSONAL!F76</f>
        <v>0</v>
      </c>
      <c r="G16" s="1381">
        <f>PROMOTORS!G55+PERSONAL!G76</f>
        <v>0</v>
      </c>
      <c r="H16" s="1381">
        <f>PROMOTORS!H55+PERSONAL!H76</f>
        <v>0</v>
      </c>
      <c r="I16" s="1431">
        <f>SUM(C16:H16)</f>
        <v>0</v>
      </c>
      <c r="J16" s="1432">
        <f>IF(I$10=0,0,I16/$I$10)</f>
        <v>0</v>
      </c>
    </row>
    <row r="17" spans="1:10" ht="13.5" customHeight="1" x14ac:dyDescent="0.3">
      <c r="A17" s="1429"/>
      <c r="B17" s="1659" t="s">
        <v>728</v>
      </c>
      <c r="C17" s="1660">
        <f t="shared" ref="C17:H17" si="3">+C14-C16-C15</f>
        <v>0</v>
      </c>
      <c r="D17" s="1660">
        <f t="shared" si="3"/>
        <v>0</v>
      </c>
      <c r="E17" s="1660">
        <f t="shared" si="3"/>
        <v>0</v>
      </c>
      <c r="F17" s="1660">
        <f t="shared" si="3"/>
        <v>0</v>
      </c>
      <c r="G17" s="1660">
        <f t="shared" si="3"/>
        <v>0</v>
      </c>
      <c r="H17" s="1660">
        <f t="shared" si="3"/>
        <v>0</v>
      </c>
      <c r="I17" s="1431">
        <f t="shared" ref="I17:I24" si="4">SUM(C17:H17)</f>
        <v>0</v>
      </c>
      <c r="J17" s="1432">
        <f>IF(I$10=0,0,I17/$I$10)</f>
        <v>0</v>
      </c>
    </row>
    <row r="18" spans="1:10" ht="13" x14ac:dyDescent="0.3">
      <c r="A18" s="1429">
        <v>68</v>
      </c>
      <c r="B18" s="1027" t="str">
        <f>+'Resultats anuals'!A18</f>
        <v>Amortitzacions</v>
      </c>
      <c r="C18" s="1381">
        <f>(INVERSIONS!C122+INVERSIONS!C126)/12</f>
        <v>0</v>
      </c>
      <c r="D18" s="1381">
        <f>C18</f>
        <v>0</v>
      </c>
      <c r="E18" s="1381">
        <f>D18</f>
        <v>0</v>
      </c>
      <c r="F18" s="1381">
        <f>E18</f>
        <v>0</v>
      </c>
      <c r="G18" s="1381">
        <f>F18</f>
        <v>0</v>
      </c>
      <c r="H18" s="1381">
        <f>G18</f>
        <v>0</v>
      </c>
      <c r="I18" s="1431">
        <f t="shared" si="4"/>
        <v>0</v>
      </c>
      <c r="J18" s="1432">
        <f t="shared" si="0"/>
        <v>0</v>
      </c>
    </row>
    <row r="19" spans="1:10" ht="13" x14ac:dyDescent="0.3">
      <c r="A19" s="1429">
        <v>69</v>
      </c>
      <c r="B19" s="1027" t="str">
        <f>+'Resultats anuals'!A19</f>
        <v>Provisions</v>
      </c>
      <c r="C19" s="1436">
        <f>C6*VARIABLES!$B$10</f>
        <v>0</v>
      </c>
      <c r="D19" s="1436">
        <f>D6*VARIABLES!$B10</f>
        <v>0</v>
      </c>
      <c r="E19" s="1436">
        <f>E6*VARIABLES!$B10</f>
        <v>0</v>
      </c>
      <c r="F19" s="1436">
        <f>F6*VARIABLES!$B10</f>
        <v>0</v>
      </c>
      <c r="G19" s="1436">
        <f>G6*VARIABLES!$B10</f>
        <v>0</v>
      </c>
      <c r="H19" s="1436">
        <f>H6*VARIABLES!$B10</f>
        <v>0</v>
      </c>
      <c r="I19" s="1431">
        <f t="shared" si="4"/>
        <v>0</v>
      </c>
      <c r="J19" s="1433">
        <f>IF(I$10=0,0,I19/$I$10)</f>
        <v>0</v>
      </c>
    </row>
    <row r="20" spans="1:10" ht="13" x14ac:dyDescent="0.3">
      <c r="B20" s="1659" t="s">
        <v>730</v>
      </c>
      <c r="C20" s="1661">
        <f t="shared" ref="C20:H20" si="5">+C17-C18-C19</f>
        <v>0</v>
      </c>
      <c r="D20" s="1661">
        <f t="shared" si="5"/>
        <v>0</v>
      </c>
      <c r="E20" s="1661">
        <f t="shared" si="5"/>
        <v>0</v>
      </c>
      <c r="F20" s="1661">
        <f t="shared" si="5"/>
        <v>0</v>
      </c>
      <c r="G20" s="1661">
        <f t="shared" si="5"/>
        <v>0</v>
      </c>
      <c r="H20" s="1661">
        <f t="shared" si="5"/>
        <v>0</v>
      </c>
      <c r="I20" s="1431">
        <f t="shared" si="4"/>
        <v>0</v>
      </c>
      <c r="J20" s="1433">
        <f>IF(I$10=0,0,I20/$I$10)</f>
        <v>0</v>
      </c>
    </row>
    <row r="21" spans="1:10" ht="13" x14ac:dyDescent="0.3">
      <c r="A21" s="1429">
        <v>66</v>
      </c>
      <c r="B21" s="1027" t="str">
        <f>+'Resultats anuals'!A21</f>
        <v>Despeses financeres</v>
      </c>
      <c r="C21" s="1381">
        <f>TRESORERIA!C51</f>
        <v>0</v>
      </c>
      <c r="D21" s="1381">
        <f>TRESORERIA!D51</f>
        <v>0</v>
      </c>
      <c r="E21" s="1381">
        <f>TRESORERIA!E51</f>
        <v>0</v>
      </c>
      <c r="F21" s="1381">
        <f>TRESORERIA!F51</f>
        <v>0</v>
      </c>
      <c r="G21" s="1381">
        <f>TRESORERIA!G51</f>
        <v>0</v>
      </c>
      <c r="H21" s="1381">
        <f>TRESORERIA!H51</f>
        <v>0</v>
      </c>
      <c r="I21" s="1431">
        <f t="shared" si="4"/>
        <v>0</v>
      </c>
      <c r="J21" s="1433">
        <f>IF(I$10=0,0,I21/$I$10)</f>
        <v>0</v>
      </c>
    </row>
    <row r="22" spans="1:10" ht="13" x14ac:dyDescent="0.3">
      <c r="A22" s="1429"/>
      <c r="B22" s="1659" t="s">
        <v>731</v>
      </c>
      <c r="C22" s="1661">
        <f t="shared" ref="C22:H22" si="6">+C20-C21</f>
        <v>0</v>
      </c>
      <c r="D22" s="1661">
        <f t="shared" si="6"/>
        <v>0</v>
      </c>
      <c r="E22" s="1661">
        <f t="shared" si="6"/>
        <v>0</v>
      </c>
      <c r="F22" s="1661">
        <f t="shared" si="6"/>
        <v>0</v>
      </c>
      <c r="G22" s="1661">
        <f t="shared" si="6"/>
        <v>0</v>
      </c>
      <c r="H22" s="1661">
        <f t="shared" si="6"/>
        <v>0</v>
      </c>
      <c r="I22" s="1431">
        <f t="shared" si="4"/>
        <v>0</v>
      </c>
      <c r="J22" s="1433">
        <f>IF(I$10=0,0,I22/$I$10)</f>
        <v>0</v>
      </c>
    </row>
    <row r="23" spans="1:10" ht="13.5" thickBot="1" x14ac:dyDescent="0.35">
      <c r="A23" s="1429">
        <v>63</v>
      </c>
      <c r="B23" s="1027" t="str">
        <f>+'Resultats anuals'!A23</f>
        <v>Tributs</v>
      </c>
      <c r="C23" s="1381">
        <f>TRIBUTS!D16/12+IF(VARIABLES!N59&lt;=0,0,VARIABLES!N59/12)+IF(Fiscalitat!$H$21="A",VARIABLES!N48/12,0)</f>
        <v>0</v>
      </c>
      <c r="D23" s="1381">
        <f>C23</f>
        <v>0</v>
      </c>
      <c r="E23" s="1381">
        <f>D23</f>
        <v>0</v>
      </c>
      <c r="F23" s="1381">
        <f>E23</f>
        <v>0</v>
      </c>
      <c r="G23" s="1381">
        <f>F23</f>
        <v>0</v>
      </c>
      <c r="H23" s="1381">
        <f>G23</f>
        <v>0</v>
      </c>
      <c r="I23" s="1664">
        <f t="shared" si="4"/>
        <v>0</v>
      </c>
      <c r="J23" s="1433">
        <f>IF(I$10=0,0,I23/$I$10)</f>
        <v>0</v>
      </c>
    </row>
    <row r="24" spans="1:10" ht="13.5" thickBot="1" x14ac:dyDescent="0.35">
      <c r="B24" s="1425" t="str">
        <f>+'Resultats anuals'!A24</f>
        <v>RESULTAT</v>
      </c>
      <c r="C24" s="1390">
        <f t="shared" ref="C24:H24" si="7">C22-C23</f>
        <v>0</v>
      </c>
      <c r="D24" s="1390">
        <f t="shared" si="7"/>
        <v>0</v>
      </c>
      <c r="E24" s="1390">
        <f t="shared" si="7"/>
        <v>0</v>
      </c>
      <c r="F24" s="1390">
        <f t="shared" si="7"/>
        <v>0</v>
      </c>
      <c r="G24" s="1390">
        <f t="shared" si="7"/>
        <v>0</v>
      </c>
      <c r="H24" s="1662">
        <f t="shared" si="7"/>
        <v>0</v>
      </c>
      <c r="I24" s="1665">
        <f t="shared" si="4"/>
        <v>0</v>
      </c>
      <c r="J24" s="1663">
        <f t="shared" si="0"/>
        <v>0</v>
      </c>
    </row>
    <row r="26" spans="1:10" ht="13" x14ac:dyDescent="0.3">
      <c r="C26" s="1861" t="s">
        <v>61</v>
      </c>
      <c r="D26" s="1861"/>
      <c r="E26" s="1861"/>
      <c r="F26" s="1861"/>
      <c r="G26" s="1861"/>
      <c r="H26" s="1861"/>
      <c r="I26" s="1943" t="s">
        <v>77</v>
      </c>
      <c r="J26" s="1943"/>
    </row>
    <row r="27" spans="1:10" ht="13" x14ac:dyDescent="0.3">
      <c r="A27" s="801" t="s">
        <v>521</v>
      </c>
      <c r="B27" s="108" t="str">
        <f t="shared" ref="B27:B36" si="8">+B4</f>
        <v>Compte</v>
      </c>
      <c r="C27" s="1427" t="str">
        <f>VARIABLES!H12</f>
        <v>JULIOL</v>
      </c>
      <c r="D27" s="1428" t="str">
        <f>VARIABLES!I12</f>
        <v>AGOST</v>
      </c>
      <c r="E27" s="1428" t="str">
        <f>VARIABLES!J12</f>
        <v>SETEMBRE</v>
      </c>
      <c r="F27" s="1428" t="str">
        <f>VARIABLES!K12</f>
        <v>OCTUBRE</v>
      </c>
      <c r="G27" s="1428" t="str">
        <f>VARIABLES!L12</f>
        <v>NOVEMBRE</v>
      </c>
      <c r="H27" s="1428" t="str">
        <f>VARIABLES!M12</f>
        <v>DESEMBRE</v>
      </c>
      <c r="I27" s="1048" t="s">
        <v>523</v>
      </c>
      <c r="J27" s="1048" t="s">
        <v>151</v>
      </c>
    </row>
    <row r="28" spans="1:10" x14ac:dyDescent="0.25">
      <c r="A28" s="1429"/>
      <c r="B28" s="1438" t="str">
        <f t="shared" si="8"/>
        <v>INGRESSOS</v>
      </c>
      <c r="C28" s="1439"/>
      <c r="D28" s="1439"/>
      <c r="E28" s="1439"/>
      <c r="F28" s="1439"/>
      <c r="G28" s="1439"/>
      <c r="H28" s="1439"/>
      <c r="I28" s="1439"/>
      <c r="J28" s="1440"/>
    </row>
    <row r="29" spans="1:10" ht="13" x14ac:dyDescent="0.3">
      <c r="A29" s="1429">
        <v>70</v>
      </c>
      <c r="B29" s="1027" t="str">
        <f t="shared" si="8"/>
        <v>Vendes/Prestació de serveis</v>
      </c>
      <c r="C29" s="796">
        <f>'INGRESSOS _ COMPRES'!I32</f>
        <v>0</v>
      </c>
      <c r="D29" s="796">
        <f>'INGRESSOS _ COMPRES'!J32</f>
        <v>0</v>
      </c>
      <c r="E29" s="796">
        <f>'INGRESSOS _ COMPRES'!K32</f>
        <v>0</v>
      </c>
      <c r="F29" s="796">
        <f>'INGRESSOS _ COMPRES'!L32</f>
        <v>0</v>
      </c>
      <c r="G29" s="796">
        <f>'INGRESSOS _ COMPRES'!M32</f>
        <v>0</v>
      </c>
      <c r="H29" s="796">
        <f>'INGRESSOS _ COMPRES'!N32</f>
        <v>0</v>
      </c>
      <c r="I29" s="1424">
        <f>SUM(C29:H29)+I6</f>
        <v>0</v>
      </c>
      <c r="J29" s="1430">
        <f>IF(I$33=0,0,I29/$I$33)</f>
        <v>0</v>
      </c>
    </row>
    <row r="30" spans="1:10" ht="13" x14ac:dyDescent="0.3">
      <c r="A30" s="1429">
        <v>74</v>
      </c>
      <c r="B30" s="1027" t="str">
        <f t="shared" si="8"/>
        <v>Subvencions a l'explotació</v>
      </c>
      <c r="C30" s="1381">
        <f>IF(C27=FINANÇAMENT!$B16,FINANÇAMENT!$B$12,0)</f>
        <v>0</v>
      </c>
      <c r="D30" s="1381">
        <f>IF(D27=FINANÇAMENT!$B16,FINANÇAMENT!$B$12,0)</f>
        <v>0</v>
      </c>
      <c r="E30" s="1381">
        <f>IF(E27=FINANÇAMENT!$B16,FINANÇAMENT!$B$12,0)</f>
        <v>0</v>
      </c>
      <c r="F30" s="1381">
        <f>IF(F27=FINANÇAMENT!$B16,FINANÇAMENT!$B$12,0)</f>
        <v>0</v>
      </c>
      <c r="G30" s="1381">
        <f>IF(G27=FINANÇAMENT!$B16,FINANÇAMENT!$B$12,0)</f>
        <v>0</v>
      </c>
      <c r="H30" s="1381">
        <f>IF(H27=FINANÇAMENT!$B16,FINANÇAMENT!$B$12,0)</f>
        <v>0</v>
      </c>
      <c r="I30" s="1431">
        <f>SUM(C30:H30)+I7</f>
        <v>0</v>
      </c>
      <c r="J30" s="1432">
        <f t="shared" ref="J30:J47" si="9">IF(I$33=0,0,I30/$I$33)</f>
        <v>0</v>
      </c>
    </row>
    <row r="31" spans="1:10" ht="13" hidden="1" x14ac:dyDescent="0.3">
      <c r="A31" s="1429">
        <v>75</v>
      </c>
      <c r="B31" s="1027" t="str">
        <f t="shared" si="8"/>
        <v>Altres ingressos</v>
      </c>
      <c r="C31" s="1381"/>
      <c r="D31" s="1381"/>
      <c r="E31" s="1381"/>
      <c r="F31" s="1381"/>
      <c r="G31" s="1381"/>
      <c r="H31" s="1381"/>
      <c r="I31" s="1431">
        <f>SUM(C31:H31)+I8</f>
        <v>0</v>
      </c>
      <c r="J31" s="1432">
        <f t="shared" si="9"/>
        <v>0</v>
      </c>
    </row>
    <row r="32" spans="1:10" ht="13" hidden="1" x14ac:dyDescent="0.3">
      <c r="A32" s="1429">
        <v>76</v>
      </c>
      <c r="B32" s="1027" t="str">
        <f t="shared" si="8"/>
        <v>Ingressos financers</v>
      </c>
      <c r="C32" s="793">
        <f>TRESORERIA!I82</f>
        <v>0</v>
      </c>
      <c r="D32" s="793">
        <f>TRESORERIA!J82</f>
        <v>0</v>
      </c>
      <c r="E32" s="793">
        <f>TRESORERIA!K82</f>
        <v>0</v>
      </c>
      <c r="F32" s="793">
        <f>TRESORERIA!L82</f>
        <v>0</v>
      </c>
      <c r="G32" s="793">
        <f>TRESORERIA!M82</f>
        <v>0</v>
      </c>
      <c r="H32" s="793">
        <f>TRESORERIA!N82</f>
        <v>0</v>
      </c>
      <c r="I32" s="1053">
        <f>SUM(C32:H32)+I9</f>
        <v>0</v>
      </c>
      <c r="J32" s="1433">
        <f t="shared" si="9"/>
        <v>0</v>
      </c>
    </row>
    <row r="33" spans="1:10" ht="13" x14ac:dyDescent="0.3">
      <c r="A33" s="1429"/>
      <c r="B33" s="1033" t="str">
        <f t="shared" si="8"/>
        <v>TOTAL INGRESSOS</v>
      </c>
      <c r="C33" s="799">
        <f t="shared" ref="C33:H33" si="10">SUM(C29:C32)</f>
        <v>0</v>
      </c>
      <c r="D33" s="799">
        <f t="shared" si="10"/>
        <v>0</v>
      </c>
      <c r="E33" s="799">
        <f t="shared" si="10"/>
        <v>0</v>
      </c>
      <c r="F33" s="799">
        <f t="shared" si="10"/>
        <v>0</v>
      </c>
      <c r="G33" s="799">
        <f t="shared" si="10"/>
        <v>0</v>
      </c>
      <c r="H33" s="799">
        <f t="shared" si="10"/>
        <v>0</v>
      </c>
      <c r="I33" s="799">
        <f>SUM(I29:I32)</f>
        <v>0</v>
      </c>
      <c r="J33" s="1434">
        <f t="shared" si="9"/>
        <v>0</v>
      </c>
    </row>
    <row r="34" spans="1:10" x14ac:dyDescent="0.25">
      <c r="A34" s="1429"/>
      <c r="B34" s="1939" t="str">
        <f t="shared" si="8"/>
        <v>DESPESES</v>
      </c>
      <c r="C34" s="1939"/>
      <c r="D34" s="1939"/>
      <c r="E34" s="1939"/>
      <c r="F34" s="1939"/>
      <c r="G34" s="1939"/>
      <c r="H34" s="1939"/>
      <c r="I34" s="1939"/>
      <c r="J34" s="1939"/>
    </row>
    <row r="35" spans="1:10" ht="13" x14ac:dyDescent="0.3">
      <c r="A35" s="1429">
        <v>60</v>
      </c>
      <c r="B35" s="1027" t="str">
        <f t="shared" si="8"/>
        <v>Compres/Treballs d'altres empreses</v>
      </c>
      <c r="C35" s="796">
        <f>'INGRESSOS _ COMPRES'!I64</f>
        <v>0</v>
      </c>
      <c r="D35" s="796">
        <f>'INGRESSOS _ COMPRES'!J64</f>
        <v>0</v>
      </c>
      <c r="E35" s="796">
        <f>'INGRESSOS _ COMPRES'!K64</f>
        <v>0</v>
      </c>
      <c r="F35" s="796">
        <f>'INGRESSOS _ COMPRES'!L64</f>
        <v>0</v>
      </c>
      <c r="G35" s="796">
        <f>'INGRESSOS _ COMPRES'!M64</f>
        <v>0</v>
      </c>
      <c r="H35" s="796">
        <f>'INGRESSOS _ COMPRES'!N64</f>
        <v>0</v>
      </c>
      <c r="I35" s="1424">
        <f>SUM(C35:H35)+I12</f>
        <v>0</v>
      </c>
      <c r="J35" s="1430">
        <f t="shared" si="9"/>
        <v>0</v>
      </c>
    </row>
    <row r="36" spans="1:10" ht="13" x14ac:dyDescent="0.3">
      <c r="A36" s="1429">
        <v>61</v>
      </c>
      <c r="B36" s="1027" t="str">
        <f t="shared" si="8"/>
        <v>Variació d'existències</v>
      </c>
      <c r="C36" s="1381">
        <f>-MERCADERIES!DI23</f>
        <v>0</v>
      </c>
      <c r="D36" s="1381">
        <f>-MERCADERIES!DJ23</f>
        <v>0</v>
      </c>
      <c r="E36" s="1381">
        <f>-MERCADERIES!DK23</f>
        <v>0</v>
      </c>
      <c r="F36" s="1381">
        <f>-MERCADERIES!DL23</f>
        <v>0</v>
      </c>
      <c r="G36" s="1381">
        <f>-MERCADERIES!DM23</f>
        <v>0</v>
      </c>
      <c r="H36" s="1381">
        <f>-MERCADERIES!DN23</f>
        <v>0</v>
      </c>
      <c r="I36" s="1431">
        <f>SUM(C36:H36)+I13</f>
        <v>0</v>
      </c>
      <c r="J36" s="1432">
        <f t="shared" si="9"/>
        <v>0</v>
      </c>
    </row>
    <row r="37" spans="1:10" ht="13" x14ac:dyDescent="0.3">
      <c r="A37" s="1429"/>
      <c r="B37" s="1659" t="s">
        <v>727</v>
      </c>
      <c r="C37" s="1660">
        <f t="shared" ref="C37:H37" si="11">+C33-C35-C36</f>
        <v>0</v>
      </c>
      <c r="D37" s="1660">
        <f t="shared" si="11"/>
        <v>0</v>
      </c>
      <c r="E37" s="1660">
        <f t="shared" si="11"/>
        <v>0</v>
      </c>
      <c r="F37" s="1660">
        <f t="shared" si="11"/>
        <v>0</v>
      </c>
      <c r="G37" s="1660">
        <f t="shared" si="11"/>
        <v>0</v>
      </c>
      <c r="H37" s="1660">
        <f t="shared" si="11"/>
        <v>0</v>
      </c>
      <c r="I37" s="1431">
        <f t="shared" ref="I37:I47" si="12">SUM(C37:H37)+I14</f>
        <v>0</v>
      </c>
      <c r="J37" s="1432">
        <f t="shared" si="9"/>
        <v>0</v>
      </c>
    </row>
    <row r="38" spans="1:10" ht="13" x14ac:dyDescent="0.3">
      <c r="A38" s="1429">
        <v>62</v>
      </c>
      <c r="B38" s="1027" t="str">
        <f>+B15</f>
        <v>Serveis externs</v>
      </c>
      <c r="C38" s="1381">
        <f>VARIABLES!H15</f>
        <v>0</v>
      </c>
      <c r="D38" s="1381">
        <f>VARIABLES!I15</f>
        <v>0</v>
      </c>
      <c r="E38" s="1381">
        <f>VARIABLES!J15</f>
        <v>0</v>
      </c>
      <c r="F38" s="1381">
        <f>VARIABLES!K15</f>
        <v>0</v>
      </c>
      <c r="G38" s="1381">
        <f>VARIABLES!L15</f>
        <v>0</v>
      </c>
      <c r="H38" s="1381">
        <f>VARIABLES!M15</f>
        <v>0</v>
      </c>
      <c r="I38" s="1431">
        <f t="shared" si="12"/>
        <v>0</v>
      </c>
      <c r="J38" s="1432">
        <f t="shared" si="9"/>
        <v>0</v>
      </c>
    </row>
    <row r="39" spans="1:10" ht="13" x14ac:dyDescent="0.3">
      <c r="A39" s="1429">
        <v>64</v>
      </c>
      <c r="B39" s="1027" t="str">
        <f>+B16</f>
        <v>Despeses de personal</v>
      </c>
      <c r="C39" s="1381">
        <f>PROMOTORS!I55+PERSONAL!I76</f>
        <v>0</v>
      </c>
      <c r="D39" s="1381">
        <f>PROMOTORS!J55+PERSONAL!J76</f>
        <v>0</v>
      </c>
      <c r="E39" s="1381">
        <f>PROMOTORS!K55+PERSONAL!K76</f>
        <v>0</v>
      </c>
      <c r="F39" s="1381">
        <f>PROMOTORS!L55+PERSONAL!L76</f>
        <v>0</v>
      </c>
      <c r="G39" s="1381">
        <f>PROMOTORS!M55+PERSONAL!M76</f>
        <v>0</v>
      </c>
      <c r="H39" s="1381">
        <f>PROMOTORS!N55+PERSONAL!N76</f>
        <v>0</v>
      </c>
      <c r="I39" s="1431">
        <f t="shared" si="12"/>
        <v>0</v>
      </c>
      <c r="J39" s="1432">
        <f t="shared" si="9"/>
        <v>0</v>
      </c>
    </row>
    <row r="40" spans="1:10" ht="13" x14ac:dyDescent="0.3">
      <c r="B40" s="1659" t="s">
        <v>728</v>
      </c>
      <c r="C40" s="1660">
        <f t="shared" ref="C40:H40" si="13">+C37-C39-C38</f>
        <v>0</v>
      </c>
      <c r="D40" s="1660">
        <f t="shared" si="13"/>
        <v>0</v>
      </c>
      <c r="E40" s="1660">
        <f t="shared" si="13"/>
        <v>0</v>
      </c>
      <c r="F40" s="1660">
        <f t="shared" si="13"/>
        <v>0</v>
      </c>
      <c r="G40" s="1660">
        <f t="shared" si="13"/>
        <v>0</v>
      </c>
      <c r="H40" s="1660">
        <f t="shared" si="13"/>
        <v>0</v>
      </c>
      <c r="I40" s="1431">
        <f t="shared" si="12"/>
        <v>0</v>
      </c>
      <c r="J40" s="1432">
        <f t="shared" si="9"/>
        <v>0</v>
      </c>
    </row>
    <row r="41" spans="1:10" ht="13" x14ac:dyDescent="0.3">
      <c r="A41" s="1429">
        <v>68</v>
      </c>
      <c r="B41" s="1027" t="str">
        <f>+B18</f>
        <v>Amortitzacions</v>
      </c>
      <c r="C41" s="1381">
        <f>H18</f>
        <v>0</v>
      </c>
      <c r="D41" s="1381">
        <f>C41</f>
        <v>0</v>
      </c>
      <c r="E41" s="1381">
        <f>D41</f>
        <v>0</v>
      </c>
      <c r="F41" s="1381">
        <f>E41</f>
        <v>0</v>
      </c>
      <c r="G41" s="1381">
        <f>F41</f>
        <v>0</v>
      </c>
      <c r="H41" s="1381">
        <f>G41</f>
        <v>0</v>
      </c>
      <c r="I41" s="1431">
        <f>SUM(C41:H41)+I18</f>
        <v>0</v>
      </c>
      <c r="J41" s="1432">
        <f>IF(I$33=0,0,I41/$I$33)</f>
        <v>0</v>
      </c>
    </row>
    <row r="42" spans="1:10" ht="13" x14ac:dyDescent="0.3">
      <c r="A42" s="1429">
        <v>69</v>
      </c>
      <c r="B42" s="1027" t="str">
        <f>+B19</f>
        <v>Provisions</v>
      </c>
      <c r="C42" s="1436">
        <f>C29*VARIABLES!$B$10</f>
        <v>0</v>
      </c>
      <c r="D42" s="1436">
        <f>D29*VARIABLES!$B$10</f>
        <v>0</v>
      </c>
      <c r="E42" s="1436">
        <f>E29*VARIABLES!$B$10</f>
        <v>0</v>
      </c>
      <c r="F42" s="1436">
        <f>F29*VARIABLES!$B$10</f>
        <v>0</v>
      </c>
      <c r="G42" s="1436">
        <f>G29*VARIABLES!$B$10</f>
        <v>0</v>
      </c>
      <c r="H42" s="1436">
        <f>H29*VARIABLES!$B$10</f>
        <v>0</v>
      </c>
      <c r="I42" s="1431">
        <f>SUM(C42:H42)+I19</f>
        <v>0</v>
      </c>
      <c r="J42" s="1432">
        <f>IF(I$33=0,0,I42/$I$33)</f>
        <v>0</v>
      </c>
    </row>
    <row r="43" spans="1:10" ht="13" x14ac:dyDescent="0.3">
      <c r="A43" s="1429"/>
      <c r="B43" s="1659" t="s">
        <v>730</v>
      </c>
      <c r="C43" s="1661">
        <f t="shared" ref="C43:H43" si="14">+C40-C44-C41</f>
        <v>0</v>
      </c>
      <c r="D43" s="1661">
        <f t="shared" si="14"/>
        <v>0</v>
      </c>
      <c r="E43" s="1661">
        <f t="shared" si="14"/>
        <v>0</v>
      </c>
      <c r="F43" s="1661">
        <f t="shared" si="14"/>
        <v>0</v>
      </c>
      <c r="G43" s="1661">
        <f t="shared" si="14"/>
        <v>0</v>
      </c>
      <c r="H43" s="1661">
        <f t="shared" si="14"/>
        <v>0</v>
      </c>
      <c r="I43" s="1431">
        <f t="shared" si="12"/>
        <v>0</v>
      </c>
      <c r="J43" s="1432">
        <f t="shared" si="9"/>
        <v>0</v>
      </c>
    </row>
    <row r="44" spans="1:10" ht="13" x14ac:dyDescent="0.3">
      <c r="A44">
        <v>66</v>
      </c>
      <c r="B44" s="1027" t="str">
        <f>+B21</f>
        <v>Despeses financeres</v>
      </c>
      <c r="C44" s="1381">
        <f>TRESORERIA!I51</f>
        <v>0</v>
      </c>
      <c r="D44" s="1381">
        <f>TRESORERIA!J51</f>
        <v>0</v>
      </c>
      <c r="E44" s="1381">
        <f>TRESORERIA!K51</f>
        <v>0</v>
      </c>
      <c r="F44" s="1381">
        <f>TRESORERIA!L51</f>
        <v>0</v>
      </c>
      <c r="G44" s="1381">
        <f>TRESORERIA!M51</f>
        <v>0</v>
      </c>
      <c r="H44" s="1381">
        <f>TRESORERIA!N51</f>
        <v>0</v>
      </c>
      <c r="I44" s="1431">
        <f>SUM(C44:H44)+I21</f>
        <v>0</v>
      </c>
      <c r="J44" s="1432">
        <f>IF(I$33=0,0,I44/$I$33)</f>
        <v>0</v>
      </c>
    </row>
    <row r="45" spans="1:10" ht="13" x14ac:dyDescent="0.3">
      <c r="A45" s="1429"/>
      <c r="B45" s="1659" t="str">
        <f>+B22</f>
        <v>RESULTAT ABANS IMPOSTOS</v>
      </c>
      <c r="C45" s="1661">
        <f t="shared" ref="C45:H45" si="15">+C43-C42</f>
        <v>0</v>
      </c>
      <c r="D45" s="1661">
        <f t="shared" si="15"/>
        <v>0</v>
      </c>
      <c r="E45" s="1661">
        <f t="shared" si="15"/>
        <v>0</v>
      </c>
      <c r="F45" s="1661">
        <f t="shared" si="15"/>
        <v>0</v>
      </c>
      <c r="G45" s="1661">
        <f t="shared" si="15"/>
        <v>0</v>
      </c>
      <c r="H45" s="1661">
        <f t="shared" si="15"/>
        <v>0</v>
      </c>
      <c r="I45" s="1431">
        <f t="shared" si="12"/>
        <v>0</v>
      </c>
      <c r="J45" s="1432">
        <f t="shared" si="9"/>
        <v>0</v>
      </c>
    </row>
    <row r="46" spans="1:10" ht="13.5" thickBot="1" x14ac:dyDescent="0.35">
      <c r="A46" s="1429">
        <v>63</v>
      </c>
      <c r="B46" s="1027" t="str">
        <f>+B23</f>
        <v>Tributs</v>
      </c>
      <c r="C46" s="1381">
        <f>H23</f>
        <v>0</v>
      </c>
      <c r="D46" s="1381">
        <f>C46</f>
        <v>0</v>
      </c>
      <c r="E46" s="1381">
        <f>D46</f>
        <v>0</v>
      </c>
      <c r="F46" s="1381">
        <f>E46</f>
        <v>0</v>
      </c>
      <c r="G46" s="1381">
        <f>F46</f>
        <v>0</v>
      </c>
      <c r="H46" s="1381">
        <f>G46</f>
        <v>0</v>
      </c>
      <c r="I46" s="1664">
        <f t="shared" si="12"/>
        <v>0</v>
      </c>
      <c r="J46" s="1432">
        <f t="shared" si="9"/>
        <v>0</v>
      </c>
    </row>
    <row r="47" spans="1:10" ht="13.5" thickBot="1" x14ac:dyDescent="0.35">
      <c r="B47" s="1425" t="str">
        <f>+B24</f>
        <v>RESULTAT</v>
      </c>
      <c r="C47" s="1390">
        <f t="shared" ref="C47:H47" si="16">+C45-C46</f>
        <v>0</v>
      </c>
      <c r="D47" s="1390">
        <f t="shared" si="16"/>
        <v>0</v>
      </c>
      <c r="E47" s="1390">
        <f t="shared" si="16"/>
        <v>0</v>
      </c>
      <c r="F47" s="1390">
        <f t="shared" si="16"/>
        <v>0</v>
      </c>
      <c r="G47" s="1390">
        <f t="shared" si="16"/>
        <v>0</v>
      </c>
      <c r="H47" s="1662">
        <f t="shared" si="16"/>
        <v>0</v>
      </c>
      <c r="I47" s="1665">
        <f t="shared" si="12"/>
        <v>0</v>
      </c>
      <c r="J47" s="1663">
        <f t="shared" si="9"/>
        <v>0</v>
      </c>
    </row>
    <row r="48" spans="1:10" ht="13" x14ac:dyDescent="0.3">
      <c r="B48" s="1820" t="s">
        <v>47</v>
      </c>
      <c r="C48" s="21"/>
      <c r="D48" s="21"/>
      <c r="E48" s="21"/>
      <c r="F48" s="21"/>
      <c r="G48" s="21"/>
      <c r="H48" s="21"/>
      <c r="I48" s="9"/>
      <c r="J48" s="1437"/>
    </row>
    <row r="49" spans="1:10" x14ac:dyDescent="0.25">
      <c r="B49" s="1820"/>
    </row>
    <row r="50" spans="1:10" ht="13" x14ac:dyDescent="0.3">
      <c r="C50" s="1943" t="s">
        <v>61</v>
      </c>
      <c r="D50" s="1943"/>
      <c r="E50" s="1943"/>
      <c r="F50" s="1943"/>
      <c r="G50" s="1943"/>
      <c r="H50" s="1943"/>
      <c r="I50" s="1943" t="s">
        <v>77</v>
      </c>
      <c r="J50" s="1943"/>
    </row>
    <row r="51" spans="1:10" ht="13" x14ac:dyDescent="0.3">
      <c r="A51" s="801" t="s">
        <v>521</v>
      </c>
      <c r="B51" s="108" t="str">
        <f t="shared" ref="B51:B59" si="17">+B4</f>
        <v>Compte</v>
      </c>
      <c r="C51" s="1427" t="str">
        <f t="shared" ref="C51:H51" si="18">C4</f>
        <v>GENER</v>
      </c>
      <c r="D51" s="1428" t="str">
        <f t="shared" si="18"/>
        <v>FEBRER</v>
      </c>
      <c r="E51" s="1428" t="str">
        <f t="shared" si="18"/>
        <v>MARÇ</v>
      </c>
      <c r="F51" s="1428" t="str">
        <f t="shared" si="18"/>
        <v>ABRIL</v>
      </c>
      <c r="G51" s="1428" t="str">
        <f t="shared" si="18"/>
        <v>MAIG</v>
      </c>
      <c r="H51" s="1428" t="str">
        <f t="shared" si="18"/>
        <v>JUNY</v>
      </c>
      <c r="I51" s="1048" t="s">
        <v>523</v>
      </c>
      <c r="J51" s="1048" t="s">
        <v>151</v>
      </c>
    </row>
    <row r="52" spans="1:10" x14ac:dyDescent="0.25">
      <c r="A52" s="1429"/>
      <c r="B52" s="1438" t="str">
        <f t="shared" si="17"/>
        <v>INGRESSOS</v>
      </c>
      <c r="C52" s="1439"/>
      <c r="D52" s="1439"/>
      <c r="E52" s="1439"/>
      <c r="F52" s="1439"/>
      <c r="G52" s="1439"/>
      <c r="H52" s="1439"/>
      <c r="I52" s="1439"/>
      <c r="J52" s="1440"/>
    </row>
    <row r="53" spans="1:10" ht="13" x14ac:dyDescent="0.3">
      <c r="A53" s="1429">
        <v>70</v>
      </c>
      <c r="B53" s="1027" t="str">
        <f t="shared" si="17"/>
        <v>Vendes/Prestació de serveis</v>
      </c>
      <c r="C53" s="796">
        <f>'INGRESSOS _ COMPRES'!C98</f>
        <v>0</v>
      </c>
      <c r="D53" s="796">
        <f>'INGRESSOS _ COMPRES'!D98</f>
        <v>0</v>
      </c>
      <c r="E53" s="796">
        <f>'INGRESSOS _ COMPRES'!E98</f>
        <v>0</v>
      </c>
      <c r="F53" s="796">
        <f>'INGRESSOS _ COMPRES'!F98</f>
        <v>0</v>
      </c>
      <c r="G53" s="796">
        <f>'INGRESSOS _ COMPRES'!G98</f>
        <v>0</v>
      </c>
      <c r="H53" s="796">
        <f>'INGRESSOS _ COMPRES'!H98</f>
        <v>0</v>
      </c>
      <c r="I53" s="1424">
        <f>SUM(C53:H53)</f>
        <v>0</v>
      </c>
      <c r="J53" s="1430">
        <f>IF(I$57=0,0,I53/$I$57)</f>
        <v>0</v>
      </c>
    </row>
    <row r="54" spans="1:10" ht="13" x14ac:dyDescent="0.3">
      <c r="A54" s="1429">
        <v>74</v>
      </c>
      <c r="B54" s="1027" t="str">
        <f t="shared" si="17"/>
        <v>Subvencions a l'explotació</v>
      </c>
      <c r="C54" s="1381">
        <f>IF(C51=FINANÇAMENT!$C16,FINANÇAMENT!$C$12,0)</f>
        <v>0</v>
      </c>
      <c r="D54" s="1381">
        <f>IF(D51=FINANÇAMENT!$C16,FINANÇAMENT!$C$12,0)</f>
        <v>0</v>
      </c>
      <c r="E54" s="1381">
        <f>IF(E51=FINANÇAMENT!$C16,FINANÇAMENT!$C$12,0)</f>
        <v>0</v>
      </c>
      <c r="F54" s="1381">
        <f>IF(F51=FINANÇAMENT!$C16,FINANÇAMENT!$C$12,0)</f>
        <v>0</v>
      </c>
      <c r="G54" s="1381">
        <f>IF(G51=FINANÇAMENT!$C16,FINANÇAMENT!$C$12,0)</f>
        <v>0</v>
      </c>
      <c r="H54" s="1381">
        <f>IF(H51=FINANÇAMENT!$C16,FINANÇAMENT!$C$12,0)</f>
        <v>0</v>
      </c>
      <c r="I54" s="1431">
        <f>SUM(C54:H54)</f>
        <v>0</v>
      </c>
      <c r="J54" s="1432">
        <f t="shared" ref="J54:J70" si="19">IF(I$57=0,0,I54/$I$57)</f>
        <v>0</v>
      </c>
    </row>
    <row r="55" spans="1:10" ht="13" hidden="1" x14ac:dyDescent="0.3">
      <c r="A55" s="1429">
        <v>75</v>
      </c>
      <c r="B55" s="1027" t="str">
        <f t="shared" si="17"/>
        <v>Altres ingressos</v>
      </c>
      <c r="C55" s="1381"/>
      <c r="D55" s="1381"/>
      <c r="E55" s="1381"/>
      <c r="F55" s="1381"/>
      <c r="G55" s="1381"/>
      <c r="H55" s="1381"/>
      <c r="I55" s="1431">
        <f>SUM(C55:H55)</f>
        <v>0</v>
      </c>
      <c r="J55" s="1432">
        <f t="shared" si="19"/>
        <v>0</v>
      </c>
    </row>
    <row r="56" spans="1:10" ht="13" hidden="1" x14ac:dyDescent="0.3">
      <c r="A56" s="1429">
        <v>76</v>
      </c>
      <c r="B56" s="1027" t="str">
        <f t="shared" si="17"/>
        <v>Ingressos financers</v>
      </c>
      <c r="C56" s="793">
        <f>TRESORERIA!C167</f>
        <v>0</v>
      </c>
      <c r="D56" s="793">
        <f>TRESORERIA!D167</f>
        <v>0</v>
      </c>
      <c r="E56" s="793">
        <f>TRESORERIA!E167</f>
        <v>0</v>
      </c>
      <c r="F56" s="793">
        <f>TRESORERIA!F167</f>
        <v>0</v>
      </c>
      <c r="G56" s="793">
        <f>TRESORERIA!G167</f>
        <v>0</v>
      </c>
      <c r="H56" s="793">
        <f>TRESORERIA!H167</f>
        <v>0</v>
      </c>
      <c r="I56" s="1053">
        <f>SUM(C56:H56)</f>
        <v>0</v>
      </c>
      <c r="J56" s="1433">
        <f t="shared" si="19"/>
        <v>0</v>
      </c>
    </row>
    <row r="57" spans="1:10" ht="13" x14ac:dyDescent="0.3">
      <c r="A57" s="1429"/>
      <c r="B57" s="1033" t="str">
        <f t="shared" si="17"/>
        <v>TOTAL INGRESSOS</v>
      </c>
      <c r="C57" s="799">
        <f t="shared" ref="C57:H57" si="20">SUM(C53:C56)</f>
        <v>0</v>
      </c>
      <c r="D57" s="799">
        <f t="shared" si="20"/>
        <v>0</v>
      </c>
      <c r="E57" s="799">
        <f t="shared" si="20"/>
        <v>0</v>
      </c>
      <c r="F57" s="799">
        <f t="shared" si="20"/>
        <v>0</v>
      </c>
      <c r="G57" s="799">
        <f t="shared" si="20"/>
        <v>0</v>
      </c>
      <c r="H57" s="799">
        <f t="shared" si="20"/>
        <v>0</v>
      </c>
      <c r="I57" s="799">
        <f>SUM(C57:H57)</f>
        <v>0</v>
      </c>
      <c r="J57" s="1434">
        <f t="shared" si="19"/>
        <v>0</v>
      </c>
    </row>
    <row r="58" spans="1:10" x14ac:dyDescent="0.25">
      <c r="A58" s="1429"/>
      <c r="B58" s="1939" t="str">
        <f t="shared" si="17"/>
        <v>DESPESES</v>
      </c>
      <c r="C58" s="1939"/>
      <c r="D58" s="1939"/>
      <c r="E58" s="1939"/>
      <c r="F58" s="1939"/>
      <c r="G58" s="1939"/>
      <c r="H58" s="1939"/>
      <c r="I58" s="1939"/>
      <c r="J58" s="1939"/>
    </row>
    <row r="59" spans="1:10" ht="13" x14ac:dyDescent="0.3">
      <c r="A59" s="1429">
        <v>60</v>
      </c>
      <c r="B59" s="1027" t="str">
        <f t="shared" si="17"/>
        <v>Compres/Treballs d'altres empreses</v>
      </c>
      <c r="C59" s="796">
        <f>'INGRESSOS _ COMPRES'!C130</f>
        <v>0</v>
      </c>
      <c r="D59" s="796">
        <f>'INGRESSOS _ COMPRES'!D130</f>
        <v>0</v>
      </c>
      <c r="E59" s="796">
        <f>'INGRESSOS _ COMPRES'!E130</f>
        <v>0</v>
      </c>
      <c r="F59" s="796">
        <f>'INGRESSOS _ COMPRES'!F130</f>
        <v>0</v>
      </c>
      <c r="G59" s="796">
        <f>'INGRESSOS _ COMPRES'!G130</f>
        <v>0</v>
      </c>
      <c r="H59" s="796">
        <f>'INGRESSOS _ COMPRES'!H130</f>
        <v>0</v>
      </c>
      <c r="I59" s="1424">
        <f t="shared" ref="I59:I71" si="21">SUM(C59:H59)</f>
        <v>0</v>
      </c>
      <c r="J59" s="1430">
        <f t="shared" si="19"/>
        <v>0</v>
      </c>
    </row>
    <row r="60" spans="1:10" ht="13" x14ac:dyDescent="0.3">
      <c r="A60" s="1429">
        <v>61</v>
      </c>
      <c r="B60" s="1027" t="str">
        <f>+B13</f>
        <v>Variació d'existències</v>
      </c>
      <c r="C60" s="1381">
        <f>-MERCADERIES!DC91</f>
        <v>0</v>
      </c>
      <c r="D60" s="1381">
        <f>-MERCADERIES!DD91</f>
        <v>0</v>
      </c>
      <c r="E60" s="1381">
        <f>-MERCADERIES!DE91</f>
        <v>0</v>
      </c>
      <c r="F60" s="1381">
        <f>-MERCADERIES!DF91</f>
        <v>0</v>
      </c>
      <c r="G60" s="1381">
        <f>-MERCADERIES!DG91</f>
        <v>0</v>
      </c>
      <c r="H60" s="1381">
        <f>-MERCADERIES!DH91</f>
        <v>0</v>
      </c>
      <c r="I60" s="1431">
        <f t="shared" si="21"/>
        <v>0</v>
      </c>
      <c r="J60" s="1430">
        <f t="shared" si="19"/>
        <v>0</v>
      </c>
    </row>
    <row r="61" spans="1:10" ht="13" x14ac:dyDescent="0.3">
      <c r="A61" s="1429"/>
      <c r="B61" s="1659" t="s">
        <v>727</v>
      </c>
      <c r="C61" s="1660">
        <f t="shared" ref="C61:H61" si="22">+C57-C59-C60</f>
        <v>0</v>
      </c>
      <c r="D61" s="1660">
        <f t="shared" si="22"/>
        <v>0</v>
      </c>
      <c r="E61" s="1660">
        <f t="shared" si="22"/>
        <v>0</v>
      </c>
      <c r="F61" s="1660">
        <f t="shared" si="22"/>
        <v>0</v>
      </c>
      <c r="G61" s="1660">
        <f t="shared" si="22"/>
        <v>0</v>
      </c>
      <c r="H61" s="1660">
        <f t="shared" si="22"/>
        <v>0</v>
      </c>
      <c r="I61" s="1431">
        <f t="shared" si="21"/>
        <v>0</v>
      </c>
      <c r="J61" s="1430">
        <f t="shared" si="19"/>
        <v>0</v>
      </c>
    </row>
    <row r="62" spans="1:10" ht="13" x14ac:dyDescent="0.3">
      <c r="A62" s="1429">
        <v>62</v>
      </c>
      <c r="B62" s="1027" t="str">
        <f>+B15</f>
        <v>Serveis externs</v>
      </c>
      <c r="C62" s="1381">
        <f>VARIABLES!B77</f>
        <v>0</v>
      </c>
      <c r="D62" s="1381">
        <f>VARIABLES!C77</f>
        <v>0</v>
      </c>
      <c r="E62" s="1381">
        <f>VARIABLES!D77</f>
        <v>0</v>
      </c>
      <c r="F62" s="1381">
        <f>VARIABLES!E77</f>
        <v>0</v>
      </c>
      <c r="G62" s="1381">
        <f>VARIABLES!F77</f>
        <v>0</v>
      </c>
      <c r="H62" s="1381">
        <f>VARIABLES!G77</f>
        <v>0</v>
      </c>
      <c r="I62" s="1431">
        <f t="shared" si="21"/>
        <v>0</v>
      </c>
      <c r="J62" s="1430">
        <f t="shared" si="19"/>
        <v>0</v>
      </c>
    </row>
    <row r="63" spans="1:10" ht="13" x14ac:dyDescent="0.3">
      <c r="A63" s="1429">
        <v>64</v>
      </c>
      <c r="B63" s="1027" t="str">
        <f>+B16</f>
        <v>Despeses de personal</v>
      </c>
      <c r="C63" s="1381">
        <f>PROMOTORS!C156+PERSONAL!C173</f>
        <v>0</v>
      </c>
      <c r="D63" s="1381">
        <f>PROMOTORS!D156+PERSONAL!D173</f>
        <v>0</v>
      </c>
      <c r="E63" s="1381">
        <f>PROMOTORS!E156+PERSONAL!E173</f>
        <v>0</v>
      </c>
      <c r="F63" s="1381">
        <f>PROMOTORS!F156+PERSONAL!F173</f>
        <v>0</v>
      </c>
      <c r="G63" s="1381">
        <f>PROMOTORS!G156+PERSONAL!G173</f>
        <v>0</v>
      </c>
      <c r="H63" s="1381">
        <f>PROMOTORS!H156+PERSONAL!H173</f>
        <v>0</v>
      </c>
      <c r="I63" s="1431">
        <f t="shared" si="21"/>
        <v>0</v>
      </c>
      <c r="J63" s="1430">
        <f t="shared" si="19"/>
        <v>0</v>
      </c>
    </row>
    <row r="64" spans="1:10" ht="13" x14ac:dyDescent="0.3">
      <c r="B64" s="1659" t="s">
        <v>728</v>
      </c>
      <c r="C64" s="1660">
        <f t="shared" ref="C64:H64" si="23">+C61-C63-C62</f>
        <v>0</v>
      </c>
      <c r="D64" s="1660">
        <f t="shared" si="23"/>
        <v>0</v>
      </c>
      <c r="E64" s="1660">
        <f t="shared" si="23"/>
        <v>0</v>
      </c>
      <c r="F64" s="1660">
        <f t="shared" si="23"/>
        <v>0</v>
      </c>
      <c r="G64" s="1660">
        <f t="shared" si="23"/>
        <v>0</v>
      </c>
      <c r="H64" s="1660">
        <f t="shared" si="23"/>
        <v>0</v>
      </c>
      <c r="I64" s="1431">
        <f t="shared" si="21"/>
        <v>0</v>
      </c>
      <c r="J64" s="1430">
        <f t="shared" si="19"/>
        <v>0</v>
      </c>
    </row>
    <row r="65" spans="1:10" ht="13" x14ac:dyDescent="0.3">
      <c r="A65" s="1429">
        <v>68</v>
      </c>
      <c r="B65" s="1027" t="str">
        <f>+B18</f>
        <v>Amortitzacions</v>
      </c>
      <c r="C65" s="1381">
        <f>(INVERSIONS!D122+INVERSIONS!D126)/12</f>
        <v>0</v>
      </c>
      <c r="D65" s="1381">
        <f>C65</f>
        <v>0</v>
      </c>
      <c r="E65" s="1381">
        <f>D65</f>
        <v>0</v>
      </c>
      <c r="F65" s="1381">
        <f>E65</f>
        <v>0</v>
      </c>
      <c r="G65" s="1381">
        <f>F65</f>
        <v>0</v>
      </c>
      <c r="H65" s="1381">
        <f>G65</f>
        <v>0</v>
      </c>
      <c r="I65" s="1431">
        <f t="shared" si="21"/>
        <v>0</v>
      </c>
      <c r="J65" s="1430">
        <f t="shared" si="19"/>
        <v>0</v>
      </c>
    </row>
    <row r="66" spans="1:10" ht="13" x14ac:dyDescent="0.3">
      <c r="A66" s="1429">
        <v>69</v>
      </c>
      <c r="B66" s="1027" t="str">
        <f>+B19</f>
        <v>Provisions</v>
      </c>
      <c r="C66" s="1436">
        <f>C53*VARIABLES!$B$72</f>
        <v>0</v>
      </c>
      <c r="D66" s="1436">
        <f>D53*VARIABLES!$B$72</f>
        <v>0</v>
      </c>
      <c r="E66" s="1436">
        <f>E53*VARIABLES!$B$72</f>
        <v>0</v>
      </c>
      <c r="F66" s="1436">
        <f>F53*VARIABLES!$B$72</f>
        <v>0</v>
      </c>
      <c r="G66" s="1436">
        <f>G53*VARIABLES!$B$72</f>
        <v>0</v>
      </c>
      <c r="H66" s="1436">
        <f>H53*VARIABLES!$B$72</f>
        <v>0</v>
      </c>
      <c r="I66" s="1431">
        <f t="shared" si="21"/>
        <v>0</v>
      </c>
      <c r="J66" s="1430">
        <f t="shared" si="19"/>
        <v>0</v>
      </c>
    </row>
    <row r="67" spans="1:10" ht="13" x14ac:dyDescent="0.3">
      <c r="A67" s="1429"/>
      <c r="B67" s="1659" t="s">
        <v>730</v>
      </c>
      <c r="C67" s="1661">
        <f t="shared" ref="C67:H67" si="24">+C64-C65-C66</f>
        <v>0</v>
      </c>
      <c r="D67" s="1661">
        <f t="shared" si="24"/>
        <v>0</v>
      </c>
      <c r="E67" s="1661">
        <f t="shared" si="24"/>
        <v>0</v>
      </c>
      <c r="F67" s="1661">
        <f t="shared" si="24"/>
        <v>0</v>
      </c>
      <c r="G67" s="1661">
        <f t="shared" si="24"/>
        <v>0</v>
      </c>
      <c r="H67" s="1661">
        <f t="shared" si="24"/>
        <v>0</v>
      </c>
      <c r="I67" s="1431">
        <f t="shared" si="21"/>
        <v>0</v>
      </c>
      <c r="J67" s="1430">
        <f t="shared" si="19"/>
        <v>0</v>
      </c>
    </row>
    <row r="68" spans="1:10" ht="13" x14ac:dyDescent="0.3">
      <c r="A68" s="1429">
        <v>66</v>
      </c>
      <c r="B68" s="1027" t="str">
        <f>+B21</f>
        <v>Despeses financeres</v>
      </c>
      <c r="C68" s="1381">
        <f>TRESORERIA!C136</f>
        <v>0</v>
      </c>
      <c r="D68" s="1381">
        <f>TRESORERIA!D136</f>
        <v>0</v>
      </c>
      <c r="E68" s="1381">
        <f>TRESORERIA!E136</f>
        <v>0</v>
      </c>
      <c r="F68" s="1381">
        <f>TRESORERIA!F136</f>
        <v>0</v>
      </c>
      <c r="G68" s="1381">
        <f>TRESORERIA!G136</f>
        <v>0</v>
      </c>
      <c r="H68" s="1381">
        <f>TRESORERIA!H$136</f>
        <v>0</v>
      </c>
      <c r="I68" s="1431">
        <f t="shared" si="21"/>
        <v>0</v>
      </c>
      <c r="J68" s="1430">
        <f t="shared" si="19"/>
        <v>0</v>
      </c>
    </row>
    <row r="69" spans="1:10" ht="13" x14ac:dyDescent="0.3">
      <c r="A69" s="1429"/>
      <c r="B69" s="1659" t="str">
        <f>+B45</f>
        <v>RESULTAT ABANS IMPOSTOS</v>
      </c>
      <c r="C69" s="1661">
        <f t="shared" ref="C69:H69" si="25">+C67-C68</f>
        <v>0</v>
      </c>
      <c r="D69" s="1661">
        <f t="shared" si="25"/>
        <v>0</v>
      </c>
      <c r="E69" s="1661">
        <f t="shared" si="25"/>
        <v>0</v>
      </c>
      <c r="F69" s="1661">
        <f t="shared" si="25"/>
        <v>0</v>
      </c>
      <c r="G69" s="1661">
        <f t="shared" si="25"/>
        <v>0</v>
      </c>
      <c r="H69" s="1661">
        <f t="shared" si="25"/>
        <v>0</v>
      </c>
      <c r="I69" s="1431">
        <f t="shared" si="21"/>
        <v>0</v>
      </c>
      <c r="J69" s="1430">
        <f t="shared" si="19"/>
        <v>0</v>
      </c>
    </row>
    <row r="70" spans="1:10" ht="13.5" thickBot="1" x14ac:dyDescent="0.35">
      <c r="A70" s="1429">
        <v>63</v>
      </c>
      <c r="B70" s="1027" t="str">
        <f>+B23</f>
        <v>Tributs</v>
      </c>
      <c r="C70" s="1381">
        <f>TRIBUTS!E16/12+IF(VARIABLES!N123&lt;=0,0,VARIABLES!N123/12)+IF(Fiscalitat!$H$21="A",VARIABLES!N112/12,0)</f>
        <v>0</v>
      </c>
      <c r="D70" s="1381">
        <f>C70</f>
        <v>0</v>
      </c>
      <c r="E70" s="1381">
        <f>D70</f>
        <v>0</v>
      </c>
      <c r="F70" s="1381">
        <f>E70</f>
        <v>0</v>
      </c>
      <c r="G70" s="1381">
        <f>F70</f>
        <v>0</v>
      </c>
      <c r="H70" s="1381">
        <f>G70</f>
        <v>0</v>
      </c>
      <c r="I70" s="1664">
        <f t="shared" si="21"/>
        <v>0</v>
      </c>
      <c r="J70" s="1430">
        <f t="shared" si="19"/>
        <v>0</v>
      </c>
    </row>
    <row r="71" spans="1:10" ht="13.5" thickBot="1" x14ac:dyDescent="0.35">
      <c r="B71" s="1425" t="str">
        <f>+B47</f>
        <v>RESULTAT</v>
      </c>
      <c r="C71" s="1390">
        <f t="shared" ref="C71:H71" si="26">+C69-C70</f>
        <v>0</v>
      </c>
      <c r="D71" s="1390">
        <f t="shared" si="26"/>
        <v>0</v>
      </c>
      <c r="E71" s="1390">
        <f t="shared" si="26"/>
        <v>0</v>
      </c>
      <c r="F71" s="1390">
        <f t="shared" si="26"/>
        <v>0</v>
      </c>
      <c r="G71" s="1390">
        <f t="shared" si="26"/>
        <v>0</v>
      </c>
      <c r="H71" s="1662">
        <f t="shared" si="26"/>
        <v>0</v>
      </c>
      <c r="I71" s="1665">
        <f t="shared" si="21"/>
        <v>0</v>
      </c>
      <c r="J71" s="1663">
        <f>IF(I$33=0,0,I71/$I$33)</f>
        <v>0</v>
      </c>
    </row>
    <row r="72" spans="1:10" ht="13" x14ac:dyDescent="0.3">
      <c r="B72" s="7"/>
      <c r="C72" s="21"/>
      <c r="D72" s="21"/>
      <c r="E72" s="21"/>
      <c r="F72" s="21"/>
      <c r="G72" s="21"/>
      <c r="H72" s="21"/>
      <c r="I72" s="9"/>
      <c r="J72" s="1437"/>
    </row>
    <row r="73" spans="1:10" ht="13" x14ac:dyDescent="0.3">
      <c r="C73" s="1943" t="s">
        <v>61</v>
      </c>
      <c r="D73" s="1943"/>
      <c r="E73" s="1943"/>
      <c r="F73" s="1943"/>
      <c r="G73" s="1943"/>
      <c r="H73" s="1943"/>
      <c r="I73" s="1943" t="s">
        <v>77</v>
      </c>
      <c r="J73" s="1943"/>
    </row>
    <row r="74" spans="1:10" ht="13" x14ac:dyDescent="0.3">
      <c r="A74" s="801" t="s">
        <v>521</v>
      </c>
      <c r="B74" s="108" t="str">
        <f t="shared" ref="B74:B82" si="27">+B4</f>
        <v>Compte</v>
      </c>
      <c r="C74" s="1427" t="str">
        <f t="shared" ref="C74:H74" si="28">C27</f>
        <v>JULIOL</v>
      </c>
      <c r="D74" s="1428" t="str">
        <f t="shared" si="28"/>
        <v>AGOST</v>
      </c>
      <c r="E74" s="1428" t="str">
        <f t="shared" si="28"/>
        <v>SETEMBRE</v>
      </c>
      <c r="F74" s="1428" t="str">
        <f t="shared" si="28"/>
        <v>OCTUBRE</v>
      </c>
      <c r="G74" s="1428" t="str">
        <f t="shared" si="28"/>
        <v>NOVEMBRE</v>
      </c>
      <c r="H74" s="1428" t="str">
        <f t="shared" si="28"/>
        <v>DESEMBRE</v>
      </c>
      <c r="I74" s="1048" t="s">
        <v>523</v>
      </c>
      <c r="J74" s="1048" t="s">
        <v>151</v>
      </c>
    </row>
    <row r="75" spans="1:10" x14ac:dyDescent="0.25">
      <c r="A75" s="1429"/>
      <c r="B75" s="1438" t="str">
        <f t="shared" si="27"/>
        <v>INGRESSOS</v>
      </c>
      <c r="C75" s="1439"/>
      <c r="D75" s="1439"/>
      <c r="E75" s="1439"/>
      <c r="F75" s="1439"/>
      <c r="G75" s="1439"/>
      <c r="H75" s="1439"/>
      <c r="I75" s="1439"/>
      <c r="J75" s="1440"/>
    </row>
    <row r="76" spans="1:10" ht="13" x14ac:dyDescent="0.3">
      <c r="A76" s="1429">
        <v>70</v>
      </c>
      <c r="B76" s="1027" t="str">
        <f t="shared" si="27"/>
        <v>Vendes/Prestació de serveis</v>
      </c>
      <c r="C76" s="796">
        <f>'INGRESSOS _ COMPRES'!I98</f>
        <v>0</v>
      </c>
      <c r="D76" s="796">
        <f>'INGRESSOS _ COMPRES'!J98</f>
        <v>0</v>
      </c>
      <c r="E76" s="796">
        <f>'INGRESSOS _ COMPRES'!K98</f>
        <v>0</v>
      </c>
      <c r="F76" s="796">
        <f>'INGRESSOS _ COMPRES'!L98</f>
        <v>0</v>
      </c>
      <c r="G76" s="796">
        <f>'INGRESSOS _ COMPRES'!M98</f>
        <v>0</v>
      </c>
      <c r="H76" s="796">
        <f>'INGRESSOS _ COMPRES'!N98</f>
        <v>0</v>
      </c>
      <c r="I76" s="1424">
        <f>SUM(C76:H76)+I53</f>
        <v>0</v>
      </c>
      <c r="J76" s="1430">
        <f>IF(I$80=0,0,I76/$I$80)</f>
        <v>0</v>
      </c>
    </row>
    <row r="77" spans="1:10" ht="13" x14ac:dyDescent="0.3">
      <c r="A77" s="1429">
        <v>74</v>
      </c>
      <c r="B77" s="1027" t="str">
        <f t="shared" si="27"/>
        <v>Subvencions a l'explotació</v>
      </c>
      <c r="C77" s="1381">
        <f>IF(C74=FINANÇAMENT!$C16,FINANÇAMENT!$C$12,0)</f>
        <v>0</v>
      </c>
      <c r="D77" s="1381">
        <f>IF(D74=FINANÇAMENT!$C16,FINANÇAMENT!$C$12,0)</f>
        <v>0</v>
      </c>
      <c r="E77" s="1381">
        <f>IF(E74=FINANÇAMENT!$C16,FINANÇAMENT!$C$12,0)</f>
        <v>0</v>
      </c>
      <c r="F77" s="1381">
        <f>IF(F74=FINANÇAMENT!$C16,FINANÇAMENT!$C$12,0)</f>
        <v>0</v>
      </c>
      <c r="G77" s="1381">
        <f>IF(G74=FINANÇAMENT!$C16,FINANÇAMENT!$C$12,0)</f>
        <v>0</v>
      </c>
      <c r="H77" s="1381">
        <f>IF(H74=FINANÇAMENT!$C16,FINANÇAMENT!$C$12,0)</f>
        <v>0</v>
      </c>
      <c r="I77" s="1431">
        <f>SUM(C77:H77)+I54</f>
        <v>0</v>
      </c>
      <c r="J77" s="1432">
        <f t="shared" ref="J77:J94" si="29">IF(I$80=0,0,I77/$I$80)</f>
        <v>0</v>
      </c>
    </row>
    <row r="78" spans="1:10" ht="13" hidden="1" x14ac:dyDescent="0.3">
      <c r="A78" s="1429">
        <v>75</v>
      </c>
      <c r="B78" s="1027" t="str">
        <f t="shared" si="27"/>
        <v>Altres ingressos</v>
      </c>
      <c r="C78" s="1381"/>
      <c r="D78" s="1381"/>
      <c r="E78" s="1381"/>
      <c r="F78" s="1381"/>
      <c r="G78" s="1381"/>
      <c r="H78" s="1381"/>
      <c r="I78" s="1431">
        <f>SUM(C78:H78)+I55</f>
        <v>0</v>
      </c>
      <c r="J78" s="1432">
        <f t="shared" si="29"/>
        <v>0</v>
      </c>
    </row>
    <row r="79" spans="1:10" ht="13" hidden="1" x14ac:dyDescent="0.3">
      <c r="A79" s="1429">
        <v>76</v>
      </c>
      <c r="B79" s="1027" t="str">
        <f t="shared" si="27"/>
        <v>Ingressos financers</v>
      </c>
      <c r="C79" s="793">
        <f>TRESORERIA!I167</f>
        <v>0</v>
      </c>
      <c r="D79" s="793">
        <f>TRESORERIA!J167</f>
        <v>0</v>
      </c>
      <c r="E79" s="793">
        <f>TRESORERIA!K167</f>
        <v>0</v>
      </c>
      <c r="F79" s="793">
        <f>TRESORERIA!L167</f>
        <v>0</v>
      </c>
      <c r="G79" s="793">
        <f>TRESORERIA!M167</f>
        <v>0</v>
      </c>
      <c r="H79" s="793">
        <f>TRESORERIA!N167</f>
        <v>0</v>
      </c>
      <c r="I79" s="1053">
        <f>SUM(C79:H79)+I56</f>
        <v>0</v>
      </c>
      <c r="J79" s="1433">
        <f t="shared" si="29"/>
        <v>0</v>
      </c>
    </row>
    <row r="80" spans="1:10" ht="13" x14ac:dyDescent="0.3">
      <c r="A80" s="1429"/>
      <c r="B80" s="1033" t="str">
        <f t="shared" si="27"/>
        <v>TOTAL INGRESSOS</v>
      </c>
      <c r="C80" s="799">
        <f t="shared" ref="C80:I80" si="30">SUM(C76:C79)</f>
        <v>0</v>
      </c>
      <c r="D80" s="799">
        <f t="shared" si="30"/>
        <v>0</v>
      </c>
      <c r="E80" s="799">
        <f t="shared" si="30"/>
        <v>0</v>
      </c>
      <c r="F80" s="799">
        <f t="shared" si="30"/>
        <v>0</v>
      </c>
      <c r="G80" s="799">
        <f t="shared" si="30"/>
        <v>0</v>
      </c>
      <c r="H80" s="799">
        <f t="shared" si="30"/>
        <v>0</v>
      </c>
      <c r="I80" s="799">
        <f t="shared" si="30"/>
        <v>0</v>
      </c>
      <c r="J80" s="1434">
        <f t="shared" si="29"/>
        <v>0</v>
      </c>
    </row>
    <row r="81" spans="1:10" x14ac:dyDescent="0.25">
      <c r="A81" s="1429"/>
      <c r="B81" s="1939" t="str">
        <f t="shared" si="27"/>
        <v>DESPESES</v>
      </c>
      <c r="C81" s="1939"/>
      <c r="D81" s="1939"/>
      <c r="E81" s="1939"/>
      <c r="F81" s="1939"/>
      <c r="G81" s="1939"/>
      <c r="H81" s="1939"/>
      <c r="I81" s="1939"/>
      <c r="J81" s="1939"/>
    </row>
    <row r="82" spans="1:10" ht="13" x14ac:dyDescent="0.3">
      <c r="A82" s="1429">
        <v>60</v>
      </c>
      <c r="B82" s="1027" t="str">
        <f t="shared" si="27"/>
        <v>Compres/Treballs d'altres empreses</v>
      </c>
      <c r="C82" s="796">
        <f>'INGRESSOS _ COMPRES'!I130</f>
        <v>0</v>
      </c>
      <c r="D82" s="796">
        <f>'INGRESSOS _ COMPRES'!J130</f>
        <v>0</v>
      </c>
      <c r="E82" s="796">
        <f>'INGRESSOS _ COMPRES'!K130</f>
        <v>0</v>
      </c>
      <c r="F82" s="796">
        <f>'INGRESSOS _ COMPRES'!L130</f>
        <v>0</v>
      </c>
      <c r="G82" s="796">
        <f>'INGRESSOS _ COMPRES'!M130</f>
        <v>0</v>
      </c>
      <c r="H82" s="796">
        <f>'INGRESSOS _ COMPRES'!N130</f>
        <v>0</v>
      </c>
      <c r="I82" s="1424">
        <f>SUM(C82:H82)+I59</f>
        <v>0</v>
      </c>
      <c r="J82" s="1430">
        <f t="shared" si="29"/>
        <v>0</v>
      </c>
    </row>
    <row r="83" spans="1:10" ht="13" x14ac:dyDescent="0.3">
      <c r="A83" s="1429">
        <v>61</v>
      </c>
      <c r="B83" s="1027" t="str">
        <f>+B13</f>
        <v>Variació d'existències</v>
      </c>
      <c r="C83" s="1381">
        <f>-MERCADERIES!DI91</f>
        <v>0</v>
      </c>
      <c r="D83" s="1381">
        <f>-MERCADERIES!DJ91</f>
        <v>0</v>
      </c>
      <c r="E83" s="1381">
        <f>-MERCADERIES!DK91</f>
        <v>0</v>
      </c>
      <c r="F83" s="1381">
        <f>-MERCADERIES!DL91</f>
        <v>0</v>
      </c>
      <c r="G83" s="1381">
        <f>-MERCADERIES!DM91</f>
        <v>0</v>
      </c>
      <c r="H83" s="1381">
        <f>-MERCADERIES!DN91</f>
        <v>0</v>
      </c>
      <c r="I83" s="1431">
        <f>SUM(C83:H83)+I60</f>
        <v>0</v>
      </c>
      <c r="J83" s="1432">
        <f t="shared" si="29"/>
        <v>0</v>
      </c>
    </row>
    <row r="84" spans="1:10" ht="13" x14ac:dyDescent="0.3">
      <c r="A84" s="1429"/>
      <c r="B84" s="1659" t="s">
        <v>727</v>
      </c>
      <c r="C84" s="1660">
        <f t="shared" ref="C84:H84" si="31">+C80-C82-C83</f>
        <v>0</v>
      </c>
      <c r="D84" s="1660">
        <f t="shared" si="31"/>
        <v>0</v>
      </c>
      <c r="E84" s="1660">
        <f t="shared" si="31"/>
        <v>0</v>
      </c>
      <c r="F84" s="1660">
        <f t="shared" si="31"/>
        <v>0</v>
      </c>
      <c r="G84" s="1660">
        <f t="shared" si="31"/>
        <v>0</v>
      </c>
      <c r="H84" s="1660">
        <f t="shared" si="31"/>
        <v>0</v>
      </c>
      <c r="I84" s="1431">
        <f t="shared" ref="I84:I94" si="32">SUM(C84:H84)+I61</f>
        <v>0</v>
      </c>
      <c r="J84" s="1432">
        <f t="shared" si="29"/>
        <v>0</v>
      </c>
    </row>
    <row r="85" spans="1:10" ht="13" x14ac:dyDescent="0.3">
      <c r="A85" s="1429">
        <v>62</v>
      </c>
      <c r="B85" s="1027" t="str">
        <f>+B15</f>
        <v>Serveis externs</v>
      </c>
      <c r="C85" s="1381">
        <f>VARIABLES!H77</f>
        <v>0</v>
      </c>
      <c r="D85" s="1381">
        <f>VARIABLES!I77</f>
        <v>0</v>
      </c>
      <c r="E85" s="1381">
        <f>VARIABLES!J77</f>
        <v>0</v>
      </c>
      <c r="F85" s="1381">
        <f>VARIABLES!K77</f>
        <v>0</v>
      </c>
      <c r="G85" s="1381">
        <f>VARIABLES!L77</f>
        <v>0</v>
      </c>
      <c r="H85" s="1381">
        <f>VARIABLES!M77</f>
        <v>0</v>
      </c>
      <c r="I85" s="1431">
        <f t="shared" si="32"/>
        <v>0</v>
      </c>
      <c r="J85" s="1432">
        <f t="shared" si="29"/>
        <v>0</v>
      </c>
    </row>
    <row r="86" spans="1:10" ht="13" x14ac:dyDescent="0.3">
      <c r="A86" s="1429">
        <v>64</v>
      </c>
      <c r="B86" s="1027" t="str">
        <f>+B16</f>
        <v>Despeses de personal</v>
      </c>
      <c r="C86" s="1381">
        <f>PROMOTORS!I156+PERSONAL!I173</f>
        <v>0</v>
      </c>
      <c r="D86" s="1381">
        <f>PROMOTORS!J156+PERSONAL!J173</f>
        <v>0</v>
      </c>
      <c r="E86" s="1381">
        <f>PROMOTORS!K156+PERSONAL!K173</f>
        <v>0</v>
      </c>
      <c r="F86" s="1381">
        <f>PROMOTORS!L156+PERSONAL!L173</f>
        <v>0</v>
      </c>
      <c r="G86" s="1381">
        <f>PROMOTORS!M156+PERSONAL!M173</f>
        <v>0</v>
      </c>
      <c r="H86" s="1381">
        <f>PROMOTORS!N156+PERSONAL!N173</f>
        <v>0</v>
      </c>
      <c r="I86" s="1431">
        <f t="shared" si="32"/>
        <v>0</v>
      </c>
      <c r="J86" s="1432">
        <f t="shared" si="29"/>
        <v>0</v>
      </c>
    </row>
    <row r="87" spans="1:10" ht="13" x14ac:dyDescent="0.3">
      <c r="B87" s="1659" t="s">
        <v>728</v>
      </c>
      <c r="C87" s="1660">
        <f t="shared" ref="C87:H87" si="33">+C84-C86-C85</f>
        <v>0</v>
      </c>
      <c r="D87" s="1660">
        <f t="shared" si="33"/>
        <v>0</v>
      </c>
      <c r="E87" s="1660">
        <f t="shared" si="33"/>
        <v>0</v>
      </c>
      <c r="F87" s="1660">
        <f t="shared" si="33"/>
        <v>0</v>
      </c>
      <c r="G87" s="1660">
        <f t="shared" si="33"/>
        <v>0</v>
      </c>
      <c r="H87" s="1660">
        <f t="shared" si="33"/>
        <v>0</v>
      </c>
      <c r="I87" s="1431">
        <f t="shared" si="32"/>
        <v>0</v>
      </c>
      <c r="J87" s="1432">
        <f t="shared" si="29"/>
        <v>0</v>
      </c>
    </row>
    <row r="88" spans="1:10" ht="13" x14ac:dyDescent="0.3">
      <c r="A88" s="1429">
        <v>68</v>
      </c>
      <c r="B88" s="1027" t="str">
        <f>+B18</f>
        <v>Amortitzacions</v>
      </c>
      <c r="C88" s="1381">
        <f>H65</f>
        <v>0</v>
      </c>
      <c r="D88" s="1381">
        <f>C88</f>
        <v>0</v>
      </c>
      <c r="E88" s="1381">
        <f>D88</f>
        <v>0</v>
      </c>
      <c r="F88" s="1381">
        <f>E88</f>
        <v>0</v>
      </c>
      <c r="G88" s="1381">
        <f>F88</f>
        <v>0</v>
      </c>
      <c r="H88" s="1381">
        <f>G88</f>
        <v>0</v>
      </c>
      <c r="I88" s="1431">
        <f t="shared" si="32"/>
        <v>0</v>
      </c>
      <c r="J88" s="1432">
        <f t="shared" si="29"/>
        <v>0</v>
      </c>
    </row>
    <row r="89" spans="1:10" ht="13" x14ac:dyDescent="0.3">
      <c r="A89" s="1429">
        <v>69</v>
      </c>
      <c r="B89" s="1027" t="str">
        <f>+B19</f>
        <v>Provisions</v>
      </c>
      <c r="C89" s="1436">
        <f>C76*VARIABLES!$B$72</f>
        <v>0</v>
      </c>
      <c r="D89" s="1436">
        <f>D76*VARIABLES!$B$72</f>
        <v>0</v>
      </c>
      <c r="E89" s="1436">
        <f>E76*VARIABLES!$B$72</f>
        <v>0</v>
      </c>
      <c r="F89" s="1436">
        <f>F76*VARIABLES!$B$72</f>
        <v>0</v>
      </c>
      <c r="G89" s="1436">
        <f>G76*VARIABLES!$B$72</f>
        <v>0</v>
      </c>
      <c r="H89" s="1436">
        <f>H76*VARIABLES!$B$72</f>
        <v>0</v>
      </c>
      <c r="I89" s="1431">
        <f t="shared" si="32"/>
        <v>0</v>
      </c>
      <c r="J89" s="1432">
        <f t="shared" si="29"/>
        <v>0</v>
      </c>
    </row>
    <row r="90" spans="1:10" ht="13" x14ac:dyDescent="0.3">
      <c r="A90" s="1429"/>
      <c r="B90" s="1659" t="s">
        <v>730</v>
      </c>
      <c r="C90" s="1661">
        <f t="shared" ref="C90:H90" si="34">+C87-C88-C89</f>
        <v>0</v>
      </c>
      <c r="D90" s="1661">
        <f t="shared" si="34"/>
        <v>0</v>
      </c>
      <c r="E90" s="1661">
        <f t="shared" si="34"/>
        <v>0</v>
      </c>
      <c r="F90" s="1661">
        <f t="shared" si="34"/>
        <v>0</v>
      </c>
      <c r="G90" s="1661">
        <f t="shared" si="34"/>
        <v>0</v>
      </c>
      <c r="H90" s="1661">
        <f t="shared" si="34"/>
        <v>0</v>
      </c>
      <c r="I90" s="1431">
        <f t="shared" si="32"/>
        <v>0</v>
      </c>
      <c r="J90" s="1432">
        <f t="shared" si="29"/>
        <v>0</v>
      </c>
    </row>
    <row r="91" spans="1:10" ht="13" x14ac:dyDescent="0.3">
      <c r="A91" s="1429">
        <v>66</v>
      </c>
      <c r="B91" s="1027" t="str">
        <f>+B21</f>
        <v>Despeses financeres</v>
      </c>
      <c r="C91" s="1381">
        <f>TRESORERIA!I136</f>
        <v>0</v>
      </c>
      <c r="D91" s="1381">
        <f>TRESORERIA!J136</f>
        <v>0</v>
      </c>
      <c r="E91" s="1381">
        <f>TRESORERIA!K136</f>
        <v>0</v>
      </c>
      <c r="F91" s="1381">
        <f>TRESORERIA!L136</f>
        <v>0</v>
      </c>
      <c r="G91" s="1381">
        <f>TRESORERIA!M136</f>
        <v>0</v>
      </c>
      <c r="H91" s="1381">
        <f>TRESORERIA!N136</f>
        <v>0</v>
      </c>
      <c r="I91" s="1431">
        <f t="shared" si="32"/>
        <v>0</v>
      </c>
      <c r="J91" s="1432">
        <f t="shared" si="29"/>
        <v>0</v>
      </c>
    </row>
    <row r="92" spans="1:10" ht="13" x14ac:dyDescent="0.3">
      <c r="B92" s="1659" t="str">
        <f>+B69</f>
        <v>RESULTAT ABANS IMPOSTOS</v>
      </c>
      <c r="C92" s="1661">
        <f t="shared" ref="C92:H92" si="35">+C90-C91</f>
        <v>0</v>
      </c>
      <c r="D92" s="1661">
        <f t="shared" si="35"/>
        <v>0</v>
      </c>
      <c r="E92" s="1661">
        <f t="shared" si="35"/>
        <v>0</v>
      </c>
      <c r="F92" s="1661">
        <f t="shared" si="35"/>
        <v>0</v>
      </c>
      <c r="G92" s="1661">
        <f t="shared" si="35"/>
        <v>0</v>
      </c>
      <c r="H92" s="1661">
        <f t="shared" si="35"/>
        <v>0</v>
      </c>
      <c r="I92" s="1431">
        <f t="shared" si="32"/>
        <v>0</v>
      </c>
      <c r="J92" s="1432">
        <f t="shared" si="29"/>
        <v>0</v>
      </c>
    </row>
    <row r="93" spans="1:10" ht="13.5" thickBot="1" x14ac:dyDescent="0.35">
      <c r="A93" s="1429">
        <v>63</v>
      </c>
      <c r="B93" s="1027" t="str">
        <f>+B23</f>
        <v>Tributs</v>
      </c>
      <c r="C93" s="1381">
        <f>H70</f>
        <v>0</v>
      </c>
      <c r="D93" s="1381">
        <f>C93</f>
        <v>0</v>
      </c>
      <c r="E93" s="1381">
        <f>D93</f>
        <v>0</v>
      </c>
      <c r="F93" s="1381">
        <f>E93</f>
        <v>0</v>
      </c>
      <c r="G93" s="1381">
        <f>F93</f>
        <v>0</v>
      </c>
      <c r="H93" s="1381">
        <f>G93</f>
        <v>0</v>
      </c>
      <c r="I93" s="1664">
        <f t="shared" si="32"/>
        <v>0</v>
      </c>
      <c r="J93" s="1432">
        <f t="shared" si="29"/>
        <v>0</v>
      </c>
    </row>
    <row r="94" spans="1:10" ht="13.5" thickBot="1" x14ac:dyDescent="0.35">
      <c r="B94" s="1425" t="str">
        <f>+B71</f>
        <v>RESULTAT</v>
      </c>
      <c r="C94" s="1390">
        <f t="shared" ref="C94:H94" si="36">+C92-C93</f>
        <v>0</v>
      </c>
      <c r="D94" s="1390">
        <f t="shared" si="36"/>
        <v>0</v>
      </c>
      <c r="E94" s="1390">
        <f t="shared" si="36"/>
        <v>0</v>
      </c>
      <c r="F94" s="1390">
        <f t="shared" si="36"/>
        <v>0</v>
      </c>
      <c r="G94" s="1390">
        <f t="shared" si="36"/>
        <v>0</v>
      </c>
      <c r="H94" s="1662">
        <f t="shared" si="36"/>
        <v>0</v>
      </c>
      <c r="I94" s="1665">
        <f t="shared" si="32"/>
        <v>0</v>
      </c>
      <c r="J94" s="1663">
        <f t="shared" si="29"/>
        <v>0</v>
      </c>
    </row>
    <row r="95" spans="1:10" x14ac:dyDescent="0.25">
      <c r="B95" s="1820" t="s">
        <v>57</v>
      </c>
    </row>
    <row r="96" spans="1:10" x14ac:dyDescent="0.25">
      <c r="B96" s="1820"/>
    </row>
    <row r="97" spans="1:10" ht="13" x14ac:dyDescent="0.3">
      <c r="C97" s="1943" t="s">
        <v>61</v>
      </c>
      <c r="D97" s="1943"/>
      <c r="E97" s="1943"/>
      <c r="F97" s="1943"/>
      <c r="G97" s="1943"/>
      <c r="H97" s="1943"/>
      <c r="I97" s="1943" t="s">
        <v>77</v>
      </c>
      <c r="J97" s="1943"/>
    </row>
    <row r="98" spans="1:10" ht="13" x14ac:dyDescent="0.3">
      <c r="A98" s="801" t="s">
        <v>521</v>
      </c>
      <c r="B98" s="108" t="str">
        <f t="shared" ref="B98:B106" si="37">+B4</f>
        <v>Compte</v>
      </c>
      <c r="C98" s="1427" t="str">
        <f t="shared" ref="C98:H98" si="38">C51</f>
        <v>GENER</v>
      </c>
      <c r="D98" s="1428" t="str">
        <f t="shared" si="38"/>
        <v>FEBRER</v>
      </c>
      <c r="E98" s="1428" t="str">
        <f t="shared" si="38"/>
        <v>MARÇ</v>
      </c>
      <c r="F98" s="1428" t="str">
        <f t="shared" si="38"/>
        <v>ABRIL</v>
      </c>
      <c r="G98" s="1428" t="str">
        <f t="shared" si="38"/>
        <v>MAIG</v>
      </c>
      <c r="H98" s="1428" t="str">
        <f t="shared" si="38"/>
        <v>JUNY</v>
      </c>
      <c r="I98" s="1048" t="s">
        <v>523</v>
      </c>
      <c r="J98" s="1048" t="s">
        <v>151</v>
      </c>
    </row>
    <row r="99" spans="1:10" x14ac:dyDescent="0.25">
      <c r="A99" s="1429"/>
      <c r="B99" s="1438" t="str">
        <f t="shared" si="37"/>
        <v>INGRESSOS</v>
      </c>
      <c r="C99" s="1439"/>
      <c r="D99" s="1439"/>
      <c r="E99" s="1439"/>
      <c r="F99" s="1439"/>
      <c r="G99" s="1439"/>
      <c r="H99" s="1439"/>
      <c r="I99" s="1439"/>
      <c r="J99" s="1440"/>
    </row>
    <row r="100" spans="1:10" ht="13" x14ac:dyDescent="0.3">
      <c r="A100" s="1429">
        <v>70</v>
      </c>
      <c r="B100" s="1027" t="str">
        <f t="shared" si="37"/>
        <v>Vendes/Prestació de serveis</v>
      </c>
      <c r="C100" s="796">
        <f>'INGRESSOS _ COMPRES'!C164</f>
        <v>0</v>
      </c>
      <c r="D100" s="796">
        <f>'INGRESSOS _ COMPRES'!D164</f>
        <v>0</v>
      </c>
      <c r="E100" s="796">
        <f>'INGRESSOS _ COMPRES'!E164</f>
        <v>0</v>
      </c>
      <c r="F100" s="796">
        <f>'INGRESSOS _ COMPRES'!F164</f>
        <v>0</v>
      </c>
      <c r="G100" s="796">
        <f>'INGRESSOS _ COMPRES'!G164</f>
        <v>0</v>
      </c>
      <c r="H100" s="796">
        <f>'INGRESSOS _ COMPRES'!H164</f>
        <v>0</v>
      </c>
      <c r="I100" s="1424">
        <f>SUM(C100:H100)</f>
        <v>0</v>
      </c>
      <c r="J100" s="1430">
        <f>IF(I$104=0,0,I100/$I$104)</f>
        <v>0</v>
      </c>
    </row>
    <row r="101" spans="1:10" ht="13" x14ac:dyDescent="0.3">
      <c r="A101" s="1429">
        <v>74</v>
      </c>
      <c r="B101" s="1027" t="str">
        <f t="shared" si="37"/>
        <v>Subvencions a l'explotació</v>
      </c>
      <c r="C101" s="1381">
        <f>IF(C98=FINANÇAMENT!$D16,FINANÇAMENT!$D$12,0)</f>
        <v>0</v>
      </c>
      <c r="D101" s="1381">
        <f>IF(D98=FINANÇAMENT!$D16,FINANÇAMENT!$D$12,0)</f>
        <v>0</v>
      </c>
      <c r="E101" s="1381">
        <f>IF(E98=FINANÇAMENT!$D16,FINANÇAMENT!$D$12,0)</f>
        <v>0</v>
      </c>
      <c r="F101" s="1381">
        <f>IF(F98=FINANÇAMENT!$D16,FINANÇAMENT!$D$12,0)</f>
        <v>0</v>
      </c>
      <c r="G101" s="1381">
        <f>IF(G98=FINANÇAMENT!$D16,FINANÇAMENT!$D$12,0)</f>
        <v>0</v>
      </c>
      <c r="H101" s="1381">
        <f>IF(H98=FINANÇAMENT!$D16,FINANÇAMENT!$D$12,0)</f>
        <v>0</v>
      </c>
      <c r="I101" s="1431">
        <f>SUM(C101:H101)</f>
        <v>0</v>
      </c>
      <c r="J101" s="1432">
        <f t="shared" ref="J101:J118" si="39">IF(I$104=0,0,I101/$I$104)</f>
        <v>0</v>
      </c>
    </row>
    <row r="102" spans="1:10" ht="13" hidden="1" x14ac:dyDescent="0.3">
      <c r="A102" s="1429">
        <v>75</v>
      </c>
      <c r="B102" s="1027" t="str">
        <f t="shared" si="37"/>
        <v>Altres ingressos</v>
      </c>
      <c r="C102" s="1381"/>
      <c r="D102" s="1381"/>
      <c r="E102" s="1381"/>
      <c r="F102" s="1381"/>
      <c r="G102" s="1381"/>
      <c r="H102" s="1381"/>
      <c r="I102" s="1431">
        <f>SUM(C102:H102)</f>
        <v>0</v>
      </c>
      <c r="J102" s="1432">
        <f t="shared" si="39"/>
        <v>0</v>
      </c>
    </row>
    <row r="103" spans="1:10" ht="13" hidden="1" x14ac:dyDescent="0.3">
      <c r="A103" s="1429">
        <v>76</v>
      </c>
      <c r="B103" s="1027" t="str">
        <f t="shared" si="37"/>
        <v>Ingressos financers</v>
      </c>
      <c r="C103" s="793">
        <f>TRESORERIA!C252</f>
        <v>0</v>
      </c>
      <c r="D103" s="793">
        <f>TRESORERIA!D252</f>
        <v>0</v>
      </c>
      <c r="E103" s="793">
        <f>TRESORERIA!E252</f>
        <v>0</v>
      </c>
      <c r="F103" s="793">
        <f>TRESORERIA!F252</f>
        <v>0</v>
      </c>
      <c r="G103" s="793">
        <f>TRESORERIA!G252</f>
        <v>0</v>
      </c>
      <c r="H103" s="793">
        <f>TRESORERIA!H252</f>
        <v>0</v>
      </c>
      <c r="I103" s="1053">
        <f>SUM(C103:H103)</f>
        <v>0</v>
      </c>
      <c r="J103" s="1433">
        <f t="shared" si="39"/>
        <v>0</v>
      </c>
    </row>
    <row r="104" spans="1:10" ht="13" x14ac:dyDescent="0.3">
      <c r="A104" s="1429"/>
      <c r="B104" s="1033" t="str">
        <f t="shared" si="37"/>
        <v>TOTAL INGRESSOS</v>
      </c>
      <c r="C104" s="799">
        <f t="shared" ref="C104:H104" si="40">SUM(C100:C103)</f>
        <v>0</v>
      </c>
      <c r="D104" s="799">
        <f t="shared" si="40"/>
        <v>0</v>
      </c>
      <c r="E104" s="799">
        <f t="shared" si="40"/>
        <v>0</v>
      </c>
      <c r="F104" s="799">
        <f t="shared" si="40"/>
        <v>0</v>
      </c>
      <c r="G104" s="799">
        <f t="shared" si="40"/>
        <v>0</v>
      </c>
      <c r="H104" s="799">
        <f t="shared" si="40"/>
        <v>0</v>
      </c>
      <c r="I104" s="799">
        <f>SUM(C104:H104)</f>
        <v>0</v>
      </c>
      <c r="J104" s="1434">
        <f t="shared" si="39"/>
        <v>0</v>
      </c>
    </row>
    <row r="105" spans="1:10" x14ac:dyDescent="0.25">
      <c r="A105" s="1429"/>
      <c r="B105" s="1939" t="str">
        <f t="shared" si="37"/>
        <v>DESPESES</v>
      </c>
      <c r="C105" s="1939"/>
      <c r="D105" s="1939"/>
      <c r="E105" s="1939"/>
      <c r="F105" s="1939"/>
      <c r="G105" s="1939"/>
      <c r="H105" s="1939"/>
      <c r="I105" s="1939"/>
      <c r="J105" s="1939"/>
    </row>
    <row r="106" spans="1:10" ht="13" x14ac:dyDescent="0.3">
      <c r="A106" s="1429">
        <v>60</v>
      </c>
      <c r="B106" s="1027" t="str">
        <f t="shared" si="37"/>
        <v>Compres/Treballs d'altres empreses</v>
      </c>
      <c r="C106" s="796">
        <f>'INGRESSOS _ COMPRES'!C196</f>
        <v>0</v>
      </c>
      <c r="D106" s="796">
        <f>'INGRESSOS _ COMPRES'!D196</f>
        <v>0</v>
      </c>
      <c r="E106" s="796">
        <f>'INGRESSOS _ COMPRES'!E196</f>
        <v>0</v>
      </c>
      <c r="F106" s="796">
        <f>'INGRESSOS _ COMPRES'!F196</f>
        <v>0</v>
      </c>
      <c r="G106" s="796">
        <f>'INGRESSOS _ COMPRES'!G196</f>
        <v>0</v>
      </c>
      <c r="H106" s="796">
        <f>'INGRESSOS _ COMPRES'!H196</f>
        <v>0</v>
      </c>
      <c r="I106" s="1424">
        <f t="shared" ref="I106:I118" si="41">SUM(C106:H106)</f>
        <v>0</v>
      </c>
      <c r="J106" s="1430">
        <f t="shared" si="39"/>
        <v>0</v>
      </c>
    </row>
    <row r="107" spans="1:10" ht="13" x14ac:dyDescent="0.3">
      <c r="A107" s="1429">
        <v>61</v>
      </c>
      <c r="B107" s="1027" t="str">
        <f>+B13</f>
        <v>Variació d'existències</v>
      </c>
      <c r="C107" s="1381">
        <f>-MERCADERIES!DC160</f>
        <v>0</v>
      </c>
      <c r="D107" s="1381">
        <f>-MERCADERIES!DD160</f>
        <v>0</v>
      </c>
      <c r="E107" s="1381">
        <f>-MERCADERIES!DE160</f>
        <v>0</v>
      </c>
      <c r="F107" s="1381">
        <f>-MERCADERIES!DF160</f>
        <v>0</v>
      </c>
      <c r="G107" s="1381">
        <f>-MERCADERIES!DG160</f>
        <v>0</v>
      </c>
      <c r="H107" s="1381">
        <f>-MERCADERIES!DH160</f>
        <v>0</v>
      </c>
      <c r="I107" s="1431">
        <f t="shared" si="41"/>
        <v>0</v>
      </c>
      <c r="J107" s="1432">
        <f t="shared" si="39"/>
        <v>0</v>
      </c>
    </row>
    <row r="108" spans="1:10" ht="13" x14ac:dyDescent="0.3">
      <c r="A108" s="1429"/>
      <c r="B108" s="1659" t="s">
        <v>727</v>
      </c>
      <c r="C108" s="1660">
        <f t="shared" ref="C108:H108" si="42">+C104-C106-C107</f>
        <v>0</v>
      </c>
      <c r="D108" s="1660">
        <f t="shared" si="42"/>
        <v>0</v>
      </c>
      <c r="E108" s="1660">
        <f t="shared" si="42"/>
        <v>0</v>
      </c>
      <c r="F108" s="1660">
        <f t="shared" si="42"/>
        <v>0</v>
      </c>
      <c r="G108" s="1660">
        <f t="shared" si="42"/>
        <v>0</v>
      </c>
      <c r="H108" s="1660">
        <f t="shared" si="42"/>
        <v>0</v>
      </c>
      <c r="I108" s="1431">
        <f t="shared" si="41"/>
        <v>0</v>
      </c>
      <c r="J108" s="1432">
        <f t="shared" si="39"/>
        <v>0</v>
      </c>
    </row>
    <row r="109" spans="1:10" ht="13" x14ac:dyDescent="0.3">
      <c r="A109" s="1429">
        <v>62</v>
      </c>
      <c r="B109" s="1027" t="str">
        <f>+B15</f>
        <v>Serveis externs</v>
      </c>
      <c r="C109" s="1381">
        <f>VARIABLES!B143</f>
        <v>0</v>
      </c>
      <c r="D109" s="1381">
        <f>VARIABLES!C143</f>
        <v>0</v>
      </c>
      <c r="E109" s="1381">
        <f>VARIABLES!D143</f>
        <v>0</v>
      </c>
      <c r="F109" s="1381">
        <f>VARIABLES!E143</f>
        <v>0</v>
      </c>
      <c r="G109" s="1381">
        <f>VARIABLES!F143</f>
        <v>0</v>
      </c>
      <c r="H109" s="1381">
        <f>VARIABLES!G143</f>
        <v>0</v>
      </c>
      <c r="I109" s="1431">
        <f t="shared" si="41"/>
        <v>0</v>
      </c>
      <c r="J109" s="1432">
        <f t="shared" si="39"/>
        <v>0</v>
      </c>
    </row>
    <row r="110" spans="1:10" ht="13" x14ac:dyDescent="0.3">
      <c r="A110" s="1429">
        <v>64</v>
      </c>
      <c r="B110" s="1027" t="str">
        <f>+B16</f>
        <v>Despeses de personal</v>
      </c>
      <c r="C110" s="1381">
        <f>PROMOTORS!C257+PERSONAL!C270</f>
        <v>0</v>
      </c>
      <c r="D110" s="1381">
        <f>PROMOTORS!D257+PERSONAL!D270</f>
        <v>0</v>
      </c>
      <c r="E110" s="1381">
        <f>PROMOTORS!E257+PERSONAL!E270</f>
        <v>0</v>
      </c>
      <c r="F110" s="1381">
        <f>PROMOTORS!F257+PERSONAL!F270</f>
        <v>0</v>
      </c>
      <c r="G110" s="1381">
        <f>PROMOTORS!G257+PERSONAL!G270</f>
        <v>0</v>
      </c>
      <c r="H110" s="1381">
        <f>PROMOTORS!H257+PERSONAL!H270</f>
        <v>0</v>
      </c>
      <c r="I110" s="1431">
        <f t="shared" si="41"/>
        <v>0</v>
      </c>
      <c r="J110" s="1432">
        <f t="shared" si="39"/>
        <v>0</v>
      </c>
    </row>
    <row r="111" spans="1:10" ht="13" x14ac:dyDescent="0.3">
      <c r="B111" s="1659" t="s">
        <v>728</v>
      </c>
      <c r="C111" s="1660">
        <f t="shared" ref="C111:H111" si="43">+C108-C110-C109</f>
        <v>0</v>
      </c>
      <c r="D111" s="1660">
        <f t="shared" si="43"/>
        <v>0</v>
      </c>
      <c r="E111" s="1660">
        <f t="shared" si="43"/>
        <v>0</v>
      </c>
      <c r="F111" s="1660">
        <f t="shared" si="43"/>
        <v>0</v>
      </c>
      <c r="G111" s="1660">
        <f t="shared" si="43"/>
        <v>0</v>
      </c>
      <c r="H111" s="1660">
        <f t="shared" si="43"/>
        <v>0</v>
      </c>
      <c r="I111" s="1431">
        <f t="shared" si="41"/>
        <v>0</v>
      </c>
      <c r="J111" s="1432">
        <f t="shared" si="39"/>
        <v>0</v>
      </c>
    </row>
    <row r="112" spans="1:10" ht="13" x14ac:dyDescent="0.3">
      <c r="A112" s="1429">
        <v>68</v>
      </c>
      <c r="B112" s="1027" t="str">
        <f>+B18</f>
        <v>Amortitzacions</v>
      </c>
      <c r="C112" s="1381">
        <f>(INVERSIONS!F122+INVERSIONS!F126)/12</f>
        <v>0</v>
      </c>
      <c r="D112" s="1381">
        <f>C112</f>
        <v>0</v>
      </c>
      <c r="E112" s="1381">
        <f>D112</f>
        <v>0</v>
      </c>
      <c r="F112" s="1381">
        <f>E112</f>
        <v>0</v>
      </c>
      <c r="G112" s="1381">
        <f>F112</f>
        <v>0</v>
      </c>
      <c r="H112" s="1381">
        <f>G112</f>
        <v>0</v>
      </c>
      <c r="I112" s="1431">
        <f t="shared" si="41"/>
        <v>0</v>
      </c>
      <c r="J112" s="1432">
        <f t="shared" si="39"/>
        <v>0</v>
      </c>
    </row>
    <row r="113" spans="1:10" ht="13" x14ac:dyDescent="0.3">
      <c r="A113" s="1429">
        <v>69</v>
      </c>
      <c r="B113" s="1027" t="str">
        <f>+B19</f>
        <v>Provisions</v>
      </c>
      <c r="C113" s="1436">
        <f>C100*VARIABLES!$B$138</f>
        <v>0</v>
      </c>
      <c r="D113" s="1436">
        <f>D100*VARIABLES!$B$138</f>
        <v>0</v>
      </c>
      <c r="E113" s="1436">
        <f>E100*VARIABLES!$B$138</f>
        <v>0</v>
      </c>
      <c r="F113" s="1436">
        <f>F100*VARIABLES!$B$138</f>
        <v>0</v>
      </c>
      <c r="G113" s="1436">
        <f>G100*VARIABLES!$B$138</f>
        <v>0</v>
      </c>
      <c r="H113" s="1436">
        <f>H100*VARIABLES!$B$138</f>
        <v>0</v>
      </c>
      <c r="I113" s="1431">
        <f t="shared" si="41"/>
        <v>0</v>
      </c>
      <c r="J113" s="1432">
        <f t="shared" si="39"/>
        <v>0</v>
      </c>
    </row>
    <row r="114" spans="1:10" ht="13" x14ac:dyDescent="0.3">
      <c r="A114" s="1429"/>
      <c r="B114" s="1659" t="s">
        <v>730</v>
      </c>
      <c r="C114" s="1661">
        <f t="shared" ref="C114:H114" si="44">+C111-C112-C113</f>
        <v>0</v>
      </c>
      <c r="D114" s="1661">
        <f t="shared" si="44"/>
        <v>0</v>
      </c>
      <c r="E114" s="1661">
        <f t="shared" si="44"/>
        <v>0</v>
      </c>
      <c r="F114" s="1661">
        <f t="shared" si="44"/>
        <v>0</v>
      </c>
      <c r="G114" s="1661">
        <f t="shared" si="44"/>
        <v>0</v>
      </c>
      <c r="H114" s="1661">
        <f t="shared" si="44"/>
        <v>0</v>
      </c>
      <c r="I114" s="1431">
        <f t="shared" si="41"/>
        <v>0</v>
      </c>
      <c r="J114" s="1432">
        <f t="shared" si="39"/>
        <v>0</v>
      </c>
    </row>
    <row r="115" spans="1:10" ht="13" x14ac:dyDescent="0.3">
      <c r="A115" s="1429">
        <v>66</v>
      </c>
      <c r="B115" s="1027" t="str">
        <f>+B21</f>
        <v>Despeses financeres</v>
      </c>
      <c r="C115" s="1381">
        <f>TRESORERIA!C221</f>
        <v>0</v>
      </c>
      <c r="D115" s="1381">
        <f>TRESORERIA!D221</f>
        <v>0</v>
      </c>
      <c r="E115" s="1381">
        <f>TRESORERIA!E221</f>
        <v>0</v>
      </c>
      <c r="F115" s="1381">
        <f>TRESORERIA!F221</f>
        <v>0</v>
      </c>
      <c r="G115" s="1381">
        <f>TRESORERIA!G221</f>
        <v>0</v>
      </c>
      <c r="H115" s="1381">
        <f>TRESORERIA!H221</f>
        <v>0</v>
      </c>
      <c r="I115" s="1431">
        <f t="shared" si="41"/>
        <v>0</v>
      </c>
      <c r="J115" s="1432">
        <f t="shared" si="39"/>
        <v>0</v>
      </c>
    </row>
    <row r="116" spans="1:10" ht="13" x14ac:dyDescent="0.3">
      <c r="B116" s="1659" t="str">
        <f>+B92</f>
        <v>RESULTAT ABANS IMPOSTOS</v>
      </c>
      <c r="C116" s="1661">
        <f t="shared" ref="C116:H116" si="45">+C114-C115</f>
        <v>0</v>
      </c>
      <c r="D116" s="1661">
        <f t="shared" si="45"/>
        <v>0</v>
      </c>
      <c r="E116" s="1661">
        <f t="shared" si="45"/>
        <v>0</v>
      </c>
      <c r="F116" s="1661">
        <f t="shared" si="45"/>
        <v>0</v>
      </c>
      <c r="G116" s="1661">
        <f t="shared" si="45"/>
        <v>0</v>
      </c>
      <c r="H116" s="1661">
        <f t="shared" si="45"/>
        <v>0</v>
      </c>
      <c r="I116" s="1431">
        <f t="shared" si="41"/>
        <v>0</v>
      </c>
      <c r="J116" s="1432">
        <f t="shared" si="39"/>
        <v>0</v>
      </c>
    </row>
    <row r="117" spans="1:10" ht="13.5" thickBot="1" x14ac:dyDescent="0.35">
      <c r="A117" s="1429">
        <v>63</v>
      </c>
      <c r="B117" s="1027" t="str">
        <f>+B23</f>
        <v>Tributs</v>
      </c>
      <c r="C117" s="1381">
        <f>TRIBUTS!F16/12+IF(VARIABLES!N189&lt;=0,0,VARIABLES!N189/12)+IF(Fiscalitat!$H$21="A",VARIABLES!N178/12,0)</f>
        <v>0</v>
      </c>
      <c r="D117" s="1381">
        <f>C117</f>
        <v>0</v>
      </c>
      <c r="E117" s="1381">
        <f>D117</f>
        <v>0</v>
      </c>
      <c r="F117" s="1381">
        <f>E117</f>
        <v>0</v>
      </c>
      <c r="G117" s="1381">
        <f>F117</f>
        <v>0</v>
      </c>
      <c r="H117" s="1381">
        <f>G117</f>
        <v>0</v>
      </c>
      <c r="I117" s="1664">
        <f t="shared" si="41"/>
        <v>0</v>
      </c>
      <c r="J117" s="1432">
        <f t="shared" si="39"/>
        <v>0</v>
      </c>
    </row>
    <row r="118" spans="1:10" ht="13.5" thickBot="1" x14ac:dyDescent="0.35">
      <c r="B118" s="1425" t="str">
        <f>+B94</f>
        <v>RESULTAT</v>
      </c>
      <c r="C118" s="1390">
        <f t="shared" ref="C118:H118" si="46">+C116-C117</f>
        <v>0</v>
      </c>
      <c r="D118" s="1390">
        <f t="shared" si="46"/>
        <v>0</v>
      </c>
      <c r="E118" s="1390">
        <f t="shared" si="46"/>
        <v>0</v>
      </c>
      <c r="F118" s="1390">
        <f t="shared" si="46"/>
        <v>0</v>
      </c>
      <c r="G118" s="1390">
        <f t="shared" si="46"/>
        <v>0</v>
      </c>
      <c r="H118" s="1662">
        <f t="shared" si="46"/>
        <v>0</v>
      </c>
      <c r="I118" s="1665">
        <f t="shared" si="41"/>
        <v>0</v>
      </c>
      <c r="J118" s="1663">
        <f t="shared" si="39"/>
        <v>0</v>
      </c>
    </row>
    <row r="119" spans="1:10" ht="13" x14ac:dyDescent="0.3">
      <c r="B119" s="7"/>
      <c r="C119" s="21"/>
      <c r="D119" s="21"/>
      <c r="E119" s="21"/>
      <c r="F119" s="21"/>
      <c r="G119" s="21"/>
      <c r="H119" s="21"/>
      <c r="I119" s="9"/>
      <c r="J119" s="1437"/>
    </row>
    <row r="120" spans="1:10" ht="13" x14ac:dyDescent="0.3">
      <c r="C120" s="1943" t="s">
        <v>61</v>
      </c>
      <c r="D120" s="1943"/>
      <c r="E120" s="1943"/>
      <c r="F120" s="1943"/>
      <c r="G120" s="1943"/>
      <c r="H120" s="1943"/>
      <c r="I120" s="1943" t="s">
        <v>77</v>
      </c>
      <c r="J120" s="1943"/>
    </row>
    <row r="121" spans="1:10" ht="13" x14ac:dyDescent="0.3">
      <c r="A121" s="801" t="s">
        <v>521</v>
      </c>
      <c r="B121" s="108" t="str">
        <f t="shared" ref="B121:B129" si="47">+B4</f>
        <v>Compte</v>
      </c>
      <c r="C121" s="1427" t="str">
        <f t="shared" ref="C121:H121" si="48">C74</f>
        <v>JULIOL</v>
      </c>
      <c r="D121" s="1428" t="str">
        <f t="shared" si="48"/>
        <v>AGOST</v>
      </c>
      <c r="E121" s="1428" t="str">
        <f t="shared" si="48"/>
        <v>SETEMBRE</v>
      </c>
      <c r="F121" s="1428" t="str">
        <f t="shared" si="48"/>
        <v>OCTUBRE</v>
      </c>
      <c r="G121" s="1428" t="str">
        <f t="shared" si="48"/>
        <v>NOVEMBRE</v>
      </c>
      <c r="H121" s="1428" t="str">
        <f t="shared" si="48"/>
        <v>DESEMBRE</v>
      </c>
      <c r="I121" s="1048" t="s">
        <v>523</v>
      </c>
      <c r="J121" s="1048" t="s">
        <v>151</v>
      </c>
    </row>
    <row r="122" spans="1:10" x14ac:dyDescent="0.25">
      <c r="A122" s="1429"/>
      <c r="B122" s="1438" t="str">
        <f t="shared" si="47"/>
        <v>INGRESSOS</v>
      </c>
      <c r="C122" s="1439"/>
      <c r="D122" s="1439"/>
      <c r="E122" s="1439"/>
      <c r="F122" s="1439"/>
      <c r="G122" s="1439"/>
      <c r="H122" s="1439"/>
      <c r="I122" s="1439"/>
      <c r="J122" s="1440"/>
    </row>
    <row r="123" spans="1:10" ht="13" x14ac:dyDescent="0.3">
      <c r="A123" s="1429">
        <v>70</v>
      </c>
      <c r="B123" s="1027" t="str">
        <f t="shared" si="47"/>
        <v>Vendes/Prestació de serveis</v>
      </c>
      <c r="C123" s="796">
        <f>'INGRESSOS _ COMPRES'!I164</f>
        <v>0</v>
      </c>
      <c r="D123" s="796">
        <f>'INGRESSOS _ COMPRES'!J164</f>
        <v>0</v>
      </c>
      <c r="E123" s="796">
        <f>'INGRESSOS _ COMPRES'!K164</f>
        <v>0</v>
      </c>
      <c r="F123" s="796">
        <f>'INGRESSOS _ COMPRES'!L164</f>
        <v>0</v>
      </c>
      <c r="G123" s="796">
        <f>'INGRESSOS _ COMPRES'!M164</f>
        <v>0</v>
      </c>
      <c r="H123" s="796">
        <f>'INGRESSOS _ COMPRES'!N164</f>
        <v>0</v>
      </c>
      <c r="I123" s="1424">
        <f>SUM(C123:H123)+I100</f>
        <v>0</v>
      </c>
      <c r="J123" s="1430">
        <f>IF(I$127=0,0,I123/$I$127)</f>
        <v>0</v>
      </c>
    </row>
    <row r="124" spans="1:10" ht="19.5" customHeight="1" x14ac:dyDescent="0.3">
      <c r="A124" s="1429">
        <v>74</v>
      </c>
      <c r="B124" s="1027" t="str">
        <f t="shared" si="47"/>
        <v>Subvencions a l'explotació</v>
      </c>
      <c r="C124" s="1381">
        <f>IF(C121=FINANÇAMENT!$D16,FINANÇAMENT!$D$12,0)</f>
        <v>0</v>
      </c>
      <c r="D124" s="1381">
        <f>IF(D121=FINANÇAMENT!$D16,FINANÇAMENT!$D$12,0)</f>
        <v>0</v>
      </c>
      <c r="E124" s="1381">
        <f>IF(E121=FINANÇAMENT!$D16,FINANÇAMENT!$D$12,0)</f>
        <v>0</v>
      </c>
      <c r="F124" s="1381">
        <f>IF(F121=FINANÇAMENT!$D16,FINANÇAMENT!$D$12,0)</f>
        <v>0</v>
      </c>
      <c r="G124" s="1381">
        <f>IF(G121=FINANÇAMENT!$D16,FINANÇAMENT!$D$12,0)</f>
        <v>0</v>
      </c>
      <c r="H124" s="1381">
        <f>IF(H121=FINANÇAMENT!$D16,FINANÇAMENT!$D$12,0)</f>
        <v>0</v>
      </c>
      <c r="I124" s="1431">
        <f>SUM(C124:H124)+I101</f>
        <v>0</v>
      </c>
      <c r="J124" s="1432">
        <f t="shared" ref="J124:J141" si="49">IF(I$127=0,0,I124/$I$127)</f>
        <v>0</v>
      </c>
    </row>
    <row r="125" spans="1:10" ht="27.75" hidden="1" customHeight="1" x14ac:dyDescent="0.3">
      <c r="A125" s="1429">
        <v>75</v>
      </c>
      <c r="B125" s="1027" t="str">
        <f t="shared" si="47"/>
        <v>Altres ingressos</v>
      </c>
      <c r="C125" s="1381"/>
      <c r="D125" s="1381"/>
      <c r="E125" s="1381"/>
      <c r="F125" s="1381"/>
      <c r="G125" s="1381"/>
      <c r="H125" s="1381"/>
      <c r="I125" s="1431">
        <f>SUM(C125:H125)+I102</f>
        <v>0</v>
      </c>
      <c r="J125" s="1432">
        <f t="shared" si="49"/>
        <v>0</v>
      </c>
    </row>
    <row r="126" spans="1:10" ht="14.25" hidden="1" customHeight="1" x14ac:dyDescent="0.3">
      <c r="A126" s="1429">
        <v>76</v>
      </c>
      <c r="B126" s="1027" t="str">
        <f t="shared" si="47"/>
        <v>Ingressos financers</v>
      </c>
      <c r="C126" s="793">
        <f>TRESORERIA!I252</f>
        <v>0</v>
      </c>
      <c r="D126" s="793">
        <f>TRESORERIA!J252</f>
        <v>0</v>
      </c>
      <c r="E126" s="793">
        <f>TRESORERIA!K252</f>
        <v>0</v>
      </c>
      <c r="F126" s="793">
        <f>TRESORERIA!L252</f>
        <v>0</v>
      </c>
      <c r="G126" s="793">
        <f>TRESORERIA!M252</f>
        <v>0</v>
      </c>
      <c r="H126" s="793">
        <f>TRESORERIA!N252</f>
        <v>0</v>
      </c>
      <c r="I126" s="1053">
        <f>SUM(C126:H126)+I103</f>
        <v>0</v>
      </c>
      <c r="J126" s="1433">
        <f t="shared" si="49"/>
        <v>0</v>
      </c>
    </row>
    <row r="127" spans="1:10" ht="13" x14ac:dyDescent="0.3">
      <c r="A127" s="1429"/>
      <c r="B127" s="1033" t="str">
        <f t="shared" si="47"/>
        <v>TOTAL INGRESSOS</v>
      </c>
      <c r="C127" s="799">
        <f t="shared" ref="C127:I127" si="50">SUM(C123:C126)</f>
        <v>0</v>
      </c>
      <c r="D127" s="799">
        <f t="shared" si="50"/>
        <v>0</v>
      </c>
      <c r="E127" s="799">
        <f t="shared" si="50"/>
        <v>0</v>
      </c>
      <c r="F127" s="799">
        <f t="shared" si="50"/>
        <v>0</v>
      </c>
      <c r="G127" s="799">
        <f t="shared" si="50"/>
        <v>0</v>
      </c>
      <c r="H127" s="799">
        <f t="shared" si="50"/>
        <v>0</v>
      </c>
      <c r="I127" s="799">
        <f t="shared" si="50"/>
        <v>0</v>
      </c>
      <c r="J127" s="1434">
        <f t="shared" si="49"/>
        <v>0</v>
      </c>
    </row>
    <row r="128" spans="1:10" x14ac:dyDescent="0.25">
      <c r="A128" s="1429"/>
      <c r="B128" s="1939" t="str">
        <f t="shared" si="47"/>
        <v>DESPESES</v>
      </c>
      <c r="C128" s="1939"/>
      <c r="D128" s="1939"/>
      <c r="E128" s="1939"/>
      <c r="F128" s="1939"/>
      <c r="G128" s="1939"/>
      <c r="H128" s="1939"/>
      <c r="I128" s="1939"/>
      <c r="J128" s="1939"/>
    </row>
    <row r="129" spans="1:10" ht="13" x14ac:dyDescent="0.3">
      <c r="A129" s="1429">
        <v>60</v>
      </c>
      <c r="B129" s="1027" t="str">
        <f t="shared" si="47"/>
        <v>Compres/Treballs d'altres empreses</v>
      </c>
      <c r="C129" s="796">
        <f>'INGRESSOS _ COMPRES'!I196</f>
        <v>0</v>
      </c>
      <c r="D129" s="796">
        <f>'INGRESSOS _ COMPRES'!J196</f>
        <v>0</v>
      </c>
      <c r="E129" s="796">
        <f>'INGRESSOS _ COMPRES'!K196</f>
        <v>0</v>
      </c>
      <c r="F129" s="796">
        <f>'INGRESSOS _ COMPRES'!L196</f>
        <v>0</v>
      </c>
      <c r="G129" s="796">
        <f>'INGRESSOS _ COMPRES'!M196</f>
        <v>0</v>
      </c>
      <c r="H129" s="796">
        <f>'INGRESSOS _ COMPRES'!N196</f>
        <v>0</v>
      </c>
      <c r="I129" s="1424">
        <f>SUM(C129:H129)+I106</f>
        <v>0</v>
      </c>
      <c r="J129" s="1430">
        <f t="shared" si="49"/>
        <v>0</v>
      </c>
    </row>
    <row r="130" spans="1:10" ht="13" x14ac:dyDescent="0.3">
      <c r="A130" s="1429">
        <v>61</v>
      </c>
      <c r="B130" s="1027" t="str">
        <f>+B13</f>
        <v>Variació d'existències</v>
      </c>
      <c r="C130" s="1381">
        <f>-MERCADERIES!DI160</f>
        <v>0</v>
      </c>
      <c r="D130" s="1381">
        <f>-MERCADERIES!DJ160</f>
        <v>0</v>
      </c>
      <c r="E130" s="1381">
        <f>-MERCADERIES!DK160</f>
        <v>0</v>
      </c>
      <c r="F130" s="1381">
        <f>-MERCADERIES!DL160</f>
        <v>0</v>
      </c>
      <c r="G130" s="1381">
        <f>-MERCADERIES!DM160</f>
        <v>0</v>
      </c>
      <c r="H130" s="1381">
        <f>-MERCADERIES!DN160</f>
        <v>0</v>
      </c>
      <c r="I130" s="1431">
        <f>SUM(C130:H130)+I107</f>
        <v>0</v>
      </c>
      <c r="J130" s="1432">
        <f t="shared" si="49"/>
        <v>0</v>
      </c>
    </row>
    <row r="131" spans="1:10" ht="13" x14ac:dyDescent="0.3">
      <c r="A131" s="1429"/>
      <c r="B131" s="1659" t="s">
        <v>727</v>
      </c>
      <c r="C131" s="1660">
        <f t="shared" ref="C131:H131" si="51">+C127-C129-C130</f>
        <v>0</v>
      </c>
      <c r="D131" s="1660">
        <f t="shared" si="51"/>
        <v>0</v>
      </c>
      <c r="E131" s="1660">
        <f t="shared" si="51"/>
        <v>0</v>
      </c>
      <c r="F131" s="1660">
        <f t="shared" si="51"/>
        <v>0</v>
      </c>
      <c r="G131" s="1660">
        <f t="shared" si="51"/>
        <v>0</v>
      </c>
      <c r="H131" s="1660">
        <f t="shared" si="51"/>
        <v>0</v>
      </c>
      <c r="I131" s="1431">
        <f t="shared" ref="I131:I141" si="52">SUM(C131:H131)+I108</f>
        <v>0</v>
      </c>
      <c r="J131" s="1432"/>
    </row>
    <row r="132" spans="1:10" ht="13" x14ac:dyDescent="0.3">
      <c r="A132" s="1429">
        <v>62</v>
      </c>
      <c r="B132" s="1027" t="str">
        <f>+B15</f>
        <v>Serveis externs</v>
      </c>
      <c r="C132" s="1381">
        <f>VARIABLES!H143</f>
        <v>0</v>
      </c>
      <c r="D132" s="1381">
        <f>VARIABLES!I143</f>
        <v>0</v>
      </c>
      <c r="E132" s="1381">
        <f>VARIABLES!J143</f>
        <v>0</v>
      </c>
      <c r="F132" s="1381">
        <f>VARIABLES!K143</f>
        <v>0</v>
      </c>
      <c r="G132" s="1381">
        <f>VARIABLES!L143</f>
        <v>0</v>
      </c>
      <c r="H132" s="1381">
        <f>VARIABLES!M143</f>
        <v>0</v>
      </c>
      <c r="I132" s="1431">
        <f t="shared" si="52"/>
        <v>0</v>
      </c>
      <c r="J132" s="1432">
        <f t="shared" si="49"/>
        <v>0</v>
      </c>
    </row>
    <row r="133" spans="1:10" ht="13" x14ac:dyDescent="0.3">
      <c r="A133" s="1429">
        <v>64</v>
      </c>
      <c r="B133" s="1027" t="str">
        <f>+B16</f>
        <v>Despeses de personal</v>
      </c>
      <c r="C133" s="1381">
        <f>PROMOTORS!I257+PERSONAL!I270</f>
        <v>0</v>
      </c>
      <c r="D133" s="1381">
        <f>PROMOTORS!J257+PERSONAL!J270</f>
        <v>0</v>
      </c>
      <c r="E133" s="1381">
        <f>PROMOTORS!K257+PERSONAL!K270</f>
        <v>0</v>
      </c>
      <c r="F133" s="1381">
        <f>PROMOTORS!L257+PERSONAL!L270</f>
        <v>0</v>
      </c>
      <c r="G133" s="1381">
        <f>PROMOTORS!M257+PERSONAL!M270</f>
        <v>0</v>
      </c>
      <c r="H133" s="1381">
        <f>PROMOTORS!N257+PERSONAL!N270</f>
        <v>0</v>
      </c>
      <c r="I133" s="1431">
        <f t="shared" si="52"/>
        <v>0</v>
      </c>
      <c r="J133" s="1432">
        <f t="shared" si="49"/>
        <v>0</v>
      </c>
    </row>
    <row r="134" spans="1:10" ht="13" x14ac:dyDescent="0.3">
      <c r="B134" s="1659" t="s">
        <v>728</v>
      </c>
      <c r="C134" s="1660">
        <f t="shared" ref="C134:H134" si="53">+C131-C133-C132</f>
        <v>0</v>
      </c>
      <c r="D134" s="1660">
        <f t="shared" si="53"/>
        <v>0</v>
      </c>
      <c r="E134" s="1660">
        <f t="shared" si="53"/>
        <v>0</v>
      </c>
      <c r="F134" s="1660">
        <f t="shared" si="53"/>
        <v>0</v>
      </c>
      <c r="G134" s="1660">
        <f t="shared" si="53"/>
        <v>0</v>
      </c>
      <c r="H134" s="1660">
        <f t="shared" si="53"/>
        <v>0</v>
      </c>
      <c r="I134" s="1431">
        <f t="shared" si="52"/>
        <v>0</v>
      </c>
      <c r="J134" s="1432">
        <f t="shared" si="49"/>
        <v>0</v>
      </c>
    </row>
    <row r="135" spans="1:10" ht="13" x14ac:dyDescent="0.3">
      <c r="A135" s="1429">
        <v>68</v>
      </c>
      <c r="B135" s="1027" t="str">
        <f>+B18</f>
        <v>Amortitzacions</v>
      </c>
      <c r="C135" s="1381">
        <f>H112</f>
        <v>0</v>
      </c>
      <c r="D135" s="1381">
        <f>C135</f>
        <v>0</v>
      </c>
      <c r="E135" s="1381">
        <f>D135</f>
        <v>0</v>
      </c>
      <c r="F135" s="1381">
        <f>E135</f>
        <v>0</v>
      </c>
      <c r="G135" s="1381">
        <f>F135</f>
        <v>0</v>
      </c>
      <c r="H135" s="1381">
        <f>G135</f>
        <v>0</v>
      </c>
      <c r="I135" s="1431">
        <f t="shared" si="52"/>
        <v>0</v>
      </c>
      <c r="J135" s="1432">
        <f t="shared" si="49"/>
        <v>0</v>
      </c>
    </row>
    <row r="136" spans="1:10" ht="13" x14ac:dyDescent="0.3">
      <c r="A136" s="1429">
        <v>69</v>
      </c>
      <c r="B136" s="1027" t="str">
        <f>+B19</f>
        <v>Provisions</v>
      </c>
      <c r="C136" s="1436">
        <f>C123*VARIABLES!$B$138</f>
        <v>0</v>
      </c>
      <c r="D136" s="1436">
        <f>D123*VARIABLES!$B$138</f>
        <v>0</v>
      </c>
      <c r="E136" s="1436">
        <f>E123*VARIABLES!$B$138</f>
        <v>0</v>
      </c>
      <c r="F136" s="1436">
        <f>F123*VARIABLES!$B$138</f>
        <v>0</v>
      </c>
      <c r="G136" s="1436">
        <f>G123*VARIABLES!$B$138</f>
        <v>0</v>
      </c>
      <c r="H136" s="1436">
        <f>H123*VARIABLES!$B$138</f>
        <v>0</v>
      </c>
      <c r="I136" s="1431">
        <f t="shared" si="52"/>
        <v>0</v>
      </c>
      <c r="J136" s="1433">
        <f t="shared" si="49"/>
        <v>0</v>
      </c>
    </row>
    <row r="137" spans="1:10" ht="13" x14ac:dyDescent="0.3">
      <c r="B137" s="1659" t="s">
        <v>729</v>
      </c>
      <c r="C137" s="1661">
        <f t="shared" ref="C137:H137" si="54">+C134-C135-C136</f>
        <v>0</v>
      </c>
      <c r="D137" s="1661">
        <f t="shared" si="54"/>
        <v>0</v>
      </c>
      <c r="E137" s="1661">
        <f t="shared" si="54"/>
        <v>0</v>
      </c>
      <c r="F137" s="1661">
        <f t="shared" si="54"/>
        <v>0</v>
      </c>
      <c r="G137" s="1661">
        <f t="shared" si="54"/>
        <v>0</v>
      </c>
      <c r="H137" s="1661">
        <f t="shared" si="54"/>
        <v>0</v>
      </c>
      <c r="I137" s="1431">
        <f t="shared" si="52"/>
        <v>0</v>
      </c>
      <c r="J137" s="1433">
        <f t="shared" si="49"/>
        <v>0</v>
      </c>
    </row>
    <row r="138" spans="1:10" ht="13" x14ac:dyDescent="0.3">
      <c r="A138" s="1429">
        <v>66</v>
      </c>
      <c r="B138" s="1027" t="str">
        <f>+B21</f>
        <v>Despeses financeres</v>
      </c>
      <c r="C138" s="1381">
        <f>TRESORERIA!I221</f>
        <v>0</v>
      </c>
      <c r="D138" s="1381">
        <f>TRESORERIA!J221</f>
        <v>0</v>
      </c>
      <c r="E138" s="1381">
        <f>TRESORERIA!K221</f>
        <v>0</v>
      </c>
      <c r="F138" s="1381">
        <f>TRESORERIA!L221</f>
        <v>0</v>
      </c>
      <c r="G138" s="1381">
        <f>TRESORERIA!M221</f>
        <v>0</v>
      </c>
      <c r="H138" s="1381">
        <f>TRESORERIA!N221</f>
        <v>0</v>
      </c>
      <c r="I138" s="1431">
        <f t="shared" si="52"/>
        <v>0</v>
      </c>
      <c r="J138" s="1432">
        <f>IF(I$127=0,0,I138/$I$127)</f>
        <v>0</v>
      </c>
    </row>
    <row r="139" spans="1:10" ht="13" x14ac:dyDescent="0.3">
      <c r="B139" s="1659" t="str">
        <f>+B116</f>
        <v>RESULTAT ABANS IMPOSTOS</v>
      </c>
      <c r="C139" s="1661">
        <f t="shared" ref="C139:H139" si="55">+C137-C138</f>
        <v>0</v>
      </c>
      <c r="D139" s="1661">
        <f t="shared" si="55"/>
        <v>0</v>
      </c>
      <c r="E139" s="1661">
        <f t="shared" si="55"/>
        <v>0</v>
      </c>
      <c r="F139" s="1661">
        <f t="shared" si="55"/>
        <v>0</v>
      </c>
      <c r="G139" s="1661">
        <f t="shared" si="55"/>
        <v>0</v>
      </c>
      <c r="H139" s="1661">
        <f t="shared" si="55"/>
        <v>0</v>
      </c>
      <c r="I139" s="1431">
        <f t="shared" si="52"/>
        <v>0</v>
      </c>
      <c r="J139" s="1432">
        <f>IF(I$127=0,0,I139/$I$127)</f>
        <v>0</v>
      </c>
    </row>
    <row r="140" spans="1:10" ht="13.5" thickBot="1" x14ac:dyDescent="0.35">
      <c r="A140" s="1429">
        <v>63</v>
      </c>
      <c r="B140" s="1027" t="str">
        <f>+B23</f>
        <v>Tributs</v>
      </c>
      <c r="C140" s="1381">
        <f>H117</f>
        <v>0</v>
      </c>
      <c r="D140" s="1381">
        <f>C140</f>
        <v>0</v>
      </c>
      <c r="E140" s="1381">
        <f>D140</f>
        <v>0</v>
      </c>
      <c r="F140" s="1381">
        <f>E140</f>
        <v>0</v>
      </c>
      <c r="G140" s="1381">
        <f>F140</f>
        <v>0</v>
      </c>
      <c r="H140" s="1381">
        <f>G140</f>
        <v>0</v>
      </c>
      <c r="I140" s="1664">
        <f t="shared" si="52"/>
        <v>0</v>
      </c>
      <c r="J140" s="1432">
        <f>IF(I$127=0,0,I140/$I$127)</f>
        <v>0</v>
      </c>
    </row>
    <row r="141" spans="1:10" ht="13.5" thickBot="1" x14ac:dyDescent="0.35">
      <c r="B141" s="1425" t="str">
        <f>+B118</f>
        <v>RESULTAT</v>
      </c>
      <c r="C141" s="1390">
        <f t="shared" ref="C141:H141" si="56">+C139-C140</f>
        <v>0</v>
      </c>
      <c r="D141" s="1390">
        <f t="shared" si="56"/>
        <v>0</v>
      </c>
      <c r="E141" s="1390">
        <f t="shared" si="56"/>
        <v>0</v>
      </c>
      <c r="F141" s="1390">
        <f t="shared" si="56"/>
        <v>0</v>
      </c>
      <c r="G141" s="1390">
        <f t="shared" si="56"/>
        <v>0</v>
      </c>
      <c r="H141" s="1662">
        <f t="shared" si="56"/>
        <v>0</v>
      </c>
      <c r="I141" s="1665">
        <f t="shared" si="52"/>
        <v>0</v>
      </c>
      <c r="J141" s="1663">
        <f t="shared" si="49"/>
        <v>0</v>
      </c>
    </row>
  </sheetData>
  <sheetProtection password="CC2F" sheet="1" objects="1" scenarios="1"/>
  <mergeCells count="22">
    <mergeCell ref="B128:J128"/>
    <mergeCell ref="C97:H97"/>
    <mergeCell ref="I97:J97"/>
    <mergeCell ref="B105:J105"/>
    <mergeCell ref="C120:H120"/>
    <mergeCell ref="I120:J120"/>
    <mergeCell ref="B58:J58"/>
    <mergeCell ref="C73:H73"/>
    <mergeCell ref="I73:J73"/>
    <mergeCell ref="B81:J81"/>
    <mergeCell ref="B95:B96"/>
    <mergeCell ref="C26:H26"/>
    <mergeCell ref="I26:J26"/>
    <mergeCell ref="B34:J34"/>
    <mergeCell ref="B48:B49"/>
    <mergeCell ref="C50:H50"/>
    <mergeCell ref="I50:J50"/>
    <mergeCell ref="B1:B2"/>
    <mergeCell ref="C3:H3"/>
    <mergeCell ref="I3:J3"/>
    <mergeCell ref="B5:J5"/>
    <mergeCell ref="B11:J11"/>
  </mergeCells>
  <phoneticPr fontId="22" type="noConversion"/>
  <pageMargins left="1.575" right="0.78749999999999998" top="0.98402777777777772" bottom="0.78749999999999998" header="0.59027777777777779" footer="0.51180555555555562"/>
  <pageSetup paperSize="9" scale="85" firstPageNumber="0" orientation="landscape" horizontalDpi="300" verticalDpi="300" r:id="rId1"/>
  <headerFooter alignWithMargins="0">
    <oddHeader>&amp;L&amp;"Arial,Negrita"&amp;15Cuenta de resultados por meses</oddHeader>
  </headerFooter>
  <rowBreaks count="2" manualBreakCount="2">
    <brk id="47" max="16383" man="1"/>
    <brk id="9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autoFill="0" autoLine="0" autoPict="0">
                <anchor moveWithCells="1" sizeWithCells="1">
                  <from>
                    <xdr:col>3</xdr:col>
                    <xdr:colOff>12700</xdr:colOff>
                    <xdr:row>0</xdr:row>
                    <xdr:rowOff>0</xdr:rowOff>
                  </from>
                  <to>
                    <xdr:col>4</xdr:col>
                    <xdr:colOff>266700</xdr:colOff>
                    <xdr:row>1</xdr:row>
                    <xdr:rowOff>69850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pageSetUpPr fitToPage="1"/>
  </sheetPr>
  <dimension ref="A1:F48"/>
  <sheetViews>
    <sheetView workbookViewId="0">
      <selection activeCell="B5" sqref="B5"/>
    </sheetView>
  </sheetViews>
  <sheetFormatPr defaultColWidth="11.453125" defaultRowHeight="12.5" x14ac:dyDescent="0.25"/>
  <cols>
    <col min="1" max="1" width="32.7265625" customWidth="1"/>
    <col min="2" max="4" width="13.7265625" customWidth="1"/>
  </cols>
  <sheetData>
    <row r="1" spans="1:4" x14ac:dyDescent="0.25">
      <c r="A1" s="1887"/>
      <c r="B1" s="1945" t="s">
        <v>17</v>
      </c>
      <c r="C1" s="1945" t="s">
        <v>47</v>
      </c>
      <c r="D1" s="1945" t="s">
        <v>57</v>
      </c>
    </row>
    <row r="2" spans="1:4" x14ac:dyDescent="0.25">
      <c r="A2" s="1887"/>
      <c r="B2" s="1945"/>
      <c r="C2" s="1945"/>
      <c r="D2" s="1945"/>
    </row>
    <row r="3" spans="1:4" ht="13" x14ac:dyDescent="0.3">
      <c r="A3" s="1944" t="s">
        <v>64</v>
      </c>
      <c r="B3" s="1944"/>
      <c r="C3" s="1944"/>
      <c r="D3" s="1944"/>
    </row>
    <row r="4" spans="1:4" ht="13" x14ac:dyDescent="0.3">
      <c r="A4" s="1441" t="s">
        <v>436</v>
      </c>
      <c r="B4" s="1442">
        <f>TRESORERIA!O12</f>
        <v>0</v>
      </c>
      <c r="C4" s="1442">
        <f>TRESORERIA!O98</f>
        <v>0</v>
      </c>
      <c r="D4" s="1442">
        <f>TRESORERIA!O183</f>
        <v>0</v>
      </c>
    </row>
    <row r="5" spans="1:4" ht="13" x14ac:dyDescent="0.3">
      <c r="A5" s="1441" t="s">
        <v>422</v>
      </c>
      <c r="B5" s="1443">
        <f>TRESORERIA!O15</f>
        <v>0</v>
      </c>
      <c r="C5" s="1443">
        <f>TRESORERIA!O101</f>
        <v>0</v>
      </c>
      <c r="D5" s="1443">
        <f>TRESORERIA!O186</f>
        <v>0</v>
      </c>
    </row>
    <row r="6" spans="1:4" ht="13" x14ac:dyDescent="0.3">
      <c r="A6" s="1441" t="s">
        <v>437</v>
      </c>
      <c r="B6" s="1443">
        <f>TRESORERIA!O16</f>
        <v>0</v>
      </c>
      <c r="C6" s="1443">
        <f>TRESORERIA!O102</f>
        <v>0</v>
      </c>
      <c r="D6" s="1443">
        <f>TRESORERIA!O187</f>
        <v>0</v>
      </c>
    </row>
    <row r="7" spans="1:4" ht="13" x14ac:dyDescent="0.3">
      <c r="A7" s="1444" t="s">
        <v>439</v>
      </c>
      <c r="B7" s="1443">
        <f>TRESORERIA!O18</f>
        <v>0</v>
      </c>
      <c r="C7" s="1443">
        <f>TRESORERIA!O104</f>
        <v>0</v>
      </c>
      <c r="D7" s="1443">
        <f>TRESORERIA!O189</f>
        <v>0</v>
      </c>
    </row>
    <row r="8" spans="1:4" ht="13" x14ac:dyDescent="0.3">
      <c r="A8" s="1445" t="s">
        <v>524</v>
      </c>
      <c r="B8" s="1446">
        <f>TRESORERIA!O19</f>
        <v>0</v>
      </c>
      <c r="C8" s="1446">
        <f>TRESORERIA!O105</f>
        <v>0</v>
      </c>
      <c r="D8" s="1446">
        <f>TRESORERIA!O190</f>
        <v>0</v>
      </c>
    </row>
    <row r="9" spans="1:4" ht="6.75" customHeight="1" x14ac:dyDescent="0.25">
      <c r="B9" s="12"/>
      <c r="C9" s="12"/>
      <c r="D9" s="12"/>
    </row>
    <row r="10" spans="1:4" ht="13" x14ac:dyDescent="0.3">
      <c r="A10" s="1944" t="s">
        <v>65</v>
      </c>
      <c r="B10" s="1944"/>
      <c r="C10" s="1944"/>
      <c r="D10" s="1944"/>
    </row>
    <row r="11" spans="1:4" ht="13" x14ac:dyDescent="0.3">
      <c r="A11" s="1441" t="s">
        <v>441</v>
      </c>
      <c r="B11" s="799">
        <f>TRESORERIA!O22</f>
        <v>0</v>
      </c>
      <c r="C11" s="799">
        <f>TRESORERIA!O108</f>
        <v>0</v>
      </c>
      <c r="D11" s="799">
        <f>TRESORERIA!O193</f>
        <v>0</v>
      </c>
    </row>
    <row r="12" spans="1:4" ht="13" x14ac:dyDescent="0.3">
      <c r="A12" s="1441" t="s">
        <v>444</v>
      </c>
      <c r="B12" s="799">
        <f>TRESORERIA!O26</f>
        <v>0</v>
      </c>
      <c r="C12" s="799">
        <f>TRESORERIA!O111</f>
        <v>0</v>
      </c>
      <c r="D12" s="799">
        <f>TRESORERIA!O196</f>
        <v>0</v>
      </c>
    </row>
    <row r="13" spans="1:4" x14ac:dyDescent="0.25">
      <c r="A13" s="1447" t="s">
        <v>164</v>
      </c>
      <c r="B13" s="1448">
        <f>TRESORERIA!O27</f>
        <v>0</v>
      </c>
      <c r="C13" s="1448">
        <f>TRESORERIA!O112</f>
        <v>0</v>
      </c>
      <c r="D13" s="1448">
        <f>TRESORERIA!O197</f>
        <v>0</v>
      </c>
    </row>
    <row r="14" spans="1:4" x14ac:dyDescent="0.25">
      <c r="A14" s="1447" t="s">
        <v>716</v>
      </c>
      <c r="B14" s="1448">
        <f>+TRESORERIA!O28</f>
        <v>0</v>
      </c>
      <c r="C14" s="1448">
        <f>+TRESORERIA!O113</f>
        <v>0</v>
      </c>
      <c r="D14" s="1448">
        <f>+TRESORERIA!O198</f>
        <v>0</v>
      </c>
    </row>
    <row r="15" spans="1:4" x14ac:dyDescent="0.25">
      <c r="A15" s="1447" t="s">
        <v>445</v>
      </c>
      <c r="B15" s="1449">
        <f>TRESORERIA!O29</f>
        <v>0</v>
      </c>
      <c r="C15" s="1449">
        <f>TRESORERIA!O114</f>
        <v>0</v>
      </c>
      <c r="D15" s="1449">
        <f>TRESORERIA!O199</f>
        <v>0</v>
      </c>
    </row>
    <row r="16" spans="1:4" x14ac:dyDescent="0.25">
      <c r="A16" s="1447" t="s">
        <v>446</v>
      </c>
      <c r="B16" s="1449">
        <f>TRESORERIA!O30</f>
        <v>0</v>
      </c>
      <c r="C16" s="1449">
        <f>TRESORERIA!O115</f>
        <v>0</v>
      </c>
      <c r="D16" s="1449">
        <f>TRESORERIA!O200</f>
        <v>0</v>
      </c>
    </row>
    <row r="17" spans="1:4" x14ac:dyDescent="0.25">
      <c r="A17" s="1447" t="s">
        <v>447</v>
      </c>
      <c r="B17" s="1449">
        <f>TRESORERIA!O31</f>
        <v>0</v>
      </c>
      <c r="C17" s="1449">
        <f>TRESORERIA!O116</f>
        <v>0</v>
      </c>
      <c r="D17" s="1449">
        <f>TRESORERIA!O201</f>
        <v>0</v>
      </c>
    </row>
    <row r="18" spans="1:4" x14ac:dyDescent="0.25">
      <c r="A18" s="1447" t="s">
        <v>448</v>
      </c>
      <c r="B18" s="1449">
        <f>TRESORERIA!O32</f>
        <v>0</v>
      </c>
      <c r="C18" s="1449">
        <f>TRESORERIA!O117</f>
        <v>0</v>
      </c>
      <c r="D18" s="1449">
        <f>TRESORERIA!O202</f>
        <v>0</v>
      </c>
    </row>
    <row r="19" spans="1:4" x14ac:dyDescent="0.25">
      <c r="A19" s="1447" t="s">
        <v>449</v>
      </c>
      <c r="B19" s="1449">
        <f>TRESORERIA!O33</f>
        <v>0</v>
      </c>
      <c r="C19" s="1449">
        <f>TRESORERIA!O118</f>
        <v>0</v>
      </c>
      <c r="D19" s="1449">
        <f>TRESORERIA!O203</f>
        <v>0</v>
      </c>
    </row>
    <row r="20" spans="1:4" x14ac:dyDescent="0.25">
      <c r="A20" s="1447" t="s">
        <v>450</v>
      </c>
      <c r="B20" s="1449">
        <f>TRESORERIA!O34</f>
        <v>0</v>
      </c>
      <c r="C20" s="1449">
        <f>TRESORERIA!O119</f>
        <v>0</v>
      </c>
      <c r="D20" s="1449">
        <f>TRESORERIA!O204</f>
        <v>0</v>
      </c>
    </row>
    <row r="21" spans="1:4" x14ac:dyDescent="0.25">
      <c r="A21" s="1447" t="s">
        <v>451</v>
      </c>
      <c r="B21" s="1449">
        <f>TRESORERIA!O35</f>
        <v>0</v>
      </c>
      <c r="C21" s="1449">
        <f>TRESORERIA!O120</f>
        <v>0</v>
      </c>
      <c r="D21" s="1449">
        <f>TRESORERIA!O205</f>
        <v>0</v>
      </c>
    </row>
    <row r="22" spans="1:4" x14ac:dyDescent="0.25">
      <c r="A22" s="1447" t="s">
        <v>452</v>
      </c>
      <c r="B22" s="1449">
        <f>TRESORERIA!O36</f>
        <v>0</v>
      </c>
      <c r="C22" s="1449">
        <f>TRESORERIA!O121</f>
        <v>0</v>
      </c>
      <c r="D22" s="1449">
        <f>TRESORERIA!O206</f>
        <v>0</v>
      </c>
    </row>
    <row r="23" spans="1:4" x14ac:dyDescent="0.25">
      <c r="A23" s="1447" t="s">
        <v>525</v>
      </c>
      <c r="B23" s="1450">
        <f>TRESORERIA!O37</f>
        <v>0</v>
      </c>
      <c r="C23" s="1450">
        <f>TRESORERIA!O122</f>
        <v>0</v>
      </c>
      <c r="D23" s="1450">
        <f>TRESORERIA!O207</f>
        <v>0</v>
      </c>
    </row>
    <row r="24" spans="1:4" ht="13" x14ac:dyDescent="0.3">
      <c r="A24" s="1441" t="s">
        <v>454</v>
      </c>
      <c r="B24" s="799">
        <f>TRESORERIA!O38</f>
        <v>0</v>
      </c>
      <c r="C24" s="799">
        <f>TRESORERIA!O123</f>
        <v>0</v>
      </c>
      <c r="D24" s="799">
        <f>TRESORERIA!O208</f>
        <v>0</v>
      </c>
    </row>
    <row r="25" spans="1:4" x14ac:dyDescent="0.25">
      <c r="A25" s="1447" t="s">
        <v>455</v>
      </c>
      <c r="B25" s="1448">
        <f>TRESORERIA!O39</f>
        <v>0</v>
      </c>
      <c r="C25" s="1448">
        <f>TRESORERIA!O124</f>
        <v>0</v>
      </c>
      <c r="D25" s="1448">
        <f>TRESORERIA!O209</f>
        <v>0</v>
      </c>
    </row>
    <row r="26" spans="1:4" hidden="1" x14ac:dyDescent="0.25">
      <c r="A26" s="1447" t="s">
        <v>456</v>
      </c>
      <c r="B26" s="1449">
        <f>TRESORERIA!O40</f>
        <v>0</v>
      </c>
      <c r="C26" s="1449">
        <f>TRESORERIA!O125</f>
        <v>0</v>
      </c>
      <c r="D26" s="1449">
        <f>TRESORERIA!O210</f>
        <v>0</v>
      </c>
    </row>
    <row r="27" spans="1:4" hidden="1" x14ac:dyDescent="0.25">
      <c r="A27" s="1447" t="s">
        <v>75</v>
      </c>
      <c r="B27" s="1449">
        <f>TRESORERIA!O41</f>
        <v>0</v>
      </c>
      <c r="C27" s="1449">
        <f>TRESORERIA!O126</f>
        <v>0</v>
      </c>
      <c r="D27" s="1449">
        <f>TRESORERIA!O211</f>
        <v>0</v>
      </c>
    </row>
    <row r="28" spans="1:4" x14ac:dyDescent="0.25">
      <c r="A28" s="1447" t="s">
        <v>457</v>
      </c>
      <c r="B28" s="1449">
        <f>TRESORERIA!O42</f>
        <v>0</v>
      </c>
      <c r="C28" s="1449">
        <f>TRESORERIA!O127</f>
        <v>0</v>
      </c>
      <c r="D28" s="1449">
        <f>TRESORERIA!O212</f>
        <v>0</v>
      </c>
    </row>
    <row r="29" spans="1:4" hidden="1" x14ac:dyDescent="0.25">
      <c r="A29" s="1447" t="s">
        <v>458</v>
      </c>
      <c r="B29" s="1449">
        <f>TRESORERIA!O43</f>
        <v>0</v>
      </c>
      <c r="C29" s="1449">
        <f>TRESORERIA!O128</f>
        <v>0</v>
      </c>
      <c r="D29" s="1449">
        <f>TRESORERIA!O213</f>
        <v>0</v>
      </c>
    </row>
    <row r="30" spans="1:4" hidden="1" x14ac:dyDescent="0.25">
      <c r="A30" s="1447" t="s">
        <v>456</v>
      </c>
      <c r="B30" s="1449">
        <f>TRESORERIA!O44</f>
        <v>0</v>
      </c>
      <c r="C30" s="1449">
        <f>TRESORERIA!O129</f>
        <v>0</v>
      </c>
      <c r="D30" s="1449">
        <f>TRESORERIA!O214</f>
        <v>0</v>
      </c>
    </row>
    <row r="31" spans="1:4" hidden="1" x14ac:dyDescent="0.25">
      <c r="A31" s="1447" t="s">
        <v>75</v>
      </c>
      <c r="B31" s="1450">
        <f>TRESORERIA!O45</f>
        <v>0</v>
      </c>
      <c r="C31" s="1450">
        <f>TRESORERIA!O130</f>
        <v>0</v>
      </c>
      <c r="D31" s="1450">
        <f>TRESORERIA!O215</f>
        <v>0</v>
      </c>
    </row>
    <row r="32" spans="1:4" ht="13" x14ac:dyDescent="0.3">
      <c r="A32" s="1441" t="s">
        <v>459</v>
      </c>
      <c r="B32" s="799">
        <f>TRESORERIA!O46</f>
        <v>0</v>
      </c>
      <c r="C32" s="799">
        <f>TRESORERIA!O131</f>
        <v>0</v>
      </c>
      <c r="D32" s="799">
        <f>TRESORERIA!O216</f>
        <v>0</v>
      </c>
    </row>
    <row r="33" spans="1:6" x14ac:dyDescent="0.25">
      <c r="A33" s="1451" t="s">
        <v>392</v>
      </c>
      <c r="B33" s="1448">
        <f>TRESORERIA!O47</f>
        <v>0</v>
      </c>
      <c r="C33" s="1448">
        <f>TRESORERIA!O132</f>
        <v>0</v>
      </c>
      <c r="D33" s="1448">
        <f>TRESORERIA!O217</f>
        <v>0</v>
      </c>
    </row>
    <row r="34" spans="1:6" x14ac:dyDescent="0.25">
      <c r="A34" s="1451" t="s">
        <v>163</v>
      </c>
      <c r="B34" s="1449">
        <f>TRESORERIA!O48</f>
        <v>0</v>
      </c>
      <c r="C34" s="1449">
        <f>TRESORERIA!O133</f>
        <v>0</v>
      </c>
      <c r="D34" s="1449">
        <f>TRESORERIA!O218</f>
        <v>0</v>
      </c>
    </row>
    <row r="35" spans="1:6" x14ac:dyDescent="0.25">
      <c r="A35" s="1429" t="str">
        <f>+TRESORERIA!A49</f>
        <v>Pagos a cuenta</v>
      </c>
      <c r="B35" s="1450">
        <f>TRESORERIA!O49</f>
        <v>0</v>
      </c>
      <c r="C35" s="1450">
        <f>TRESORERIA!O134</f>
        <v>0</v>
      </c>
      <c r="D35" s="1450">
        <f>TRESORERIA!O219</f>
        <v>0</v>
      </c>
    </row>
    <row r="36" spans="1:6" ht="13" x14ac:dyDescent="0.3">
      <c r="A36" s="1441" t="s">
        <v>28</v>
      </c>
      <c r="B36" s="799">
        <f>TRESORERIA!O50</f>
        <v>0</v>
      </c>
      <c r="C36" s="799">
        <f>TRESORERIA!O135</f>
        <v>0</v>
      </c>
      <c r="D36" s="799">
        <f>TRESORERIA!O220</f>
        <v>0</v>
      </c>
    </row>
    <row r="37" spans="1:6" ht="13" x14ac:dyDescent="0.3">
      <c r="A37" s="1441" t="s">
        <v>460</v>
      </c>
      <c r="B37" s="799">
        <f>TRESORERIA!O51</f>
        <v>0</v>
      </c>
      <c r="C37" s="799">
        <f>TRESORERIA!O136</f>
        <v>0</v>
      </c>
      <c r="D37" s="799">
        <f>TRESORERIA!O221</f>
        <v>0</v>
      </c>
    </row>
    <row r="38" spans="1:6" ht="13" x14ac:dyDescent="0.3">
      <c r="A38" s="1441" t="s">
        <v>461</v>
      </c>
      <c r="B38" s="799">
        <f>TRESORERIA!O52</f>
        <v>0</v>
      </c>
      <c r="C38" s="799">
        <f>TRESORERIA!O137</f>
        <v>0</v>
      </c>
      <c r="D38" s="799">
        <f>TRESORERIA!O222</f>
        <v>0</v>
      </c>
    </row>
    <row r="39" spans="1:6" ht="13" x14ac:dyDescent="0.3">
      <c r="A39" s="1444" t="s">
        <v>423</v>
      </c>
      <c r="B39" s="1386">
        <f>TRESORERIA!O53</f>
        <v>0</v>
      </c>
      <c r="C39" s="1386">
        <f>TRESORERIA!O138</f>
        <v>0</v>
      </c>
      <c r="D39" s="1386">
        <f>TRESORERIA!O223</f>
        <v>0</v>
      </c>
    </row>
    <row r="40" spans="1:6" ht="13" x14ac:dyDescent="0.3">
      <c r="A40" s="1445" t="s">
        <v>526</v>
      </c>
      <c r="B40" s="1390">
        <f>TRESORERIA!O54</f>
        <v>0</v>
      </c>
      <c r="C40" s="1390">
        <f>TRESORERIA!O139</f>
        <v>0</v>
      </c>
      <c r="D40" s="1390">
        <f>TRESORERIA!O224</f>
        <v>0</v>
      </c>
      <c r="F40" s="12"/>
    </row>
    <row r="41" spans="1:6" ht="6.75" customHeight="1" x14ac:dyDescent="0.25">
      <c r="B41" s="12"/>
      <c r="C41" s="12"/>
      <c r="D41" s="12"/>
    </row>
    <row r="42" spans="1:6" ht="13" x14ac:dyDescent="0.3">
      <c r="A42" s="1452" t="s">
        <v>255</v>
      </c>
      <c r="B42" s="1390">
        <f>TRESORERIA!O56</f>
        <v>0</v>
      </c>
      <c r="C42" s="1390">
        <f>TRESORERIA!O141</f>
        <v>0</v>
      </c>
      <c r="D42" s="1390">
        <f>TRESORERIA!O226</f>
        <v>0</v>
      </c>
    </row>
    <row r="43" spans="1:6" ht="13" x14ac:dyDescent="0.3">
      <c r="A43" s="1452" t="s">
        <v>527</v>
      </c>
      <c r="B43" s="1390">
        <f>TRESORERIA!O57</f>
        <v>0</v>
      </c>
      <c r="C43" s="1390">
        <f>TRESORERIA!O142</f>
        <v>0</v>
      </c>
      <c r="D43" s="1390">
        <f>TRESORERIA!O227</f>
        <v>0</v>
      </c>
    </row>
    <row r="44" spans="1:6" ht="13" x14ac:dyDescent="0.3">
      <c r="A44" s="1453" t="s">
        <v>528</v>
      </c>
      <c r="B44" s="1454">
        <f>TRESORERIA!O58</f>
        <v>0</v>
      </c>
      <c r="C44" s="1454">
        <f>TRESORERIA!O143</f>
        <v>0</v>
      </c>
      <c r="D44" s="1454">
        <f>TRESORERIA!O228</f>
        <v>0</v>
      </c>
    </row>
    <row r="45" spans="1:6" ht="13" x14ac:dyDescent="0.3">
      <c r="A45" s="1452" t="s">
        <v>254</v>
      </c>
      <c r="B45" s="1390">
        <f>TRESORERIA!O59</f>
        <v>0</v>
      </c>
      <c r="C45" s="1390">
        <f>TRESORERIA!O144</f>
        <v>0</v>
      </c>
      <c r="D45" s="1390">
        <f>TRESORERIA!O229</f>
        <v>0</v>
      </c>
    </row>
    <row r="46" spans="1:6" ht="13" x14ac:dyDescent="0.3">
      <c r="A46" s="1455" t="s">
        <v>464</v>
      </c>
      <c r="B46" s="1456">
        <f>TRESORERIA!O60</f>
        <v>0</v>
      </c>
      <c r="C46" s="1456">
        <f>TRESORERIA!O145</f>
        <v>0</v>
      </c>
      <c r="D46" s="1456">
        <f>TRESORERIA!O230</f>
        <v>0</v>
      </c>
    </row>
    <row r="47" spans="1:6" ht="13" x14ac:dyDescent="0.3">
      <c r="A47" s="1457" t="s">
        <v>465</v>
      </c>
      <c r="B47" s="1458">
        <f>TRESORERIA!O61</f>
        <v>0</v>
      </c>
      <c r="C47" s="1458">
        <f>TRESORERIA!O146</f>
        <v>0</v>
      </c>
      <c r="D47" s="1458">
        <f>TRESORERIA!O231</f>
        <v>0</v>
      </c>
    </row>
    <row r="48" spans="1:6" ht="13" x14ac:dyDescent="0.3">
      <c r="A48" s="1457" t="s">
        <v>466</v>
      </c>
      <c r="B48" s="1458">
        <f>TRESORERIA!O62</f>
        <v>0</v>
      </c>
      <c r="C48" s="1458">
        <f>TRESORERIA!O147</f>
        <v>0</v>
      </c>
      <c r="D48" s="1458">
        <f>TRESORERIA!O232</f>
        <v>0</v>
      </c>
    </row>
  </sheetData>
  <sheetProtection password="CC2F" sheet="1" objects="1" scenarios="1"/>
  <mergeCells count="6">
    <mergeCell ref="A3:D3"/>
    <mergeCell ref="A10:D10"/>
    <mergeCell ref="A1:A2"/>
    <mergeCell ref="B1:B2"/>
    <mergeCell ref="C1:C2"/>
    <mergeCell ref="D1:D2"/>
  </mergeCells>
  <phoneticPr fontId="22" type="noConversion"/>
  <printOptions horizontalCentered="1"/>
  <pageMargins left="0.39374999999999999" right="0.39374999999999999" top="0.81736111111111109" bottom="0.78749999999999998" header="0.39374999999999999" footer="0.51180555555555562"/>
  <pageSetup paperSize="9" firstPageNumber="0" orientation="portrait" horizontalDpi="300" verticalDpi="300" r:id="rId1"/>
  <headerFooter alignWithMargins="0">
    <oddHeader>&amp;L&amp;"Arial,Negrita"&amp;12&amp;A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Button 1">
              <controlPr defaultSize="0" autoFill="0" autoLine="0" autoPict="0">
                <anchor moveWithCells="1" sizeWithCells="1">
                  <from>
                    <xdr:col>4</xdr:col>
                    <xdr:colOff>69850</xdr:colOff>
                    <xdr:row>0</xdr:row>
                    <xdr:rowOff>12700</xdr:rowOff>
                  </from>
                  <to>
                    <xdr:col>5</xdr:col>
                    <xdr:colOff>342900</xdr:colOff>
                    <xdr:row>1</xdr:row>
                    <xdr:rowOff>88900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32"/>
  <dimension ref="A1:M15"/>
  <sheetViews>
    <sheetView workbookViewId="0">
      <selection activeCell="C200" sqref="C200"/>
    </sheetView>
  </sheetViews>
  <sheetFormatPr defaultColWidth="11.453125" defaultRowHeight="12.5" x14ac:dyDescent="0.25"/>
  <cols>
    <col min="1" max="1" width="32.81640625" customWidth="1"/>
    <col min="2" max="2" width="15.453125" customWidth="1"/>
  </cols>
  <sheetData>
    <row r="1" spans="1:13" x14ac:dyDescent="0.25">
      <c r="A1">
        <v>0</v>
      </c>
      <c r="B1">
        <v>1</v>
      </c>
      <c r="C1">
        <v>2</v>
      </c>
      <c r="D1">
        <v>3</v>
      </c>
      <c r="E1">
        <v>4</v>
      </c>
      <c r="F1">
        <v>5</v>
      </c>
      <c r="G1">
        <v>6</v>
      </c>
      <c r="H1">
        <v>7</v>
      </c>
      <c r="I1">
        <v>8</v>
      </c>
      <c r="J1">
        <v>9</v>
      </c>
      <c r="K1">
        <v>10</v>
      </c>
      <c r="L1">
        <v>11</v>
      </c>
      <c r="M1">
        <v>12</v>
      </c>
    </row>
    <row r="2" spans="1:13" x14ac:dyDescent="0.25">
      <c r="A2" s="1459" t="s">
        <v>529</v>
      </c>
      <c r="B2" t="str">
        <f>+'Tresoreria per mesos'!C2</f>
        <v>GENER</v>
      </c>
      <c r="C2" t="str">
        <f>+'Tresoreria per mesos'!D2</f>
        <v>FEBRER</v>
      </c>
      <c r="D2" t="str">
        <f>+'Tresoreria per mesos'!E2</f>
        <v>MARÇ</v>
      </c>
      <c r="E2" t="str">
        <f>+'Tresoreria per mesos'!F2</f>
        <v>ABRIL</v>
      </c>
      <c r="F2" t="str">
        <f>+'Tresoreria per mesos'!G2</f>
        <v>MAIG</v>
      </c>
      <c r="G2" t="str">
        <f>+'Tresoreria per mesos'!H2</f>
        <v>JUNY</v>
      </c>
      <c r="H2" t="str">
        <f>+'Tresoreria per mesos'!I2</f>
        <v>JULIOL</v>
      </c>
      <c r="I2" t="str">
        <f>+'Tresoreria per mesos'!J2</f>
        <v>AGOST</v>
      </c>
      <c r="J2" t="str">
        <f>+'Tresoreria per mesos'!K2</f>
        <v>SETEMBRE</v>
      </c>
      <c r="K2" t="str">
        <f>+'Tresoreria per mesos'!L2</f>
        <v>OCTUBRE</v>
      </c>
      <c r="L2" t="str">
        <f>+'Tresoreria per mesos'!M2</f>
        <v>NOVEMBRE</v>
      </c>
      <c r="M2" t="str">
        <f>+'Tresoreria per mesos'!N2</f>
        <v>DESEMBRE</v>
      </c>
    </row>
    <row r="3" spans="1:13" x14ac:dyDescent="0.25">
      <c r="A3" s="1459" t="s">
        <v>530</v>
      </c>
      <c r="B3" s="12">
        <f>+'Tresoreria per mesos'!C4+'Tresoreria per mesos'!C7</f>
        <v>0</v>
      </c>
      <c r="C3" s="12">
        <f>+'Tresoreria per mesos'!D4+'Tresoreria per mesos'!D7</f>
        <v>0</v>
      </c>
      <c r="D3" s="12">
        <f>+'Tresoreria per mesos'!E4+'Tresoreria per mesos'!E7</f>
        <v>0</v>
      </c>
      <c r="E3" s="12">
        <f>+'Tresoreria per mesos'!F4+'Tresoreria per mesos'!F7</f>
        <v>0</v>
      </c>
      <c r="F3" s="12">
        <f>+'Tresoreria per mesos'!G4+'Tresoreria per mesos'!G7</f>
        <v>0</v>
      </c>
      <c r="G3" s="12">
        <f>+'Tresoreria per mesos'!H4+'Tresoreria per mesos'!H7</f>
        <v>0</v>
      </c>
      <c r="H3" s="12">
        <f>+'Tresoreria per mesos'!I4+'Tresoreria per mesos'!I7</f>
        <v>0</v>
      </c>
      <c r="I3" s="12">
        <f>+'Tresoreria per mesos'!J4+'Tresoreria per mesos'!J7</f>
        <v>0</v>
      </c>
      <c r="J3" s="12">
        <f>+'Tresoreria per mesos'!K4+'Tresoreria per mesos'!K7</f>
        <v>0</v>
      </c>
      <c r="K3" s="12">
        <f>+'Tresoreria per mesos'!L4+'Tresoreria per mesos'!L7</f>
        <v>0</v>
      </c>
      <c r="L3" s="12">
        <f>+'Tresoreria per mesos'!M4+'Tresoreria per mesos'!M7</f>
        <v>0</v>
      </c>
      <c r="M3" s="12">
        <f>+'Tresoreria per mesos'!N4+'Tresoreria per mesos'!N7</f>
        <v>0</v>
      </c>
    </row>
    <row r="4" spans="1:13" x14ac:dyDescent="0.25">
      <c r="A4" s="1459" t="s">
        <v>531</v>
      </c>
      <c r="B4" s="12">
        <f>+'Tresoreria per mesos'!C45+'Tresoreria per mesos'!C49</f>
        <v>0</v>
      </c>
      <c r="C4" s="12">
        <f>+'Tresoreria per mesos'!D45+'Tresoreria per mesos'!D49</f>
        <v>0</v>
      </c>
      <c r="D4" s="12">
        <f>+'Tresoreria per mesos'!E45+'Tresoreria per mesos'!E49</f>
        <v>0</v>
      </c>
      <c r="E4" s="12">
        <f>+'Tresoreria per mesos'!F45+'Tresoreria per mesos'!F49</f>
        <v>0</v>
      </c>
      <c r="F4" s="12">
        <f>+'Tresoreria per mesos'!G45+'Tresoreria per mesos'!G49</f>
        <v>0</v>
      </c>
      <c r="G4" s="12">
        <f>+'Tresoreria per mesos'!H45+'Tresoreria per mesos'!H49</f>
        <v>0</v>
      </c>
      <c r="H4" s="12">
        <f>+'Tresoreria per mesos'!I45+'Tresoreria per mesos'!I49</f>
        <v>0</v>
      </c>
      <c r="I4" s="12">
        <f>+'Tresoreria per mesos'!J45+'Tresoreria per mesos'!J49</f>
        <v>0</v>
      </c>
      <c r="J4" s="12">
        <f>+'Tresoreria per mesos'!K45+'Tresoreria per mesos'!K49</f>
        <v>0</v>
      </c>
      <c r="K4" s="12">
        <f>+'Tresoreria per mesos'!L45+'Tresoreria per mesos'!L49</f>
        <v>0</v>
      </c>
      <c r="L4" s="12">
        <f>+'Tresoreria per mesos'!M45+'Tresoreria per mesos'!M49</f>
        <v>0</v>
      </c>
      <c r="M4" s="12">
        <f>+'Tresoreria per mesos'!N45+'Tresoreria per mesos'!N49</f>
        <v>0</v>
      </c>
    </row>
    <row r="5" spans="1:13" x14ac:dyDescent="0.25">
      <c r="A5" s="1459" t="s">
        <v>532</v>
      </c>
      <c r="B5" s="12">
        <f>+B3-B4</f>
        <v>0</v>
      </c>
      <c r="C5" s="12">
        <f>+C3-C4</f>
        <v>0</v>
      </c>
      <c r="D5" s="12">
        <f t="shared" ref="D5:M5" si="0">+D3-D4</f>
        <v>0</v>
      </c>
      <c r="E5" s="12">
        <f t="shared" si="0"/>
        <v>0</v>
      </c>
      <c r="F5" s="12">
        <f t="shared" si="0"/>
        <v>0</v>
      </c>
      <c r="G5" s="12">
        <f t="shared" si="0"/>
        <v>0</v>
      </c>
      <c r="H5" s="12">
        <f t="shared" si="0"/>
        <v>0</v>
      </c>
      <c r="I5" s="12">
        <f t="shared" si="0"/>
        <v>0</v>
      </c>
      <c r="J5" s="12">
        <f t="shared" si="0"/>
        <v>0</v>
      </c>
      <c r="K5" s="12">
        <f t="shared" si="0"/>
        <v>0</v>
      </c>
      <c r="L5" s="12">
        <f t="shared" si="0"/>
        <v>0</v>
      </c>
      <c r="M5" s="12">
        <f t="shared" si="0"/>
        <v>0</v>
      </c>
    </row>
    <row r="6" spans="1:13" x14ac:dyDescent="0.25">
      <c r="A6" s="1459" t="s">
        <v>533</v>
      </c>
      <c r="B6" s="12">
        <f>+B5</f>
        <v>0</v>
      </c>
      <c r="C6" s="12">
        <f>+B6+C5</f>
        <v>0</v>
      </c>
      <c r="D6" s="12">
        <f t="shared" ref="D6:M6" si="1">+C6+D5</f>
        <v>0</v>
      </c>
      <c r="E6" s="12">
        <f t="shared" si="1"/>
        <v>0</v>
      </c>
      <c r="F6" s="12">
        <f t="shared" si="1"/>
        <v>0</v>
      </c>
      <c r="G6" s="12">
        <f t="shared" si="1"/>
        <v>0</v>
      </c>
      <c r="H6" s="12">
        <f t="shared" si="1"/>
        <v>0</v>
      </c>
      <c r="I6" s="12">
        <f t="shared" si="1"/>
        <v>0</v>
      </c>
      <c r="J6" s="12">
        <f t="shared" si="1"/>
        <v>0</v>
      </c>
      <c r="K6" s="12">
        <f t="shared" si="1"/>
        <v>0</v>
      </c>
      <c r="L6" s="12">
        <f t="shared" si="1"/>
        <v>0</v>
      </c>
      <c r="M6" s="12">
        <f t="shared" si="1"/>
        <v>0</v>
      </c>
    </row>
    <row r="7" spans="1:13" x14ac:dyDescent="0.25">
      <c r="A7" s="1459" t="s">
        <v>534</v>
      </c>
      <c r="B7" s="12">
        <f>IF((MIN(B6:M6)&lt;0),-(MIN(B6:M6)),0)</f>
        <v>0</v>
      </c>
    </row>
    <row r="8" spans="1:13" x14ac:dyDescent="0.25">
      <c r="B8" s="12">
        <f>+B6+$B$7</f>
        <v>0</v>
      </c>
      <c r="C8" s="12">
        <f t="shared" ref="C8:M8" si="2">+C6+$B$7</f>
        <v>0</v>
      </c>
      <c r="D8" s="12">
        <f t="shared" si="2"/>
        <v>0</v>
      </c>
      <c r="E8" s="12">
        <f t="shared" si="2"/>
        <v>0</v>
      </c>
      <c r="F8" s="12">
        <f t="shared" si="2"/>
        <v>0</v>
      </c>
      <c r="G8" s="12">
        <f t="shared" si="2"/>
        <v>0</v>
      </c>
      <c r="H8" s="12">
        <f t="shared" si="2"/>
        <v>0</v>
      </c>
      <c r="I8" s="12">
        <f t="shared" si="2"/>
        <v>0</v>
      </c>
      <c r="J8" s="12">
        <f t="shared" si="2"/>
        <v>0</v>
      </c>
      <c r="K8" s="12">
        <f t="shared" si="2"/>
        <v>0</v>
      </c>
      <c r="L8" s="12">
        <f t="shared" si="2"/>
        <v>0</v>
      </c>
      <c r="M8" s="12">
        <f t="shared" si="2"/>
        <v>0</v>
      </c>
    </row>
    <row r="9" spans="1:13" x14ac:dyDescent="0.25">
      <c r="B9">
        <f>IF(+B8=0,B1,"")</f>
        <v>1</v>
      </c>
      <c r="C9">
        <f t="shared" ref="C9:M9" si="3">IF(+C8=0,C1,"")</f>
        <v>2</v>
      </c>
      <c r="D9">
        <f t="shared" si="3"/>
        <v>3</v>
      </c>
      <c r="E9">
        <f t="shared" si="3"/>
        <v>4</v>
      </c>
      <c r="F9">
        <f t="shared" si="3"/>
        <v>5</v>
      </c>
      <c r="G9">
        <f t="shared" si="3"/>
        <v>6</v>
      </c>
      <c r="H9">
        <f t="shared" si="3"/>
        <v>7</v>
      </c>
      <c r="I9">
        <f t="shared" si="3"/>
        <v>8</v>
      </c>
      <c r="J9">
        <f t="shared" si="3"/>
        <v>9</v>
      </c>
      <c r="K9">
        <f t="shared" si="3"/>
        <v>10</v>
      </c>
      <c r="L9">
        <f t="shared" si="3"/>
        <v>11</v>
      </c>
      <c r="M9">
        <f t="shared" si="3"/>
        <v>12</v>
      </c>
    </row>
    <row r="10" spans="1:13" x14ac:dyDescent="0.25">
      <c r="B10">
        <f>SUM(B9:M9)</f>
        <v>78</v>
      </c>
    </row>
    <row r="11" spans="1:13" x14ac:dyDescent="0.25">
      <c r="A11" s="1459" t="s">
        <v>508</v>
      </c>
      <c r="B11" t="str">
        <f>HLOOKUP(B10,A1:M2,2)</f>
        <v>DESEMBRE</v>
      </c>
    </row>
    <row r="13" spans="1:13" x14ac:dyDescent="0.25">
      <c r="A13" s="1459" t="s">
        <v>509</v>
      </c>
      <c r="B13" s="12">
        <f>+'Pla inversions i finançament'!B33</f>
        <v>0</v>
      </c>
    </row>
    <row r="14" spans="1:13" x14ac:dyDescent="0.25">
      <c r="A14" s="1459" t="s">
        <v>535</v>
      </c>
      <c r="B14" s="12">
        <f>MAX('Tresoreria per mesos'!C53:N53)</f>
        <v>0</v>
      </c>
    </row>
    <row r="15" spans="1:13" x14ac:dyDescent="0.25">
      <c r="A15" s="1459" t="s">
        <v>536</v>
      </c>
      <c r="B15" s="12">
        <f>IF((+B7-B14-B13)&gt;0,(+B7-B14-B13),0)</f>
        <v>0</v>
      </c>
    </row>
  </sheetData>
  <sheetProtection sheet="1" objects="1" scenarios="1"/>
  <phoneticPr fontId="22" type="noConversion"/>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7"/>
  <dimension ref="A1:O161"/>
  <sheetViews>
    <sheetView workbookViewId="0">
      <selection activeCell="E30" sqref="E30"/>
    </sheetView>
  </sheetViews>
  <sheetFormatPr defaultColWidth="11.453125" defaultRowHeight="12.5" x14ac:dyDescent="0.25"/>
  <cols>
    <col min="1" max="1" width="11.453125" style="935"/>
    <col min="2" max="2" width="22.1796875" style="935" customWidth="1"/>
    <col min="3" max="14" width="11.453125" style="935"/>
    <col min="15" max="15" width="12" style="935" customWidth="1"/>
    <col min="16" max="16384" width="11.453125" style="935"/>
  </cols>
  <sheetData>
    <row r="1" spans="1:15" ht="13" x14ac:dyDescent="0.25">
      <c r="A1" s="1946" t="s">
        <v>17</v>
      </c>
      <c r="B1" s="1946"/>
      <c r="C1" s="1947" t="str">
        <f>TRESORERIA!C9</f>
        <v>MESOS</v>
      </c>
      <c r="D1" s="1947"/>
      <c r="E1" s="1947"/>
      <c r="F1" s="1947"/>
      <c r="G1" s="1947"/>
      <c r="H1" s="1947"/>
      <c r="I1" s="1947"/>
      <c r="J1" s="1947"/>
      <c r="K1" s="1947"/>
      <c r="L1" s="1947"/>
      <c r="M1" s="1947"/>
      <c r="N1" s="1947"/>
      <c r="O1" s="1948" t="s">
        <v>245</v>
      </c>
    </row>
    <row r="2" spans="1:15" x14ac:dyDescent="0.25">
      <c r="A2" s="1946"/>
      <c r="B2" s="1946"/>
      <c r="C2" s="1460" t="str">
        <f>TRESORERIA!C10</f>
        <v>GENER</v>
      </c>
      <c r="D2" s="1460" t="str">
        <f>TRESORERIA!D10</f>
        <v>FEBRER</v>
      </c>
      <c r="E2" s="1460" t="str">
        <f>TRESORERIA!E10</f>
        <v>MARÇ</v>
      </c>
      <c r="F2" s="1460" t="str">
        <f>TRESORERIA!F10</f>
        <v>ABRIL</v>
      </c>
      <c r="G2" s="1460" t="str">
        <f>TRESORERIA!G10</f>
        <v>MAIG</v>
      </c>
      <c r="H2" s="1460" t="str">
        <f>TRESORERIA!H10</f>
        <v>JUNY</v>
      </c>
      <c r="I2" s="1460" t="str">
        <f>TRESORERIA!I10</f>
        <v>JULIOL</v>
      </c>
      <c r="J2" s="1460" t="str">
        <f>TRESORERIA!J10</f>
        <v>AGOST</v>
      </c>
      <c r="K2" s="1460" t="str">
        <f>TRESORERIA!K10</f>
        <v>SETEMBRE</v>
      </c>
      <c r="L2" s="1460" t="str">
        <f>TRESORERIA!L10</f>
        <v>OCTUBRE</v>
      </c>
      <c r="M2" s="1460" t="str">
        <f>TRESORERIA!M10</f>
        <v>NOVEMBRE</v>
      </c>
      <c r="N2" s="1460" t="str">
        <f>TRESORERIA!N10</f>
        <v>DESEMBRE</v>
      </c>
      <c r="O2" s="1948"/>
    </row>
    <row r="3" spans="1:15" ht="13" x14ac:dyDescent="0.25">
      <c r="A3" s="1917" t="s">
        <v>64</v>
      </c>
      <c r="B3" s="1917"/>
      <c r="C3" s="1917"/>
      <c r="D3" s="1917"/>
      <c r="E3" s="1917"/>
      <c r="F3" s="1917"/>
      <c r="G3" s="1917"/>
      <c r="H3" s="1917"/>
      <c r="I3" s="1917"/>
      <c r="J3" s="1917"/>
      <c r="K3" s="1917"/>
      <c r="L3" s="1917"/>
      <c r="M3" s="1917"/>
      <c r="N3" s="1917"/>
      <c r="O3" s="1917"/>
    </row>
    <row r="4" spans="1:15" ht="13" x14ac:dyDescent="0.25">
      <c r="A4" s="1949" t="s">
        <v>436</v>
      </c>
      <c r="B4" s="1949"/>
      <c r="C4" s="1461">
        <f>TRESORERIA!C12</f>
        <v>0</v>
      </c>
      <c r="D4" s="1461">
        <f>TRESORERIA!D12</f>
        <v>0</v>
      </c>
      <c r="E4" s="1461">
        <f>TRESORERIA!E12</f>
        <v>0</v>
      </c>
      <c r="F4" s="1461">
        <f>TRESORERIA!F12</f>
        <v>0</v>
      </c>
      <c r="G4" s="1461">
        <f>TRESORERIA!G12</f>
        <v>0</v>
      </c>
      <c r="H4" s="1461">
        <f>TRESORERIA!H12</f>
        <v>0</v>
      </c>
      <c r="I4" s="1461">
        <f>TRESORERIA!I12</f>
        <v>0</v>
      </c>
      <c r="J4" s="1461">
        <f>TRESORERIA!J12</f>
        <v>0</v>
      </c>
      <c r="K4" s="1461">
        <f>TRESORERIA!K12</f>
        <v>0</v>
      </c>
      <c r="L4" s="1461">
        <f>TRESORERIA!L12</f>
        <v>0</v>
      </c>
      <c r="M4" s="1461">
        <f>TRESORERIA!M12</f>
        <v>0</v>
      </c>
      <c r="N4" s="1461">
        <f>TRESORERIA!N12</f>
        <v>0</v>
      </c>
      <c r="O4" s="1462">
        <f>TRESORERIA!O12</f>
        <v>0</v>
      </c>
    </row>
    <row r="5" spans="1:15" hidden="1" x14ac:dyDescent="0.25">
      <c r="A5" s="1950" t="s">
        <v>354</v>
      </c>
      <c r="B5" s="1950"/>
      <c r="C5" s="1463">
        <f>TRESORERIA!C13</f>
        <v>0</v>
      </c>
      <c r="D5" s="1463">
        <f>TRESORERIA!D13</f>
        <v>0</v>
      </c>
      <c r="E5" s="1463">
        <f>TRESORERIA!E13</f>
        <v>0</v>
      </c>
      <c r="F5" s="1463">
        <f>TRESORERIA!F13</f>
        <v>0</v>
      </c>
      <c r="G5" s="1463">
        <f>TRESORERIA!G13</f>
        <v>0</v>
      </c>
      <c r="H5" s="1463">
        <f>TRESORERIA!H13</f>
        <v>0</v>
      </c>
      <c r="I5" s="1463">
        <f>TRESORERIA!I13</f>
        <v>0</v>
      </c>
      <c r="J5" s="1463">
        <f>TRESORERIA!J13</f>
        <v>0</v>
      </c>
      <c r="K5" s="1463">
        <f>TRESORERIA!K13</f>
        <v>0</v>
      </c>
      <c r="L5" s="1463">
        <f>TRESORERIA!L13</f>
        <v>0</v>
      </c>
      <c r="M5" s="1463">
        <f>TRESORERIA!M13</f>
        <v>0</v>
      </c>
      <c r="N5" s="1463">
        <f>TRESORERIA!N13</f>
        <v>0</v>
      </c>
      <c r="O5" s="1463">
        <f>TRESORERIA!O13</f>
        <v>0</v>
      </c>
    </row>
    <row r="6" spans="1:15" hidden="1" x14ac:dyDescent="0.25">
      <c r="A6" s="1464" t="s">
        <v>343</v>
      </c>
      <c r="B6" s="1465"/>
      <c r="C6" s="1466">
        <f>TRESORERIA!C14</f>
        <v>0</v>
      </c>
      <c r="D6" s="1466">
        <f>TRESORERIA!D14</f>
        <v>0</v>
      </c>
      <c r="E6" s="1466">
        <f>TRESORERIA!E14</f>
        <v>0</v>
      </c>
      <c r="F6" s="1466">
        <f>TRESORERIA!F14</f>
        <v>0</v>
      </c>
      <c r="G6" s="1466">
        <f>TRESORERIA!G14</f>
        <v>0</v>
      </c>
      <c r="H6" s="1466">
        <f>TRESORERIA!H14</f>
        <v>0</v>
      </c>
      <c r="I6" s="1466">
        <f>TRESORERIA!I14</f>
        <v>0</v>
      </c>
      <c r="J6" s="1466">
        <f>TRESORERIA!J14</f>
        <v>0</v>
      </c>
      <c r="K6" s="1466">
        <f>TRESORERIA!K14</f>
        <v>0</v>
      </c>
      <c r="L6" s="1466">
        <f>TRESORERIA!L14</f>
        <v>0</v>
      </c>
      <c r="M6" s="1466">
        <f>TRESORERIA!M14</f>
        <v>0</v>
      </c>
      <c r="N6" s="1466">
        <f>TRESORERIA!N14</f>
        <v>0</v>
      </c>
      <c r="O6" s="1466">
        <f>TRESORERIA!O14</f>
        <v>0</v>
      </c>
    </row>
    <row r="7" spans="1:15" ht="13" x14ac:dyDescent="0.25">
      <c r="A7" s="1951" t="s">
        <v>422</v>
      </c>
      <c r="B7" s="1951"/>
      <c r="C7" s="1467">
        <f>TRESORERIA!C15</f>
        <v>0</v>
      </c>
      <c r="D7" s="1467">
        <f>TRESORERIA!D15</f>
        <v>0</v>
      </c>
      <c r="E7" s="1467">
        <f>TRESORERIA!E15</f>
        <v>0</v>
      </c>
      <c r="F7" s="1467">
        <f>TRESORERIA!F15</f>
        <v>0</v>
      </c>
      <c r="G7" s="1467">
        <f>TRESORERIA!G15</f>
        <v>0</v>
      </c>
      <c r="H7" s="1467">
        <f>TRESORERIA!H15</f>
        <v>0</v>
      </c>
      <c r="I7" s="1467">
        <f>TRESORERIA!I15</f>
        <v>0</v>
      </c>
      <c r="J7" s="1467">
        <f>TRESORERIA!J15</f>
        <v>0</v>
      </c>
      <c r="K7" s="1467">
        <f>TRESORERIA!K15</f>
        <v>0</v>
      </c>
      <c r="L7" s="1467">
        <f>TRESORERIA!L15</f>
        <v>0</v>
      </c>
      <c r="M7" s="1467">
        <f>TRESORERIA!M15</f>
        <v>0</v>
      </c>
      <c r="N7" s="1467">
        <f>TRESORERIA!N15</f>
        <v>0</v>
      </c>
      <c r="O7" s="1468">
        <f>TRESORERIA!O15</f>
        <v>0</v>
      </c>
    </row>
    <row r="8" spans="1:15" ht="12.75" hidden="1" customHeight="1" x14ac:dyDescent="0.25">
      <c r="A8" s="1951" t="s">
        <v>437</v>
      </c>
      <c r="B8" s="1951"/>
      <c r="C8" s="1467">
        <f>TRESORERIA!C16</f>
        <v>0</v>
      </c>
      <c r="D8" s="1467">
        <f>TRESORERIA!D16</f>
        <v>0</v>
      </c>
      <c r="E8" s="1467">
        <f>TRESORERIA!E16</f>
        <v>0</v>
      </c>
      <c r="F8" s="1467">
        <f>TRESORERIA!F16</f>
        <v>0</v>
      </c>
      <c r="G8" s="1467">
        <f>TRESORERIA!G16</f>
        <v>0</v>
      </c>
      <c r="H8" s="1467">
        <f>TRESORERIA!H16</f>
        <v>0</v>
      </c>
      <c r="I8" s="1467">
        <f>TRESORERIA!I16</f>
        <v>0</v>
      </c>
      <c r="J8" s="1467">
        <f>TRESORERIA!J16</f>
        <v>0</v>
      </c>
      <c r="K8" s="1467">
        <f>TRESORERIA!K16</f>
        <v>0</v>
      </c>
      <c r="L8" s="1467">
        <f>TRESORERIA!L16</f>
        <v>0</v>
      </c>
      <c r="M8" s="1467">
        <f>TRESORERIA!M16</f>
        <v>0</v>
      </c>
      <c r="N8" s="1467">
        <f>TRESORERIA!N16</f>
        <v>0</v>
      </c>
      <c r="O8" s="1468">
        <f>TRESORERIA!O16</f>
        <v>0</v>
      </c>
    </row>
    <row r="9" spans="1:15" ht="13" x14ac:dyDescent="0.25">
      <c r="A9" s="1951" t="s">
        <v>438</v>
      </c>
      <c r="B9" s="1951"/>
      <c r="C9" s="1467">
        <f>TRESORERIA!C17</f>
        <v>0</v>
      </c>
      <c r="D9" s="1467">
        <f>TRESORERIA!D17</f>
        <v>0</v>
      </c>
      <c r="E9" s="1467">
        <f>TRESORERIA!E17</f>
        <v>0</v>
      </c>
      <c r="F9" s="1467">
        <f>TRESORERIA!F17</f>
        <v>0</v>
      </c>
      <c r="G9" s="1467">
        <f>TRESORERIA!G17</f>
        <v>0</v>
      </c>
      <c r="H9" s="1467">
        <f>TRESORERIA!H17</f>
        <v>0</v>
      </c>
      <c r="I9" s="1467">
        <f>TRESORERIA!I17</f>
        <v>0</v>
      </c>
      <c r="J9" s="1467">
        <f>TRESORERIA!J17</f>
        <v>0</v>
      </c>
      <c r="K9" s="1467">
        <f>TRESORERIA!K17</f>
        <v>0</v>
      </c>
      <c r="L9" s="1467">
        <f>TRESORERIA!L17</f>
        <v>0</v>
      </c>
      <c r="M9" s="1467">
        <f>TRESORERIA!M17</f>
        <v>0</v>
      </c>
      <c r="N9" s="1467">
        <f>TRESORERIA!N17</f>
        <v>0</v>
      </c>
      <c r="O9" s="1468">
        <f>TRESORERIA!O17</f>
        <v>0</v>
      </c>
    </row>
    <row r="10" spans="1:15" ht="13" x14ac:dyDescent="0.25">
      <c r="A10" s="1951" t="s">
        <v>439</v>
      </c>
      <c r="B10" s="1951"/>
      <c r="C10" s="1467">
        <f>TRESORERIA!C18</f>
        <v>0</v>
      </c>
      <c r="D10" s="1467">
        <f>TRESORERIA!D18</f>
        <v>0</v>
      </c>
      <c r="E10" s="1467">
        <f>TRESORERIA!E18</f>
        <v>0</v>
      </c>
      <c r="F10" s="1467">
        <f>TRESORERIA!F18</f>
        <v>0</v>
      </c>
      <c r="G10" s="1467">
        <f>TRESORERIA!G18</f>
        <v>0</v>
      </c>
      <c r="H10" s="1467">
        <f>TRESORERIA!H18</f>
        <v>0</v>
      </c>
      <c r="I10" s="1467">
        <f>TRESORERIA!I18</f>
        <v>0</v>
      </c>
      <c r="J10" s="1467">
        <f>TRESORERIA!J18</f>
        <v>0</v>
      </c>
      <c r="K10" s="1467">
        <f>TRESORERIA!K18</f>
        <v>0</v>
      </c>
      <c r="L10" s="1467">
        <f>TRESORERIA!L18</f>
        <v>0</v>
      </c>
      <c r="M10" s="1467">
        <f>TRESORERIA!M18</f>
        <v>0</v>
      </c>
      <c r="N10" s="1467">
        <f>TRESORERIA!N18</f>
        <v>0</v>
      </c>
      <c r="O10" s="1468">
        <f>TRESORERIA!O18</f>
        <v>0</v>
      </c>
    </row>
    <row r="11" spans="1:15" ht="13" x14ac:dyDescent="0.25">
      <c r="A11" s="1918" t="s">
        <v>440</v>
      </c>
      <c r="B11" s="1918"/>
      <c r="C11" s="1330">
        <f>TRESORERIA!C19</f>
        <v>0</v>
      </c>
      <c r="D11" s="1330">
        <f>TRESORERIA!D19</f>
        <v>0</v>
      </c>
      <c r="E11" s="1330">
        <f>TRESORERIA!E19</f>
        <v>0</v>
      </c>
      <c r="F11" s="1330">
        <f>TRESORERIA!F19</f>
        <v>0</v>
      </c>
      <c r="G11" s="1330">
        <f>TRESORERIA!G19</f>
        <v>0</v>
      </c>
      <c r="H11" s="1330">
        <f>TRESORERIA!H19</f>
        <v>0</v>
      </c>
      <c r="I11" s="1330">
        <f>TRESORERIA!I19</f>
        <v>0</v>
      </c>
      <c r="J11" s="1330">
        <f>TRESORERIA!J19</f>
        <v>0</v>
      </c>
      <c r="K11" s="1330">
        <f>TRESORERIA!K19</f>
        <v>0</v>
      </c>
      <c r="L11" s="1330">
        <f>TRESORERIA!L19</f>
        <v>0</v>
      </c>
      <c r="M11" s="1330">
        <f>TRESORERIA!M19</f>
        <v>0</v>
      </c>
      <c r="N11" s="1330">
        <f>TRESORERIA!N19</f>
        <v>0</v>
      </c>
      <c r="O11" s="1330">
        <f>TRESORERIA!O19</f>
        <v>0</v>
      </c>
    </row>
    <row r="12" spans="1:15" ht="13" x14ac:dyDescent="0.25">
      <c r="C12" s="1331"/>
      <c r="D12" s="1331"/>
      <c r="E12" s="1331"/>
      <c r="F12" s="1331"/>
      <c r="G12" s="1331"/>
      <c r="H12" s="1331"/>
      <c r="I12" s="1331"/>
      <c r="J12" s="1331"/>
      <c r="K12" s="1331"/>
      <c r="L12" s="1331"/>
      <c r="M12" s="1331"/>
      <c r="N12" s="1331"/>
      <c r="O12" s="1332"/>
    </row>
    <row r="13" spans="1:15" ht="13" x14ac:dyDescent="0.25">
      <c r="A13" s="1917" t="s">
        <v>65</v>
      </c>
      <c r="B13" s="1917"/>
      <c r="C13" s="1917"/>
      <c r="D13" s="1917"/>
      <c r="E13" s="1917"/>
      <c r="F13" s="1917"/>
      <c r="G13" s="1917"/>
      <c r="H13" s="1917"/>
      <c r="I13" s="1917"/>
      <c r="J13" s="1917"/>
      <c r="K13" s="1917"/>
      <c r="L13" s="1917"/>
      <c r="M13" s="1917"/>
      <c r="N13" s="1917"/>
      <c r="O13" s="1917"/>
    </row>
    <row r="14" spans="1:15" ht="13" x14ac:dyDescent="0.25">
      <c r="A14" s="1949" t="s">
        <v>441</v>
      </c>
      <c r="B14" s="1949"/>
      <c r="C14" s="1461">
        <f>TRESORERIA!C22</f>
        <v>0</v>
      </c>
      <c r="D14" s="1461">
        <f>TRESORERIA!D22</f>
        <v>0</v>
      </c>
      <c r="E14" s="1461">
        <f>TRESORERIA!E22</f>
        <v>0</v>
      </c>
      <c r="F14" s="1461">
        <f>TRESORERIA!F22</f>
        <v>0</v>
      </c>
      <c r="G14" s="1461">
        <f>TRESORERIA!G22</f>
        <v>0</v>
      </c>
      <c r="H14" s="1461">
        <f>TRESORERIA!H22</f>
        <v>0</v>
      </c>
      <c r="I14" s="1461">
        <f>TRESORERIA!I22</f>
        <v>0</v>
      </c>
      <c r="J14" s="1461">
        <f>TRESORERIA!J22</f>
        <v>0</v>
      </c>
      <c r="K14" s="1461">
        <f>TRESORERIA!K22</f>
        <v>0</v>
      </c>
      <c r="L14" s="1461">
        <f>TRESORERIA!L22</f>
        <v>0</v>
      </c>
      <c r="M14" s="1461">
        <f>TRESORERIA!M22</f>
        <v>0</v>
      </c>
      <c r="N14" s="1461">
        <f>TRESORERIA!N22</f>
        <v>0</v>
      </c>
      <c r="O14" s="1462">
        <f>TRESORERIA!O22</f>
        <v>0</v>
      </c>
    </row>
    <row r="15" spans="1:15" hidden="1" x14ac:dyDescent="0.25">
      <c r="A15" s="1950" t="s">
        <v>345</v>
      </c>
      <c r="B15" s="1950"/>
      <c r="C15" s="1463">
        <f>TRESORERIA!C23</f>
        <v>0</v>
      </c>
      <c r="D15" s="1463">
        <f>TRESORERIA!D23</f>
        <v>0</v>
      </c>
      <c r="E15" s="1463">
        <f>TRESORERIA!E23</f>
        <v>0</v>
      </c>
      <c r="F15" s="1463">
        <f>TRESORERIA!F23</f>
        <v>0</v>
      </c>
      <c r="G15" s="1463">
        <f>TRESORERIA!G23</f>
        <v>0</v>
      </c>
      <c r="H15" s="1463">
        <f>TRESORERIA!H23</f>
        <v>0</v>
      </c>
      <c r="I15" s="1463">
        <f>TRESORERIA!I23</f>
        <v>0</v>
      </c>
      <c r="J15" s="1463">
        <f>TRESORERIA!J23</f>
        <v>0</v>
      </c>
      <c r="K15" s="1463">
        <f>TRESORERIA!K23</f>
        <v>0</v>
      </c>
      <c r="L15" s="1463">
        <f>TRESORERIA!L23</f>
        <v>0</v>
      </c>
      <c r="M15" s="1463">
        <f>TRESORERIA!M23</f>
        <v>0</v>
      </c>
      <c r="N15" s="1463">
        <f>TRESORERIA!N23</f>
        <v>0</v>
      </c>
      <c r="O15" s="1463">
        <f>TRESORERIA!O23</f>
        <v>0</v>
      </c>
    </row>
    <row r="16" spans="1:15" hidden="1" x14ac:dyDescent="0.25">
      <c r="A16" s="1952" t="s">
        <v>442</v>
      </c>
      <c r="B16" s="1952"/>
      <c r="C16" s="1466">
        <f>TRESORERIA!C24</f>
        <v>0</v>
      </c>
      <c r="D16" s="1466">
        <f>TRESORERIA!D24</f>
        <v>0</v>
      </c>
      <c r="E16" s="1466">
        <f>TRESORERIA!E24</f>
        <v>0</v>
      </c>
      <c r="F16" s="1466">
        <f>TRESORERIA!F24</f>
        <v>0</v>
      </c>
      <c r="G16" s="1466">
        <f>TRESORERIA!G24</f>
        <v>0</v>
      </c>
      <c r="H16" s="1466">
        <f>TRESORERIA!H24</f>
        <v>0</v>
      </c>
      <c r="I16" s="1466">
        <f>TRESORERIA!I24</f>
        <v>0</v>
      </c>
      <c r="J16" s="1466">
        <f>TRESORERIA!J24</f>
        <v>0</v>
      </c>
      <c r="K16" s="1466">
        <f>TRESORERIA!K24</f>
        <v>0</v>
      </c>
      <c r="L16" s="1466">
        <f>TRESORERIA!L24</f>
        <v>0</v>
      </c>
      <c r="M16" s="1466">
        <f>TRESORERIA!M24</f>
        <v>0</v>
      </c>
      <c r="N16" s="1466">
        <f>TRESORERIA!N24</f>
        <v>0</v>
      </c>
      <c r="O16" s="1466">
        <f>TRESORERIA!O24</f>
        <v>0</v>
      </c>
    </row>
    <row r="17" spans="1:15" ht="13" x14ac:dyDescent="0.25">
      <c r="A17" s="1951" t="s">
        <v>444</v>
      </c>
      <c r="B17" s="1951"/>
      <c r="C17" s="1467">
        <f>TRESORERIA!C26</f>
        <v>0</v>
      </c>
      <c r="D17" s="1467">
        <f>TRESORERIA!D26</f>
        <v>0</v>
      </c>
      <c r="E17" s="1467">
        <f>TRESORERIA!E26</f>
        <v>0</v>
      </c>
      <c r="F17" s="1467">
        <f>TRESORERIA!F26</f>
        <v>0</v>
      </c>
      <c r="G17" s="1467">
        <f>TRESORERIA!G26</f>
        <v>0</v>
      </c>
      <c r="H17" s="1467">
        <f>TRESORERIA!H26</f>
        <v>0</v>
      </c>
      <c r="I17" s="1467">
        <f>TRESORERIA!I26</f>
        <v>0</v>
      </c>
      <c r="J17" s="1467">
        <f>TRESORERIA!J26</f>
        <v>0</v>
      </c>
      <c r="K17" s="1467">
        <f>TRESORERIA!K26</f>
        <v>0</v>
      </c>
      <c r="L17" s="1467">
        <f>TRESORERIA!L26</f>
        <v>0</v>
      </c>
      <c r="M17" s="1467">
        <f>TRESORERIA!M26</f>
        <v>0</v>
      </c>
      <c r="N17" s="1467">
        <f>TRESORERIA!N26</f>
        <v>0</v>
      </c>
      <c r="O17" s="1468">
        <f>TRESORERIA!O26</f>
        <v>0</v>
      </c>
    </row>
    <row r="18" spans="1:15" x14ac:dyDescent="0.25">
      <c r="A18" s="1953" t="s">
        <v>164</v>
      </c>
      <c r="B18" s="1953"/>
      <c r="C18" s="1469">
        <f>TRESORERIA!C27</f>
        <v>0</v>
      </c>
      <c r="D18" s="1469">
        <f>TRESORERIA!D27</f>
        <v>0</v>
      </c>
      <c r="E18" s="1469">
        <f>TRESORERIA!E27</f>
        <v>0</v>
      </c>
      <c r="F18" s="1469">
        <f>TRESORERIA!F27</f>
        <v>0</v>
      </c>
      <c r="G18" s="1469">
        <f>TRESORERIA!G27</f>
        <v>0</v>
      </c>
      <c r="H18" s="1469">
        <f>TRESORERIA!H27</f>
        <v>0</v>
      </c>
      <c r="I18" s="1469">
        <f>TRESORERIA!I27</f>
        <v>0</v>
      </c>
      <c r="J18" s="1469">
        <f>TRESORERIA!J27</f>
        <v>0</v>
      </c>
      <c r="K18" s="1469">
        <f>TRESORERIA!K27</f>
        <v>0</v>
      </c>
      <c r="L18" s="1469">
        <f>TRESORERIA!L27</f>
        <v>0</v>
      </c>
      <c r="M18" s="1469">
        <f>TRESORERIA!M27</f>
        <v>0</v>
      </c>
      <c r="N18" s="1469">
        <f>TRESORERIA!N27</f>
        <v>0</v>
      </c>
      <c r="O18" s="1470">
        <f>TRESORERIA!O27</f>
        <v>0</v>
      </c>
    </row>
    <row r="19" spans="1:15" x14ac:dyDescent="0.25">
      <c r="A19" s="1955" t="s">
        <v>716</v>
      </c>
      <c r="B19" s="1956"/>
      <c r="C19" s="1469">
        <f>+TRESORERIA!C28</f>
        <v>0</v>
      </c>
      <c r="D19" s="1469">
        <f>+TRESORERIA!D28</f>
        <v>0</v>
      </c>
      <c r="E19" s="1469">
        <f>+TRESORERIA!E28</f>
        <v>0</v>
      </c>
      <c r="F19" s="1469">
        <f>+TRESORERIA!F28</f>
        <v>0</v>
      </c>
      <c r="G19" s="1469">
        <f>+TRESORERIA!G28</f>
        <v>0</v>
      </c>
      <c r="H19" s="1469">
        <f>+TRESORERIA!H28</f>
        <v>0</v>
      </c>
      <c r="I19" s="1469">
        <f>+TRESORERIA!I28</f>
        <v>0</v>
      </c>
      <c r="J19" s="1469">
        <f>+TRESORERIA!J28</f>
        <v>0</v>
      </c>
      <c r="K19" s="1469">
        <f>+TRESORERIA!K28</f>
        <v>0</v>
      </c>
      <c r="L19" s="1469">
        <f>+TRESORERIA!L28</f>
        <v>0</v>
      </c>
      <c r="M19" s="1469">
        <f>+TRESORERIA!M28</f>
        <v>0</v>
      </c>
      <c r="N19" s="1469">
        <f>+TRESORERIA!N28</f>
        <v>0</v>
      </c>
      <c r="O19" s="1469">
        <f>+TRESORERIA!O28</f>
        <v>0</v>
      </c>
    </row>
    <row r="20" spans="1:15" x14ac:dyDescent="0.25">
      <c r="A20" s="1954" t="s">
        <v>445</v>
      </c>
      <c r="B20" s="1954"/>
      <c r="C20" s="1471">
        <f>TRESORERIA!C29</f>
        <v>0</v>
      </c>
      <c r="D20" s="1471">
        <f>TRESORERIA!D29</f>
        <v>0</v>
      </c>
      <c r="E20" s="1471">
        <f>TRESORERIA!E29</f>
        <v>0</v>
      </c>
      <c r="F20" s="1471">
        <f>TRESORERIA!F29</f>
        <v>0</v>
      </c>
      <c r="G20" s="1471">
        <f>TRESORERIA!G29</f>
        <v>0</v>
      </c>
      <c r="H20" s="1471">
        <f>TRESORERIA!H29</f>
        <v>0</v>
      </c>
      <c r="I20" s="1471">
        <f>TRESORERIA!I29</f>
        <v>0</v>
      </c>
      <c r="J20" s="1471">
        <f>TRESORERIA!J29</f>
        <v>0</v>
      </c>
      <c r="K20" s="1471">
        <f>TRESORERIA!K29</f>
        <v>0</v>
      </c>
      <c r="L20" s="1471">
        <f>TRESORERIA!L29</f>
        <v>0</v>
      </c>
      <c r="M20" s="1471">
        <f>TRESORERIA!M29</f>
        <v>0</v>
      </c>
      <c r="N20" s="1471">
        <f>TRESORERIA!N29</f>
        <v>0</v>
      </c>
      <c r="O20" s="1472">
        <f>TRESORERIA!O29</f>
        <v>0</v>
      </c>
    </row>
    <row r="21" spans="1:15" x14ac:dyDescent="0.25">
      <c r="A21" s="1954" t="s">
        <v>537</v>
      </c>
      <c r="B21" s="1954"/>
      <c r="C21" s="1471">
        <f>TRESORERIA!C30</f>
        <v>0</v>
      </c>
      <c r="D21" s="1471">
        <f>TRESORERIA!D30</f>
        <v>0</v>
      </c>
      <c r="E21" s="1471">
        <f>TRESORERIA!E30</f>
        <v>0</v>
      </c>
      <c r="F21" s="1471">
        <f>TRESORERIA!F30</f>
        <v>0</v>
      </c>
      <c r="G21" s="1471">
        <f>TRESORERIA!G30</f>
        <v>0</v>
      </c>
      <c r="H21" s="1471">
        <f>TRESORERIA!H30</f>
        <v>0</v>
      </c>
      <c r="I21" s="1471">
        <f>TRESORERIA!I30</f>
        <v>0</v>
      </c>
      <c r="J21" s="1471">
        <f>TRESORERIA!J30</f>
        <v>0</v>
      </c>
      <c r="K21" s="1471">
        <f>TRESORERIA!K30</f>
        <v>0</v>
      </c>
      <c r="L21" s="1471">
        <f>TRESORERIA!L30</f>
        <v>0</v>
      </c>
      <c r="M21" s="1471">
        <f>TRESORERIA!M30</f>
        <v>0</v>
      </c>
      <c r="N21" s="1471">
        <f>TRESORERIA!N30</f>
        <v>0</v>
      </c>
      <c r="O21" s="1472">
        <f>TRESORERIA!O30</f>
        <v>0</v>
      </c>
    </row>
    <row r="22" spans="1:15" x14ac:dyDescent="0.25">
      <c r="A22" s="1954" t="s">
        <v>447</v>
      </c>
      <c r="B22" s="1954"/>
      <c r="C22" s="1471">
        <f>TRESORERIA!C31</f>
        <v>0</v>
      </c>
      <c r="D22" s="1471">
        <f>TRESORERIA!D31</f>
        <v>0</v>
      </c>
      <c r="E22" s="1471">
        <f>TRESORERIA!E31</f>
        <v>0</v>
      </c>
      <c r="F22" s="1471">
        <f>TRESORERIA!F31</f>
        <v>0</v>
      </c>
      <c r="G22" s="1471">
        <f>TRESORERIA!G31</f>
        <v>0</v>
      </c>
      <c r="H22" s="1471">
        <f>TRESORERIA!H31</f>
        <v>0</v>
      </c>
      <c r="I22" s="1471">
        <f>TRESORERIA!I31</f>
        <v>0</v>
      </c>
      <c r="J22" s="1471">
        <f>TRESORERIA!J31</f>
        <v>0</v>
      </c>
      <c r="K22" s="1471">
        <f>TRESORERIA!K31</f>
        <v>0</v>
      </c>
      <c r="L22" s="1471">
        <f>TRESORERIA!L31</f>
        <v>0</v>
      </c>
      <c r="M22" s="1471">
        <f>TRESORERIA!M31</f>
        <v>0</v>
      </c>
      <c r="N22" s="1471">
        <f>TRESORERIA!N31</f>
        <v>0</v>
      </c>
      <c r="O22" s="1472">
        <f>TRESORERIA!O31</f>
        <v>0</v>
      </c>
    </row>
    <row r="23" spans="1:15" x14ac:dyDescent="0.25">
      <c r="A23" s="1954" t="s">
        <v>448</v>
      </c>
      <c r="B23" s="1954"/>
      <c r="C23" s="1471">
        <f>TRESORERIA!C32</f>
        <v>0</v>
      </c>
      <c r="D23" s="1471">
        <f>TRESORERIA!D32</f>
        <v>0</v>
      </c>
      <c r="E23" s="1471">
        <f>TRESORERIA!E32</f>
        <v>0</v>
      </c>
      <c r="F23" s="1471">
        <f>TRESORERIA!F32</f>
        <v>0</v>
      </c>
      <c r="G23" s="1471">
        <f>TRESORERIA!G32</f>
        <v>0</v>
      </c>
      <c r="H23" s="1471">
        <f>TRESORERIA!H32</f>
        <v>0</v>
      </c>
      <c r="I23" s="1471">
        <f>TRESORERIA!I32</f>
        <v>0</v>
      </c>
      <c r="J23" s="1471">
        <f>TRESORERIA!J32</f>
        <v>0</v>
      </c>
      <c r="K23" s="1471">
        <f>TRESORERIA!K32</f>
        <v>0</v>
      </c>
      <c r="L23" s="1471">
        <f>TRESORERIA!L32</f>
        <v>0</v>
      </c>
      <c r="M23" s="1471">
        <f>TRESORERIA!M32</f>
        <v>0</v>
      </c>
      <c r="N23" s="1471">
        <f>TRESORERIA!N32</f>
        <v>0</v>
      </c>
      <c r="O23" s="1472">
        <f>TRESORERIA!O32</f>
        <v>0</v>
      </c>
    </row>
    <row r="24" spans="1:15" x14ac:dyDescent="0.25">
      <c r="A24" s="1954" t="s">
        <v>449</v>
      </c>
      <c r="B24" s="1954"/>
      <c r="C24" s="1471">
        <f>TRESORERIA!C33</f>
        <v>0</v>
      </c>
      <c r="D24" s="1471">
        <f>TRESORERIA!D33</f>
        <v>0</v>
      </c>
      <c r="E24" s="1471">
        <f>TRESORERIA!E33</f>
        <v>0</v>
      </c>
      <c r="F24" s="1471">
        <f>TRESORERIA!F33</f>
        <v>0</v>
      </c>
      <c r="G24" s="1471">
        <f>TRESORERIA!G33</f>
        <v>0</v>
      </c>
      <c r="H24" s="1471">
        <f>TRESORERIA!H33</f>
        <v>0</v>
      </c>
      <c r="I24" s="1471">
        <f>TRESORERIA!I33</f>
        <v>0</v>
      </c>
      <c r="J24" s="1471">
        <f>TRESORERIA!J33</f>
        <v>0</v>
      </c>
      <c r="K24" s="1471">
        <f>TRESORERIA!K33</f>
        <v>0</v>
      </c>
      <c r="L24" s="1471">
        <f>TRESORERIA!L33</f>
        <v>0</v>
      </c>
      <c r="M24" s="1471">
        <f>TRESORERIA!M33</f>
        <v>0</v>
      </c>
      <c r="N24" s="1471">
        <f>TRESORERIA!N33</f>
        <v>0</v>
      </c>
      <c r="O24" s="1472">
        <f>TRESORERIA!O33</f>
        <v>0</v>
      </c>
    </row>
    <row r="25" spans="1:15" x14ac:dyDescent="0.25">
      <c r="A25" s="1954" t="s">
        <v>413</v>
      </c>
      <c r="B25" s="1954"/>
      <c r="C25" s="1471">
        <f>TRESORERIA!C34</f>
        <v>0</v>
      </c>
      <c r="D25" s="1471">
        <f>TRESORERIA!D34</f>
        <v>0</v>
      </c>
      <c r="E25" s="1471">
        <f>TRESORERIA!E34</f>
        <v>0</v>
      </c>
      <c r="F25" s="1471">
        <f>TRESORERIA!F34</f>
        <v>0</v>
      </c>
      <c r="G25" s="1471">
        <f>TRESORERIA!G34</f>
        <v>0</v>
      </c>
      <c r="H25" s="1471">
        <f>TRESORERIA!H34</f>
        <v>0</v>
      </c>
      <c r="I25" s="1471">
        <f>TRESORERIA!I34</f>
        <v>0</v>
      </c>
      <c r="J25" s="1471">
        <f>TRESORERIA!J34</f>
        <v>0</v>
      </c>
      <c r="K25" s="1471">
        <f>TRESORERIA!K34</f>
        <v>0</v>
      </c>
      <c r="L25" s="1471">
        <f>TRESORERIA!L34</f>
        <v>0</v>
      </c>
      <c r="M25" s="1471">
        <f>TRESORERIA!M34</f>
        <v>0</v>
      </c>
      <c r="N25" s="1471">
        <f>TRESORERIA!N34</f>
        <v>0</v>
      </c>
      <c r="O25" s="1472">
        <f>TRESORERIA!O34</f>
        <v>0</v>
      </c>
    </row>
    <row r="26" spans="1:15" x14ac:dyDescent="0.25">
      <c r="A26" s="1954" t="s">
        <v>451</v>
      </c>
      <c r="B26" s="1954"/>
      <c r="C26" s="1471">
        <f>TRESORERIA!C35</f>
        <v>0</v>
      </c>
      <c r="D26" s="1471">
        <f>TRESORERIA!D35</f>
        <v>0</v>
      </c>
      <c r="E26" s="1471">
        <f>TRESORERIA!E35</f>
        <v>0</v>
      </c>
      <c r="F26" s="1471">
        <f>TRESORERIA!F35</f>
        <v>0</v>
      </c>
      <c r="G26" s="1471">
        <f>TRESORERIA!G35</f>
        <v>0</v>
      </c>
      <c r="H26" s="1471">
        <f>TRESORERIA!H35</f>
        <v>0</v>
      </c>
      <c r="I26" s="1471">
        <f>TRESORERIA!I35</f>
        <v>0</v>
      </c>
      <c r="J26" s="1471">
        <f>TRESORERIA!J35</f>
        <v>0</v>
      </c>
      <c r="K26" s="1471">
        <f>TRESORERIA!K35</f>
        <v>0</v>
      </c>
      <c r="L26" s="1471">
        <f>TRESORERIA!L35</f>
        <v>0</v>
      </c>
      <c r="M26" s="1471">
        <f>TRESORERIA!M35</f>
        <v>0</v>
      </c>
      <c r="N26" s="1471">
        <f>TRESORERIA!N35</f>
        <v>0</v>
      </c>
      <c r="O26" s="1472">
        <f>TRESORERIA!O35</f>
        <v>0</v>
      </c>
    </row>
    <row r="27" spans="1:15" x14ac:dyDescent="0.25">
      <c r="A27" s="1922" t="s">
        <v>452</v>
      </c>
      <c r="B27" s="1922"/>
      <c r="C27" s="1471">
        <f>TRESORERIA!C36</f>
        <v>0</v>
      </c>
      <c r="D27" s="1471">
        <f>TRESORERIA!D36</f>
        <v>0</v>
      </c>
      <c r="E27" s="1471">
        <f>TRESORERIA!E36</f>
        <v>0</v>
      </c>
      <c r="F27" s="1471">
        <f>TRESORERIA!F36</f>
        <v>0</v>
      </c>
      <c r="G27" s="1471">
        <f>TRESORERIA!G36</f>
        <v>0</v>
      </c>
      <c r="H27" s="1471">
        <f>TRESORERIA!H36</f>
        <v>0</v>
      </c>
      <c r="I27" s="1471">
        <f>TRESORERIA!I36</f>
        <v>0</v>
      </c>
      <c r="J27" s="1471">
        <f>TRESORERIA!J36</f>
        <v>0</v>
      </c>
      <c r="K27" s="1471">
        <f>TRESORERIA!K36</f>
        <v>0</v>
      </c>
      <c r="L27" s="1471">
        <f>TRESORERIA!L36</f>
        <v>0</v>
      </c>
      <c r="M27" s="1471">
        <f>TRESORERIA!M36</f>
        <v>0</v>
      </c>
      <c r="N27" s="1471">
        <f>TRESORERIA!N36</f>
        <v>0</v>
      </c>
      <c r="O27" s="1472">
        <f>TRESORERIA!O36</f>
        <v>0</v>
      </c>
    </row>
    <row r="28" spans="1:15" x14ac:dyDescent="0.25">
      <c r="A28" s="1922" t="s">
        <v>453</v>
      </c>
      <c r="B28" s="1922"/>
      <c r="C28" s="1327">
        <f>TRESORERIA!C37</f>
        <v>0</v>
      </c>
      <c r="D28" s="1327">
        <f>TRESORERIA!D37</f>
        <v>0</v>
      </c>
      <c r="E28" s="1327">
        <f>TRESORERIA!E37</f>
        <v>0</v>
      </c>
      <c r="F28" s="1327">
        <f>TRESORERIA!F37</f>
        <v>0</v>
      </c>
      <c r="G28" s="1327">
        <f>TRESORERIA!G37</f>
        <v>0</v>
      </c>
      <c r="H28" s="1327">
        <f>TRESORERIA!H37</f>
        <v>0</v>
      </c>
      <c r="I28" s="1327">
        <f>TRESORERIA!I37</f>
        <v>0</v>
      </c>
      <c r="J28" s="1327">
        <f>TRESORERIA!J37</f>
        <v>0</v>
      </c>
      <c r="K28" s="1327">
        <f>TRESORERIA!K37</f>
        <v>0</v>
      </c>
      <c r="L28" s="1327">
        <f>TRESORERIA!L37</f>
        <v>0</v>
      </c>
      <c r="M28" s="1327">
        <f>TRESORERIA!M37</f>
        <v>0</v>
      </c>
      <c r="N28" s="1327">
        <f>TRESORERIA!N37</f>
        <v>0</v>
      </c>
      <c r="O28" s="1335">
        <f>TRESORERIA!O37</f>
        <v>0</v>
      </c>
    </row>
    <row r="29" spans="1:15" ht="13" x14ac:dyDescent="0.25">
      <c r="A29" s="1949" t="s">
        <v>454</v>
      </c>
      <c r="B29" s="1949"/>
      <c r="C29" s="1467">
        <f>TRESORERIA!C38</f>
        <v>0</v>
      </c>
      <c r="D29" s="1467">
        <f>TRESORERIA!D38</f>
        <v>0</v>
      </c>
      <c r="E29" s="1467">
        <f>TRESORERIA!E38</f>
        <v>0</v>
      </c>
      <c r="F29" s="1467">
        <f>TRESORERIA!F38</f>
        <v>0</v>
      </c>
      <c r="G29" s="1467">
        <f>TRESORERIA!G38</f>
        <v>0</v>
      </c>
      <c r="H29" s="1467">
        <f>TRESORERIA!H38</f>
        <v>0</v>
      </c>
      <c r="I29" s="1467">
        <f>TRESORERIA!I38</f>
        <v>0</v>
      </c>
      <c r="J29" s="1467">
        <f>TRESORERIA!J38</f>
        <v>0</v>
      </c>
      <c r="K29" s="1467">
        <f>TRESORERIA!K38</f>
        <v>0</v>
      </c>
      <c r="L29" s="1467">
        <f>TRESORERIA!L38</f>
        <v>0</v>
      </c>
      <c r="M29" s="1467">
        <f>TRESORERIA!M38</f>
        <v>0</v>
      </c>
      <c r="N29" s="1467">
        <f>TRESORERIA!N38</f>
        <v>0</v>
      </c>
      <c r="O29" s="1468">
        <f>TRESORERIA!O38</f>
        <v>0</v>
      </c>
    </row>
    <row r="30" spans="1:15" x14ac:dyDescent="0.25">
      <c r="A30" s="1954" t="s">
        <v>455</v>
      </c>
      <c r="B30" s="1954"/>
      <c r="C30" s="1469">
        <f>TRESORERIA!C39</f>
        <v>0</v>
      </c>
      <c r="D30" s="1469">
        <f>TRESORERIA!D39</f>
        <v>0</v>
      </c>
      <c r="E30" s="1469">
        <f>TRESORERIA!E39</f>
        <v>0</v>
      </c>
      <c r="F30" s="1469">
        <f>TRESORERIA!F39</f>
        <v>0</v>
      </c>
      <c r="G30" s="1469">
        <f>TRESORERIA!G39</f>
        <v>0</v>
      </c>
      <c r="H30" s="1469">
        <f>TRESORERIA!H39</f>
        <v>0</v>
      </c>
      <c r="I30" s="1469">
        <f>TRESORERIA!I39</f>
        <v>0</v>
      </c>
      <c r="J30" s="1469">
        <f>TRESORERIA!J39</f>
        <v>0</v>
      </c>
      <c r="K30" s="1469">
        <f>TRESORERIA!K39</f>
        <v>0</v>
      </c>
      <c r="L30" s="1469">
        <f>TRESORERIA!L39</f>
        <v>0</v>
      </c>
      <c r="M30" s="1469">
        <f>TRESORERIA!M39</f>
        <v>0</v>
      </c>
      <c r="N30" s="1469">
        <f>TRESORERIA!N39</f>
        <v>0</v>
      </c>
      <c r="O30" s="1470">
        <f>TRESORERIA!O39</f>
        <v>0</v>
      </c>
    </row>
    <row r="31" spans="1:15" x14ac:dyDescent="0.25">
      <c r="A31" s="1957" t="s">
        <v>456</v>
      </c>
      <c r="B31" s="1957"/>
      <c r="C31" s="1471">
        <f>TRESORERIA!C40</f>
        <v>0</v>
      </c>
      <c r="D31" s="1471">
        <f>TRESORERIA!D40</f>
        <v>0</v>
      </c>
      <c r="E31" s="1471">
        <f>TRESORERIA!E40</f>
        <v>0</v>
      </c>
      <c r="F31" s="1471">
        <f>TRESORERIA!F40</f>
        <v>0</v>
      </c>
      <c r="G31" s="1471">
        <f>TRESORERIA!G40</f>
        <v>0</v>
      </c>
      <c r="H31" s="1471">
        <f>TRESORERIA!H40</f>
        <v>0</v>
      </c>
      <c r="I31" s="1471">
        <f>TRESORERIA!I40</f>
        <v>0</v>
      </c>
      <c r="J31" s="1471">
        <f>TRESORERIA!J40</f>
        <v>0</v>
      </c>
      <c r="K31" s="1471">
        <f>TRESORERIA!K40</f>
        <v>0</v>
      </c>
      <c r="L31" s="1471">
        <f>TRESORERIA!L40</f>
        <v>0</v>
      </c>
      <c r="M31" s="1471">
        <f>TRESORERIA!M40</f>
        <v>0</v>
      </c>
      <c r="N31" s="1471">
        <f>TRESORERIA!N40</f>
        <v>0</v>
      </c>
      <c r="O31" s="1472">
        <f>TRESORERIA!O40</f>
        <v>0</v>
      </c>
    </row>
    <row r="32" spans="1:15" x14ac:dyDescent="0.25">
      <c r="A32" s="1957" t="s">
        <v>75</v>
      </c>
      <c r="B32" s="1957"/>
      <c r="C32" s="1471">
        <f>TRESORERIA!C41</f>
        <v>0</v>
      </c>
      <c r="D32" s="1471">
        <f>TRESORERIA!D41</f>
        <v>0</v>
      </c>
      <c r="E32" s="1471">
        <f>TRESORERIA!E41</f>
        <v>0</v>
      </c>
      <c r="F32" s="1471">
        <f>TRESORERIA!F41</f>
        <v>0</v>
      </c>
      <c r="G32" s="1471">
        <f>TRESORERIA!G41</f>
        <v>0</v>
      </c>
      <c r="H32" s="1471">
        <f>TRESORERIA!H41</f>
        <v>0</v>
      </c>
      <c r="I32" s="1471">
        <f>TRESORERIA!I41</f>
        <v>0</v>
      </c>
      <c r="J32" s="1471">
        <f>TRESORERIA!J41</f>
        <v>0</v>
      </c>
      <c r="K32" s="1471">
        <f>TRESORERIA!K41</f>
        <v>0</v>
      </c>
      <c r="L32" s="1471">
        <f>TRESORERIA!L41</f>
        <v>0</v>
      </c>
      <c r="M32" s="1471">
        <f>TRESORERIA!M41</f>
        <v>0</v>
      </c>
      <c r="N32" s="1471">
        <f>TRESORERIA!N41</f>
        <v>0</v>
      </c>
      <c r="O32" s="1472">
        <f>TRESORERIA!O41</f>
        <v>0</v>
      </c>
    </row>
    <row r="33" spans="1:15" x14ac:dyDescent="0.25">
      <c r="A33" s="1954" t="s">
        <v>457</v>
      </c>
      <c r="B33" s="1954"/>
      <c r="C33" s="1471">
        <f>TRESORERIA!C42</f>
        <v>0</v>
      </c>
      <c r="D33" s="1471">
        <f>TRESORERIA!D42</f>
        <v>0</v>
      </c>
      <c r="E33" s="1471">
        <f>TRESORERIA!E42</f>
        <v>0</v>
      </c>
      <c r="F33" s="1471">
        <f>TRESORERIA!F42</f>
        <v>0</v>
      </c>
      <c r="G33" s="1471">
        <f>TRESORERIA!G42</f>
        <v>0</v>
      </c>
      <c r="H33" s="1471">
        <f>TRESORERIA!H42</f>
        <v>0</v>
      </c>
      <c r="I33" s="1471">
        <f>TRESORERIA!I42</f>
        <v>0</v>
      </c>
      <c r="J33" s="1471">
        <f>TRESORERIA!J42</f>
        <v>0</v>
      </c>
      <c r="K33" s="1471">
        <f>TRESORERIA!K42</f>
        <v>0</v>
      </c>
      <c r="L33" s="1471">
        <f>TRESORERIA!L42</f>
        <v>0</v>
      </c>
      <c r="M33" s="1471">
        <f>TRESORERIA!M42</f>
        <v>0</v>
      </c>
      <c r="N33" s="1471">
        <f>TRESORERIA!N42</f>
        <v>0</v>
      </c>
      <c r="O33" s="1472">
        <f>TRESORERIA!O42</f>
        <v>0</v>
      </c>
    </row>
    <row r="34" spans="1:15" x14ac:dyDescent="0.25">
      <c r="A34" s="1957" t="s">
        <v>458</v>
      </c>
      <c r="B34" s="1957"/>
      <c r="C34" s="1471">
        <f>TRESORERIA!C43</f>
        <v>0</v>
      </c>
      <c r="D34" s="1471">
        <f>TRESORERIA!D43</f>
        <v>0</v>
      </c>
      <c r="E34" s="1471">
        <f>TRESORERIA!E43</f>
        <v>0</v>
      </c>
      <c r="F34" s="1471">
        <f>TRESORERIA!F43</f>
        <v>0</v>
      </c>
      <c r="G34" s="1471">
        <f>TRESORERIA!G43</f>
        <v>0</v>
      </c>
      <c r="H34" s="1471">
        <f>TRESORERIA!H43</f>
        <v>0</v>
      </c>
      <c r="I34" s="1471">
        <f>TRESORERIA!I43</f>
        <v>0</v>
      </c>
      <c r="J34" s="1471">
        <f>TRESORERIA!J43</f>
        <v>0</v>
      </c>
      <c r="K34" s="1471">
        <f>TRESORERIA!K43</f>
        <v>0</v>
      </c>
      <c r="L34" s="1471">
        <f>TRESORERIA!L43</f>
        <v>0</v>
      </c>
      <c r="M34" s="1471">
        <f>TRESORERIA!M43</f>
        <v>0</v>
      </c>
      <c r="N34" s="1471">
        <f>TRESORERIA!N43</f>
        <v>0</v>
      </c>
      <c r="O34" s="1472">
        <f>TRESORERIA!O43</f>
        <v>0</v>
      </c>
    </row>
    <row r="35" spans="1:15" x14ac:dyDescent="0.25">
      <c r="A35" s="1957" t="s">
        <v>456</v>
      </c>
      <c r="B35" s="1957"/>
      <c r="C35" s="1471">
        <f>TRESORERIA!C44</f>
        <v>0</v>
      </c>
      <c r="D35" s="1471">
        <f>TRESORERIA!D44</f>
        <v>0</v>
      </c>
      <c r="E35" s="1471">
        <f>TRESORERIA!E44</f>
        <v>0</v>
      </c>
      <c r="F35" s="1471">
        <f>TRESORERIA!F44</f>
        <v>0</v>
      </c>
      <c r="G35" s="1471">
        <f>TRESORERIA!G44</f>
        <v>0</v>
      </c>
      <c r="H35" s="1471">
        <f>TRESORERIA!H44</f>
        <v>0</v>
      </c>
      <c r="I35" s="1471">
        <f>TRESORERIA!I44</f>
        <v>0</v>
      </c>
      <c r="J35" s="1471">
        <f>TRESORERIA!J44</f>
        <v>0</v>
      </c>
      <c r="K35" s="1471">
        <f>TRESORERIA!K44</f>
        <v>0</v>
      </c>
      <c r="L35" s="1471">
        <f>TRESORERIA!L44</f>
        <v>0</v>
      </c>
      <c r="M35" s="1471">
        <f>TRESORERIA!M44</f>
        <v>0</v>
      </c>
      <c r="N35" s="1471">
        <f>TRESORERIA!N44</f>
        <v>0</v>
      </c>
      <c r="O35" s="1472">
        <f>TRESORERIA!O44</f>
        <v>0</v>
      </c>
    </row>
    <row r="36" spans="1:15" x14ac:dyDescent="0.25">
      <c r="A36" s="1957" t="s">
        <v>75</v>
      </c>
      <c r="B36" s="1957"/>
      <c r="C36" s="1327">
        <f>TRESORERIA!C45</f>
        <v>0</v>
      </c>
      <c r="D36" s="1327">
        <f>TRESORERIA!D45</f>
        <v>0</v>
      </c>
      <c r="E36" s="1327">
        <f>TRESORERIA!E45</f>
        <v>0</v>
      </c>
      <c r="F36" s="1327">
        <f>TRESORERIA!F45</f>
        <v>0</v>
      </c>
      <c r="G36" s="1327">
        <f>TRESORERIA!G45</f>
        <v>0</v>
      </c>
      <c r="H36" s="1327">
        <f>TRESORERIA!H45</f>
        <v>0</v>
      </c>
      <c r="I36" s="1327">
        <f>TRESORERIA!I45</f>
        <v>0</v>
      </c>
      <c r="J36" s="1327">
        <f>TRESORERIA!J45</f>
        <v>0</v>
      </c>
      <c r="K36" s="1327">
        <f>TRESORERIA!K45</f>
        <v>0</v>
      </c>
      <c r="L36" s="1327">
        <f>TRESORERIA!L45</f>
        <v>0</v>
      </c>
      <c r="M36" s="1327">
        <f>TRESORERIA!M45</f>
        <v>0</v>
      </c>
      <c r="N36" s="1327">
        <f>TRESORERIA!N45</f>
        <v>0</v>
      </c>
      <c r="O36" s="1335">
        <f>TRESORERIA!O45</f>
        <v>0</v>
      </c>
    </row>
    <row r="37" spans="1:15" ht="13" x14ac:dyDescent="0.25">
      <c r="A37" s="1949" t="s">
        <v>538</v>
      </c>
      <c r="B37" s="1949"/>
      <c r="C37" s="1467">
        <f>TRESORERIA!C46</f>
        <v>0</v>
      </c>
      <c r="D37" s="1467">
        <f>TRESORERIA!D46</f>
        <v>0</v>
      </c>
      <c r="E37" s="1467">
        <f>TRESORERIA!E46</f>
        <v>0</v>
      </c>
      <c r="F37" s="1467">
        <f>TRESORERIA!F46</f>
        <v>0</v>
      </c>
      <c r="G37" s="1467">
        <f>TRESORERIA!G46</f>
        <v>0</v>
      </c>
      <c r="H37" s="1467">
        <f>TRESORERIA!H46</f>
        <v>0</v>
      </c>
      <c r="I37" s="1467">
        <f>TRESORERIA!I46</f>
        <v>0</v>
      </c>
      <c r="J37" s="1467">
        <f>TRESORERIA!J46</f>
        <v>0</v>
      </c>
      <c r="K37" s="1467">
        <f>TRESORERIA!K46</f>
        <v>0</v>
      </c>
      <c r="L37" s="1467">
        <f>TRESORERIA!L46</f>
        <v>0</v>
      </c>
      <c r="M37" s="1467">
        <f>TRESORERIA!M46</f>
        <v>0</v>
      </c>
      <c r="N37" s="1467">
        <f>TRESORERIA!N46</f>
        <v>0</v>
      </c>
      <c r="O37" s="1468">
        <f>TRESORERIA!O46</f>
        <v>0</v>
      </c>
    </row>
    <row r="38" spans="1:15" x14ac:dyDescent="0.25">
      <c r="A38" s="1958" t="s">
        <v>392</v>
      </c>
      <c r="B38" s="1958"/>
      <c r="C38" s="1469">
        <f>TRESORERIA!C47</f>
        <v>0</v>
      </c>
      <c r="D38" s="1469">
        <f>TRESORERIA!D47</f>
        <v>0</v>
      </c>
      <c r="E38" s="1469">
        <f>TRESORERIA!E47</f>
        <v>0</v>
      </c>
      <c r="F38" s="1469">
        <f>TRESORERIA!F47</f>
        <v>0</v>
      </c>
      <c r="G38" s="1469">
        <f>TRESORERIA!G47</f>
        <v>0</v>
      </c>
      <c r="H38" s="1469">
        <f>TRESORERIA!H47</f>
        <v>0</v>
      </c>
      <c r="I38" s="1469">
        <f>TRESORERIA!I47</f>
        <v>0</v>
      </c>
      <c r="J38" s="1469">
        <f>TRESORERIA!J47</f>
        <v>0</v>
      </c>
      <c r="K38" s="1469">
        <f>TRESORERIA!K47</f>
        <v>0</v>
      </c>
      <c r="L38" s="1469">
        <f>TRESORERIA!L47</f>
        <v>0</v>
      </c>
      <c r="M38" s="1469">
        <f>TRESORERIA!M47</f>
        <v>0</v>
      </c>
      <c r="N38" s="1469">
        <f>TRESORERIA!N47</f>
        <v>0</v>
      </c>
      <c r="O38" s="1470">
        <f>TRESORERIA!O47</f>
        <v>0</v>
      </c>
    </row>
    <row r="39" spans="1:15" x14ac:dyDescent="0.25">
      <c r="A39" s="1958" t="s">
        <v>163</v>
      </c>
      <c r="B39" s="1958"/>
      <c r="C39" s="1471">
        <f>TRESORERIA!C48</f>
        <v>0</v>
      </c>
      <c r="D39" s="1471">
        <f>TRESORERIA!D48</f>
        <v>0</v>
      </c>
      <c r="E39" s="1471">
        <f>TRESORERIA!E48</f>
        <v>0</v>
      </c>
      <c r="F39" s="1471">
        <f>TRESORERIA!F48</f>
        <v>0</v>
      </c>
      <c r="G39" s="1471">
        <f>TRESORERIA!G48</f>
        <v>0</v>
      </c>
      <c r="H39" s="1471">
        <f>TRESORERIA!H48</f>
        <v>0</v>
      </c>
      <c r="I39" s="1471">
        <f>TRESORERIA!I48</f>
        <v>0</v>
      </c>
      <c r="J39" s="1471">
        <f>TRESORERIA!J48</f>
        <v>0</v>
      </c>
      <c r="K39" s="1471">
        <f>TRESORERIA!K48</f>
        <v>0</v>
      </c>
      <c r="L39" s="1471">
        <f>TRESORERIA!L48</f>
        <v>0</v>
      </c>
      <c r="M39" s="1471">
        <f>TRESORERIA!M48</f>
        <v>0</v>
      </c>
      <c r="N39" s="1471">
        <f>TRESORERIA!N48</f>
        <v>0</v>
      </c>
      <c r="O39" s="1472">
        <f>TRESORERIA!O48</f>
        <v>0</v>
      </c>
    </row>
    <row r="40" spans="1:15" x14ac:dyDescent="0.25">
      <c r="A40" s="1959" t="str">
        <f>+TRESORERIA!A49</f>
        <v>Pagos a cuenta</v>
      </c>
      <c r="B40" s="1959"/>
      <c r="C40" s="1326">
        <f>+TRESORERIA!C49</f>
        <v>0</v>
      </c>
      <c r="D40" s="1326">
        <f>+TRESORERIA!D49</f>
        <v>0</v>
      </c>
      <c r="E40" s="1326">
        <f>+TRESORERIA!E49</f>
        <v>0</v>
      </c>
      <c r="F40" s="1326">
        <f>+TRESORERIA!F49</f>
        <v>0</v>
      </c>
      <c r="G40" s="1326">
        <f>+TRESORERIA!G49</f>
        <v>0</v>
      </c>
      <c r="H40" s="1326">
        <f>+TRESORERIA!H49</f>
        <v>0</v>
      </c>
      <c r="I40" s="1326">
        <f>+TRESORERIA!I49</f>
        <v>0</v>
      </c>
      <c r="J40" s="1326">
        <f>+TRESORERIA!J49</f>
        <v>0</v>
      </c>
      <c r="K40" s="1326">
        <f>+TRESORERIA!K49</f>
        <v>0</v>
      </c>
      <c r="L40" s="1326">
        <f>+TRESORERIA!L49</f>
        <v>0</v>
      </c>
      <c r="M40" s="1326">
        <f>+TRESORERIA!M49</f>
        <v>0</v>
      </c>
      <c r="N40" s="1326">
        <f>+TRESORERIA!N49</f>
        <v>0</v>
      </c>
      <c r="O40" s="1333">
        <f>TRESORERIA!O49</f>
        <v>0</v>
      </c>
    </row>
    <row r="41" spans="1:15" ht="13" x14ac:dyDescent="0.25">
      <c r="A41" s="1951" t="s">
        <v>28</v>
      </c>
      <c r="B41" s="1951"/>
      <c r="C41" s="1467">
        <f>TRESORERIA!C50</f>
        <v>0</v>
      </c>
      <c r="D41" s="1467">
        <f>TRESORERIA!D50</f>
        <v>0</v>
      </c>
      <c r="E41" s="1467">
        <f>TRESORERIA!E50</f>
        <v>0</v>
      </c>
      <c r="F41" s="1467">
        <f>TRESORERIA!F50</f>
        <v>0</v>
      </c>
      <c r="G41" s="1467">
        <f>TRESORERIA!G50</f>
        <v>0</v>
      </c>
      <c r="H41" s="1467">
        <f>TRESORERIA!H50</f>
        <v>0</v>
      </c>
      <c r="I41" s="1467">
        <f>TRESORERIA!I50</f>
        <v>0</v>
      </c>
      <c r="J41" s="1467">
        <f>TRESORERIA!J50</f>
        <v>0</v>
      </c>
      <c r="K41" s="1467">
        <f>TRESORERIA!K50</f>
        <v>0</v>
      </c>
      <c r="L41" s="1467">
        <f>TRESORERIA!L50</f>
        <v>0</v>
      </c>
      <c r="M41" s="1467">
        <f>TRESORERIA!M50</f>
        <v>0</v>
      </c>
      <c r="N41" s="1467">
        <f>TRESORERIA!N50</f>
        <v>0</v>
      </c>
      <c r="O41" s="1468">
        <f>TRESORERIA!O50</f>
        <v>0</v>
      </c>
    </row>
    <row r="42" spans="1:15" ht="13" x14ac:dyDescent="0.25">
      <c r="A42" s="1951" t="s">
        <v>460</v>
      </c>
      <c r="B42" s="1951"/>
      <c r="C42" s="1467">
        <f>TRESORERIA!C51</f>
        <v>0</v>
      </c>
      <c r="D42" s="1467">
        <f>TRESORERIA!D51</f>
        <v>0</v>
      </c>
      <c r="E42" s="1467">
        <f>TRESORERIA!E51</f>
        <v>0</v>
      </c>
      <c r="F42" s="1467">
        <f>TRESORERIA!F51</f>
        <v>0</v>
      </c>
      <c r="G42" s="1467">
        <f>TRESORERIA!G51</f>
        <v>0</v>
      </c>
      <c r="H42" s="1467">
        <f>TRESORERIA!H51</f>
        <v>0</v>
      </c>
      <c r="I42" s="1467">
        <f>TRESORERIA!I51</f>
        <v>0</v>
      </c>
      <c r="J42" s="1467">
        <f>TRESORERIA!J51</f>
        <v>0</v>
      </c>
      <c r="K42" s="1467">
        <f>TRESORERIA!K51</f>
        <v>0</v>
      </c>
      <c r="L42" s="1467">
        <f>TRESORERIA!L51</f>
        <v>0</v>
      </c>
      <c r="M42" s="1467">
        <f>TRESORERIA!M51</f>
        <v>0</v>
      </c>
      <c r="N42" s="1467">
        <f>TRESORERIA!N51</f>
        <v>0</v>
      </c>
      <c r="O42" s="1468">
        <f>TRESORERIA!O51</f>
        <v>0</v>
      </c>
    </row>
    <row r="43" spans="1:15" ht="13" x14ac:dyDescent="0.25">
      <c r="A43" s="1951" t="s">
        <v>734</v>
      </c>
      <c r="B43" s="1951"/>
      <c r="C43" s="1467">
        <f>TRESORERIA!C52</f>
        <v>0</v>
      </c>
      <c r="D43" s="1467">
        <f>TRESORERIA!D52</f>
        <v>0</v>
      </c>
      <c r="E43" s="1467">
        <f>TRESORERIA!E52</f>
        <v>0</v>
      </c>
      <c r="F43" s="1467">
        <f>TRESORERIA!F52</f>
        <v>0</v>
      </c>
      <c r="G43" s="1467">
        <f>TRESORERIA!G52</f>
        <v>0</v>
      </c>
      <c r="H43" s="1467">
        <f>TRESORERIA!H52</f>
        <v>0</v>
      </c>
      <c r="I43" s="1467">
        <f>TRESORERIA!I52</f>
        <v>0</v>
      </c>
      <c r="J43" s="1467">
        <f>TRESORERIA!J52</f>
        <v>0</v>
      </c>
      <c r="K43" s="1467">
        <f>TRESORERIA!K52</f>
        <v>0</v>
      </c>
      <c r="L43" s="1467">
        <f>TRESORERIA!L52</f>
        <v>0</v>
      </c>
      <c r="M43" s="1467">
        <f>TRESORERIA!M52</f>
        <v>0</v>
      </c>
      <c r="N43" s="1467">
        <f>TRESORERIA!N52</f>
        <v>0</v>
      </c>
      <c r="O43" s="1468">
        <f>TRESORERIA!O52</f>
        <v>0</v>
      </c>
    </row>
    <row r="44" spans="1:15" ht="13" x14ac:dyDescent="0.25">
      <c r="A44" s="1951" t="s">
        <v>423</v>
      </c>
      <c r="B44" s="1951"/>
      <c r="C44" s="1467">
        <f>TRESORERIA!C53</f>
        <v>0</v>
      </c>
      <c r="D44" s="1467">
        <f>TRESORERIA!D53</f>
        <v>0</v>
      </c>
      <c r="E44" s="1467">
        <f>TRESORERIA!E53</f>
        <v>0</v>
      </c>
      <c r="F44" s="1467">
        <f>TRESORERIA!F53</f>
        <v>0</v>
      </c>
      <c r="G44" s="1467">
        <f>TRESORERIA!G53</f>
        <v>0</v>
      </c>
      <c r="H44" s="1467">
        <f>TRESORERIA!H53</f>
        <v>0</v>
      </c>
      <c r="I44" s="1467">
        <f>TRESORERIA!I53</f>
        <v>0</v>
      </c>
      <c r="J44" s="1467">
        <f>TRESORERIA!J53</f>
        <v>0</v>
      </c>
      <c r="K44" s="1467">
        <f>TRESORERIA!K53</f>
        <v>0</v>
      </c>
      <c r="L44" s="1467">
        <f>TRESORERIA!L53</f>
        <v>0</v>
      </c>
      <c r="M44" s="1467">
        <f>TRESORERIA!M53</f>
        <v>0</v>
      </c>
      <c r="N44" s="1467">
        <f>TRESORERIA!N53</f>
        <v>0</v>
      </c>
      <c r="O44" s="1468">
        <f>TRESORERIA!O53</f>
        <v>0</v>
      </c>
    </row>
    <row r="45" spans="1:15" ht="13" x14ac:dyDescent="0.25">
      <c r="A45" s="1918" t="s">
        <v>462</v>
      </c>
      <c r="B45" s="1918"/>
      <c r="C45" s="1330">
        <f>TRESORERIA!C54</f>
        <v>0</v>
      </c>
      <c r="D45" s="1330">
        <f>TRESORERIA!D54</f>
        <v>0</v>
      </c>
      <c r="E45" s="1330">
        <f>TRESORERIA!E54</f>
        <v>0</v>
      </c>
      <c r="F45" s="1330">
        <f>TRESORERIA!F54</f>
        <v>0</v>
      </c>
      <c r="G45" s="1330">
        <f>TRESORERIA!G54</f>
        <v>0</v>
      </c>
      <c r="H45" s="1330">
        <f>TRESORERIA!H54</f>
        <v>0</v>
      </c>
      <c r="I45" s="1330">
        <f>TRESORERIA!I54</f>
        <v>0</v>
      </c>
      <c r="J45" s="1330">
        <f>TRESORERIA!J54</f>
        <v>0</v>
      </c>
      <c r="K45" s="1330">
        <f>TRESORERIA!K54</f>
        <v>0</v>
      </c>
      <c r="L45" s="1330">
        <f>TRESORERIA!L54</f>
        <v>0</v>
      </c>
      <c r="M45" s="1330">
        <f>TRESORERIA!M54</f>
        <v>0</v>
      </c>
      <c r="N45" s="1330">
        <f>TRESORERIA!N54</f>
        <v>0</v>
      </c>
      <c r="O45" s="1330">
        <f>TRESORERIA!O54</f>
        <v>0</v>
      </c>
    </row>
    <row r="46" spans="1:15" x14ac:dyDescent="0.25">
      <c r="C46" s="1331"/>
      <c r="D46" s="1331"/>
      <c r="E46" s="1331"/>
      <c r="F46" s="1331"/>
      <c r="G46" s="1331"/>
      <c r="H46" s="1331"/>
      <c r="I46" s="1331"/>
      <c r="J46" s="1331"/>
      <c r="K46" s="1331"/>
      <c r="L46" s="1331"/>
      <c r="M46" s="1331"/>
      <c r="N46" s="1331"/>
      <c r="O46" s="1331"/>
    </row>
    <row r="47" spans="1:15" ht="13" x14ac:dyDescent="0.25">
      <c r="A47" s="1926" t="s">
        <v>255</v>
      </c>
      <c r="B47" s="1926"/>
      <c r="C47" s="1330">
        <f>TRESORERIA!C56</f>
        <v>0</v>
      </c>
      <c r="D47" s="1330">
        <f>TRESORERIA!D56</f>
        <v>0</v>
      </c>
      <c r="E47" s="1330">
        <f>TRESORERIA!E56</f>
        <v>0</v>
      </c>
      <c r="F47" s="1330">
        <f>TRESORERIA!F56</f>
        <v>0</v>
      </c>
      <c r="G47" s="1330">
        <f>TRESORERIA!G56</f>
        <v>0</v>
      </c>
      <c r="H47" s="1330">
        <f>TRESORERIA!H56</f>
        <v>0</v>
      </c>
      <c r="I47" s="1330">
        <f>TRESORERIA!I56</f>
        <v>0</v>
      </c>
      <c r="J47" s="1330">
        <f>TRESORERIA!J56</f>
        <v>0</v>
      </c>
      <c r="K47" s="1330">
        <f>TRESORERIA!K56</f>
        <v>0</v>
      </c>
      <c r="L47" s="1330">
        <f>TRESORERIA!L56</f>
        <v>0</v>
      </c>
      <c r="M47" s="1330">
        <f>TRESORERIA!M56</f>
        <v>0</v>
      </c>
      <c r="N47" s="1330">
        <f>TRESORERIA!N56</f>
        <v>0</v>
      </c>
      <c r="O47" s="1330">
        <f>TRESORERIA!O56</f>
        <v>0</v>
      </c>
    </row>
    <row r="48" spans="1:15" ht="13" x14ac:dyDescent="0.25">
      <c r="A48" s="1926" t="s">
        <v>527</v>
      </c>
      <c r="B48" s="1926"/>
      <c r="C48" s="1330">
        <f>TRESORERIA!C57</f>
        <v>0</v>
      </c>
      <c r="D48" s="1330">
        <f>TRESORERIA!D57</f>
        <v>0</v>
      </c>
      <c r="E48" s="1330">
        <f>TRESORERIA!E57</f>
        <v>0</v>
      </c>
      <c r="F48" s="1330">
        <f>TRESORERIA!F57</f>
        <v>0</v>
      </c>
      <c r="G48" s="1330">
        <f>TRESORERIA!G57</f>
        <v>0</v>
      </c>
      <c r="H48" s="1330">
        <f>TRESORERIA!H57</f>
        <v>0</v>
      </c>
      <c r="I48" s="1330">
        <f>TRESORERIA!I57</f>
        <v>0</v>
      </c>
      <c r="J48" s="1330">
        <f>TRESORERIA!J57</f>
        <v>0</v>
      </c>
      <c r="K48" s="1330">
        <f>TRESORERIA!K57</f>
        <v>0</v>
      </c>
      <c r="L48" s="1330">
        <f>TRESORERIA!L57</f>
        <v>0</v>
      </c>
      <c r="M48" s="1330">
        <f>TRESORERIA!M57</f>
        <v>0</v>
      </c>
      <c r="N48" s="1330">
        <f>TRESORERIA!N57</f>
        <v>0</v>
      </c>
      <c r="O48" s="1330">
        <f>TRESORERIA!O57</f>
        <v>0</v>
      </c>
    </row>
    <row r="49" spans="1:15" ht="13" x14ac:dyDescent="0.25">
      <c r="A49" s="1960" t="str">
        <f>+TRESORERIA!A58</f>
        <v>LIQUIDACIÓN IVA</v>
      </c>
      <c r="B49" s="1960"/>
      <c r="C49" s="1328">
        <f>TRESORERIA!C58</f>
        <v>0</v>
      </c>
      <c r="D49" s="1328">
        <f>TRESORERIA!D58</f>
        <v>0</v>
      </c>
      <c r="E49" s="1328">
        <f>TRESORERIA!E58</f>
        <v>0</v>
      </c>
      <c r="F49" s="1328">
        <f>TRESORERIA!F58</f>
        <v>0</v>
      </c>
      <c r="G49" s="1328">
        <f>TRESORERIA!G58</f>
        <v>0</v>
      </c>
      <c r="H49" s="1328">
        <f>TRESORERIA!H58</f>
        <v>0</v>
      </c>
      <c r="I49" s="1328">
        <f>TRESORERIA!I58</f>
        <v>0</v>
      </c>
      <c r="J49" s="1328">
        <f>TRESORERIA!J58</f>
        <v>0</v>
      </c>
      <c r="K49" s="1328">
        <f>TRESORERIA!K58</f>
        <v>0</v>
      </c>
      <c r="L49" s="1328">
        <f>TRESORERIA!L58</f>
        <v>0</v>
      </c>
      <c r="M49" s="1328">
        <f>TRESORERIA!M58</f>
        <v>0</v>
      </c>
      <c r="N49" s="1328">
        <f>TRESORERIA!N58</f>
        <v>0</v>
      </c>
      <c r="O49" s="1329">
        <f>TRESORERIA!O58</f>
        <v>0</v>
      </c>
    </row>
    <row r="50" spans="1:15" ht="13" x14ac:dyDescent="0.25">
      <c r="A50" s="1926" t="s">
        <v>254</v>
      </c>
      <c r="B50" s="1926"/>
      <c r="C50" s="1330">
        <f>TRESORERIA!C59</f>
        <v>0</v>
      </c>
      <c r="D50" s="1330">
        <f>TRESORERIA!D59</f>
        <v>0</v>
      </c>
      <c r="E50" s="1330">
        <f>TRESORERIA!E59</f>
        <v>0</v>
      </c>
      <c r="F50" s="1330">
        <f>TRESORERIA!F59</f>
        <v>0</v>
      </c>
      <c r="G50" s="1330">
        <f>TRESORERIA!G59</f>
        <v>0</v>
      </c>
      <c r="H50" s="1330">
        <f>TRESORERIA!H59</f>
        <v>0</v>
      </c>
      <c r="I50" s="1330">
        <f>TRESORERIA!I59</f>
        <v>0</v>
      </c>
      <c r="J50" s="1330">
        <f>TRESORERIA!J59</f>
        <v>0</v>
      </c>
      <c r="K50" s="1330">
        <f>TRESORERIA!K59</f>
        <v>0</v>
      </c>
      <c r="L50" s="1330">
        <f>TRESORERIA!L59</f>
        <v>0</v>
      </c>
      <c r="M50" s="1330">
        <f>TRESORERIA!M59</f>
        <v>0</v>
      </c>
      <c r="N50" s="1330">
        <f>TRESORERIA!N59</f>
        <v>0</v>
      </c>
      <c r="O50" s="1330">
        <f>TRESORERIA!O59</f>
        <v>0</v>
      </c>
    </row>
    <row r="51" spans="1:15" ht="13" x14ac:dyDescent="0.25">
      <c r="A51" s="1917" t="s">
        <v>464</v>
      </c>
      <c r="B51" s="1917"/>
      <c r="C51" s="1328">
        <f>TRESORERIA!C60</f>
        <v>0</v>
      </c>
      <c r="D51" s="1328">
        <f>TRESORERIA!D60</f>
        <v>0</v>
      </c>
      <c r="E51" s="1328">
        <f>TRESORERIA!E60</f>
        <v>0</v>
      </c>
      <c r="F51" s="1328">
        <f>TRESORERIA!F60</f>
        <v>0</v>
      </c>
      <c r="G51" s="1328">
        <f>TRESORERIA!G60</f>
        <v>0</v>
      </c>
      <c r="H51" s="1328">
        <f>TRESORERIA!H60</f>
        <v>0</v>
      </c>
      <c r="I51" s="1328">
        <f>TRESORERIA!I60</f>
        <v>0</v>
      </c>
      <c r="J51" s="1328">
        <f>TRESORERIA!J60</f>
        <v>0</v>
      </c>
      <c r="K51" s="1328">
        <f>TRESORERIA!K60</f>
        <v>0</v>
      </c>
      <c r="L51" s="1328">
        <f>TRESORERIA!L60</f>
        <v>0</v>
      </c>
      <c r="M51" s="1328">
        <f>TRESORERIA!M60</f>
        <v>0</v>
      </c>
      <c r="N51" s="1328">
        <f>TRESORERIA!N60</f>
        <v>0</v>
      </c>
      <c r="O51" s="1329">
        <f>TRESORERIA!O60</f>
        <v>0</v>
      </c>
    </row>
    <row r="52" spans="1:15" ht="13" x14ac:dyDescent="0.25">
      <c r="A52" s="1917" t="s">
        <v>465</v>
      </c>
      <c r="B52" s="1917"/>
      <c r="C52" s="1328">
        <f>TRESORERIA!C61</f>
        <v>0</v>
      </c>
      <c r="D52" s="1328">
        <f>TRESORERIA!D61</f>
        <v>0</v>
      </c>
      <c r="E52" s="1328">
        <f>TRESORERIA!E61</f>
        <v>0</v>
      </c>
      <c r="F52" s="1328">
        <f>TRESORERIA!F61</f>
        <v>0</v>
      </c>
      <c r="G52" s="1328">
        <f>TRESORERIA!G61</f>
        <v>0</v>
      </c>
      <c r="H52" s="1328">
        <f>TRESORERIA!H61</f>
        <v>0</v>
      </c>
      <c r="I52" s="1328">
        <f>TRESORERIA!I61</f>
        <v>0</v>
      </c>
      <c r="J52" s="1328">
        <f>TRESORERIA!J61</f>
        <v>0</v>
      </c>
      <c r="K52" s="1328">
        <f>TRESORERIA!K61</f>
        <v>0</v>
      </c>
      <c r="L52" s="1328">
        <f>TRESORERIA!L61</f>
        <v>0</v>
      </c>
      <c r="M52" s="1328">
        <f>TRESORERIA!M61</f>
        <v>0</v>
      </c>
      <c r="N52" s="1328">
        <f>TRESORERIA!N61</f>
        <v>0</v>
      </c>
      <c r="O52" s="1329">
        <f>TRESORERIA!O61</f>
        <v>0</v>
      </c>
    </row>
    <row r="53" spans="1:15" ht="13" x14ac:dyDescent="0.25">
      <c r="A53" s="1917" t="s">
        <v>466</v>
      </c>
      <c r="B53" s="1917"/>
      <c r="C53" s="1328">
        <f>TRESORERIA!C62</f>
        <v>0</v>
      </c>
      <c r="D53" s="1328">
        <f>TRESORERIA!D62</f>
        <v>0</v>
      </c>
      <c r="E53" s="1328">
        <f>TRESORERIA!E62</f>
        <v>0</v>
      </c>
      <c r="F53" s="1328">
        <f>TRESORERIA!F62</f>
        <v>0</v>
      </c>
      <c r="G53" s="1328">
        <f>TRESORERIA!G62</f>
        <v>0</v>
      </c>
      <c r="H53" s="1328">
        <f>TRESORERIA!H62</f>
        <v>0</v>
      </c>
      <c r="I53" s="1328">
        <f>TRESORERIA!I62</f>
        <v>0</v>
      </c>
      <c r="J53" s="1328">
        <f>TRESORERIA!J62</f>
        <v>0</v>
      </c>
      <c r="K53" s="1328">
        <f>TRESORERIA!K62</f>
        <v>0</v>
      </c>
      <c r="L53" s="1328">
        <f>TRESORERIA!L62</f>
        <v>0</v>
      </c>
      <c r="M53" s="1328">
        <f>TRESORERIA!M62</f>
        <v>0</v>
      </c>
      <c r="N53" s="1328">
        <f>TRESORERIA!N62</f>
        <v>0</v>
      </c>
      <c r="O53" s="1329">
        <f>TRESORERIA!O62</f>
        <v>0</v>
      </c>
    </row>
    <row r="55" spans="1:15" ht="13" x14ac:dyDescent="0.25">
      <c r="A55" s="1961" t="s">
        <v>47</v>
      </c>
      <c r="B55" s="1961"/>
      <c r="C55" s="1947" t="str">
        <f>+C1</f>
        <v>MESOS</v>
      </c>
      <c r="D55" s="1947"/>
      <c r="E55" s="1947"/>
      <c r="F55" s="1947"/>
      <c r="G55" s="1947"/>
      <c r="H55" s="1947"/>
      <c r="I55" s="1947"/>
      <c r="J55" s="1947"/>
      <c r="K55" s="1947"/>
      <c r="L55" s="1947"/>
      <c r="M55" s="1947"/>
      <c r="N55" s="1947"/>
      <c r="O55" s="1948" t="s">
        <v>245</v>
      </c>
    </row>
    <row r="56" spans="1:15" x14ac:dyDescent="0.25">
      <c r="A56" s="1961"/>
      <c r="B56" s="1961"/>
      <c r="C56" s="1460" t="str">
        <f>TRESORERIA!C96</f>
        <v>GENER</v>
      </c>
      <c r="D56" s="1460" t="str">
        <f>TRESORERIA!D96</f>
        <v>FEBRER</v>
      </c>
      <c r="E56" s="1460" t="str">
        <f>TRESORERIA!E96</f>
        <v>MARÇ</v>
      </c>
      <c r="F56" s="1460" t="str">
        <f>TRESORERIA!F96</f>
        <v>ABRIL</v>
      </c>
      <c r="G56" s="1460" t="str">
        <f>TRESORERIA!G96</f>
        <v>MAIG</v>
      </c>
      <c r="H56" s="1460" t="str">
        <f>TRESORERIA!H96</f>
        <v>JUNY</v>
      </c>
      <c r="I56" s="1460" t="str">
        <f>TRESORERIA!I96</f>
        <v>JULIOL</v>
      </c>
      <c r="J56" s="1460" t="str">
        <f>TRESORERIA!J96</f>
        <v>AGOST</v>
      </c>
      <c r="K56" s="1460" t="str">
        <f>TRESORERIA!K96</f>
        <v>SETEMBRE</v>
      </c>
      <c r="L56" s="1460" t="str">
        <f>TRESORERIA!L96</f>
        <v>OCTUBRE</v>
      </c>
      <c r="M56" s="1460" t="str">
        <f>TRESORERIA!M96</f>
        <v>NOVEMBRE</v>
      </c>
      <c r="N56" s="1460" t="str">
        <f>TRESORERIA!N96</f>
        <v>DESEMBRE</v>
      </c>
      <c r="O56" s="1948"/>
    </row>
    <row r="57" spans="1:15" ht="13" x14ac:dyDescent="0.25">
      <c r="A57" s="1927" t="str">
        <f>+A3</f>
        <v>COBRAMENTS</v>
      </c>
      <c r="B57" s="1927"/>
      <c r="C57" s="1927"/>
      <c r="D57" s="1927"/>
      <c r="E57" s="1927"/>
      <c r="F57" s="1927"/>
      <c r="G57" s="1927"/>
      <c r="H57" s="1927"/>
      <c r="I57" s="1927"/>
      <c r="J57" s="1927"/>
      <c r="K57" s="1927"/>
      <c r="L57" s="1927"/>
      <c r="M57" s="1927"/>
      <c r="N57" s="1927"/>
      <c r="O57" s="1927"/>
    </row>
    <row r="58" spans="1:15" ht="13" x14ac:dyDescent="0.25">
      <c r="A58" s="1962" t="str">
        <f>+A4</f>
        <v>Ingressos</v>
      </c>
      <c r="B58" s="1962"/>
      <c r="C58" s="1461">
        <f>TRESORERIA!C98</f>
        <v>0</v>
      </c>
      <c r="D58" s="1461">
        <f>TRESORERIA!D98</f>
        <v>0</v>
      </c>
      <c r="E58" s="1461">
        <f>TRESORERIA!E98</f>
        <v>0</v>
      </c>
      <c r="F58" s="1461">
        <f>TRESORERIA!F98</f>
        <v>0</v>
      </c>
      <c r="G58" s="1461">
        <f>TRESORERIA!G98</f>
        <v>0</v>
      </c>
      <c r="H58" s="1461">
        <f>TRESORERIA!H98</f>
        <v>0</v>
      </c>
      <c r="I58" s="1461">
        <f>TRESORERIA!I98</f>
        <v>0</v>
      </c>
      <c r="J58" s="1461">
        <f>TRESORERIA!J98</f>
        <v>0</v>
      </c>
      <c r="K58" s="1461">
        <f>TRESORERIA!K98</f>
        <v>0</v>
      </c>
      <c r="L58" s="1461">
        <f>TRESORERIA!L98</f>
        <v>0</v>
      </c>
      <c r="M58" s="1461">
        <f>TRESORERIA!M98</f>
        <v>0</v>
      </c>
      <c r="N58" s="1461">
        <f>TRESORERIA!N98</f>
        <v>0</v>
      </c>
      <c r="O58" s="1462">
        <f>TRESORERIA!O98</f>
        <v>0</v>
      </c>
    </row>
    <row r="59" spans="1:15" ht="12.75" hidden="1" customHeight="1" x14ac:dyDescent="0.25">
      <c r="A59" s="1950" t="s">
        <v>354</v>
      </c>
      <c r="B59" s="1950"/>
      <c r="C59" s="1463">
        <f>TRESORERIA!C99</f>
        <v>0</v>
      </c>
      <c r="D59" s="1463">
        <f>TRESORERIA!D99</f>
        <v>0</v>
      </c>
      <c r="E59" s="1463">
        <f>TRESORERIA!E99</f>
        <v>0</v>
      </c>
      <c r="F59" s="1463">
        <f>TRESORERIA!F99</f>
        <v>0</v>
      </c>
      <c r="G59" s="1463">
        <f>TRESORERIA!G99</f>
        <v>0</v>
      </c>
      <c r="H59" s="1463">
        <f>TRESORERIA!H99</f>
        <v>0</v>
      </c>
      <c r="I59" s="1463">
        <f>TRESORERIA!I99</f>
        <v>0</v>
      </c>
      <c r="J59" s="1463">
        <f>TRESORERIA!J99</f>
        <v>0</v>
      </c>
      <c r="K59" s="1463">
        <f>TRESORERIA!K99</f>
        <v>0</v>
      </c>
      <c r="L59" s="1463">
        <f>TRESORERIA!L99</f>
        <v>0</v>
      </c>
      <c r="M59" s="1463">
        <f>TRESORERIA!M99</f>
        <v>0</v>
      </c>
      <c r="N59" s="1463">
        <f>TRESORERIA!N99</f>
        <v>0</v>
      </c>
      <c r="O59" s="1463">
        <f>TRESORERIA!O99</f>
        <v>0</v>
      </c>
    </row>
    <row r="60" spans="1:15" ht="12.75" hidden="1" customHeight="1" x14ac:dyDescent="0.25">
      <c r="A60" s="1464" t="s">
        <v>343</v>
      </c>
      <c r="B60" s="1465"/>
      <c r="C60" s="1466">
        <f>TRESORERIA!C100</f>
        <v>0</v>
      </c>
      <c r="D60" s="1466">
        <f>TRESORERIA!D100</f>
        <v>0</v>
      </c>
      <c r="E60" s="1466">
        <f>TRESORERIA!E100</f>
        <v>0</v>
      </c>
      <c r="F60" s="1466">
        <f>TRESORERIA!F100</f>
        <v>0</v>
      </c>
      <c r="G60" s="1466">
        <f>TRESORERIA!G100</f>
        <v>0</v>
      </c>
      <c r="H60" s="1466">
        <f>TRESORERIA!H100</f>
        <v>0</v>
      </c>
      <c r="I60" s="1466">
        <f>TRESORERIA!I100</f>
        <v>0</v>
      </c>
      <c r="J60" s="1466">
        <f>TRESORERIA!J100</f>
        <v>0</v>
      </c>
      <c r="K60" s="1466">
        <f>TRESORERIA!K100</f>
        <v>0</v>
      </c>
      <c r="L60" s="1466">
        <f>TRESORERIA!L100</f>
        <v>0</v>
      </c>
      <c r="M60" s="1466">
        <f>TRESORERIA!M100</f>
        <v>0</v>
      </c>
      <c r="N60" s="1466">
        <f>TRESORERIA!N100</f>
        <v>0</v>
      </c>
      <c r="O60" s="1466">
        <f>TRESORERIA!O100</f>
        <v>0</v>
      </c>
    </row>
    <row r="61" spans="1:15" ht="13" x14ac:dyDescent="0.25">
      <c r="A61" s="1963" t="str">
        <f>+A7</f>
        <v>IVA COBRAT</v>
      </c>
      <c r="B61" s="1963"/>
      <c r="C61" s="1467">
        <f>TRESORERIA!C101</f>
        <v>0</v>
      </c>
      <c r="D61" s="1467">
        <f>TRESORERIA!D101</f>
        <v>0</v>
      </c>
      <c r="E61" s="1467">
        <f>TRESORERIA!E101</f>
        <v>0</v>
      </c>
      <c r="F61" s="1467">
        <f>TRESORERIA!F101</f>
        <v>0</v>
      </c>
      <c r="G61" s="1467">
        <f>TRESORERIA!G101</f>
        <v>0</v>
      </c>
      <c r="H61" s="1467">
        <f>TRESORERIA!H101</f>
        <v>0</v>
      </c>
      <c r="I61" s="1467">
        <f>TRESORERIA!I101</f>
        <v>0</v>
      </c>
      <c r="J61" s="1467">
        <f>TRESORERIA!J101</f>
        <v>0</v>
      </c>
      <c r="K61" s="1467">
        <f>TRESORERIA!K101</f>
        <v>0</v>
      </c>
      <c r="L61" s="1467">
        <f>TRESORERIA!L101</f>
        <v>0</v>
      </c>
      <c r="M61" s="1467">
        <f>TRESORERIA!M101</f>
        <v>0</v>
      </c>
      <c r="N61" s="1467">
        <f>TRESORERIA!N101</f>
        <v>0</v>
      </c>
      <c r="O61" s="1468">
        <f>TRESORERIA!O101</f>
        <v>0</v>
      </c>
    </row>
    <row r="62" spans="1:15" ht="13" hidden="1" x14ac:dyDescent="0.25">
      <c r="A62" s="1963" t="str">
        <f>+A8</f>
        <v>Ingressos financers</v>
      </c>
      <c r="B62" s="1963"/>
      <c r="C62" s="1467">
        <f>TRESORERIA!C102</f>
        <v>0</v>
      </c>
      <c r="D62" s="1467">
        <f>TRESORERIA!D102</f>
        <v>0</v>
      </c>
      <c r="E62" s="1467">
        <f>TRESORERIA!E102</f>
        <v>0</v>
      </c>
      <c r="F62" s="1467">
        <f>TRESORERIA!F102</f>
        <v>0</v>
      </c>
      <c r="G62" s="1467">
        <f>TRESORERIA!G102</f>
        <v>0</v>
      </c>
      <c r="H62" s="1467">
        <f>TRESORERIA!H102</f>
        <v>0</v>
      </c>
      <c r="I62" s="1467">
        <f>TRESORERIA!I102</f>
        <v>0</v>
      </c>
      <c r="J62" s="1467">
        <f>TRESORERIA!J102</f>
        <v>0</v>
      </c>
      <c r="K62" s="1467">
        <f>TRESORERIA!K102</f>
        <v>0</v>
      </c>
      <c r="L62" s="1467">
        <f>TRESORERIA!L102</f>
        <v>0</v>
      </c>
      <c r="M62" s="1467">
        <f>TRESORERIA!M102</f>
        <v>0</v>
      </c>
      <c r="N62" s="1467">
        <f>TRESORERIA!N102</f>
        <v>0</v>
      </c>
      <c r="O62" s="1468">
        <f>TRESORERIA!O102</f>
        <v>0</v>
      </c>
    </row>
    <row r="63" spans="1:15" ht="13" x14ac:dyDescent="0.25">
      <c r="A63" s="1963" t="str">
        <f>+A9</f>
        <v>Subvencions</v>
      </c>
      <c r="B63" s="1963"/>
      <c r="C63" s="1467">
        <f>TRESORERIA!C103</f>
        <v>0</v>
      </c>
      <c r="D63" s="1467">
        <f>TRESORERIA!D103</f>
        <v>0</v>
      </c>
      <c r="E63" s="1467">
        <f>TRESORERIA!E103</f>
        <v>0</v>
      </c>
      <c r="F63" s="1467">
        <f>TRESORERIA!F103</f>
        <v>0</v>
      </c>
      <c r="G63" s="1467">
        <f>TRESORERIA!G103</f>
        <v>0</v>
      </c>
      <c r="H63" s="1467">
        <f>TRESORERIA!H103</f>
        <v>0</v>
      </c>
      <c r="I63" s="1467">
        <f>TRESORERIA!I103</f>
        <v>0</v>
      </c>
      <c r="J63" s="1467">
        <f>TRESORERIA!J103</f>
        <v>0</v>
      </c>
      <c r="K63" s="1467">
        <f>TRESORERIA!K103</f>
        <v>0</v>
      </c>
      <c r="L63" s="1467">
        <f>TRESORERIA!L103</f>
        <v>0</v>
      </c>
      <c r="M63" s="1467">
        <f>TRESORERIA!M103</f>
        <v>0</v>
      </c>
      <c r="N63" s="1467">
        <f>TRESORERIA!N103</f>
        <v>0</v>
      </c>
      <c r="O63" s="1468">
        <f>TRESORERIA!O103</f>
        <v>0</v>
      </c>
    </row>
    <row r="64" spans="1:15" ht="13" x14ac:dyDescent="0.25">
      <c r="A64" s="1963" t="str">
        <f>+A10</f>
        <v>Finançament</v>
      </c>
      <c r="B64" s="1963"/>
      <c r="C64" s="1467">
        <f>TRESORERIA!C104</f>
        <v>0</v>
      </c>
      <c r="D64" s="1467">
        <f>TRESORERIA!D104</f>
        <v>0</v>
      </c>
      <c r="E64" s="1467">
        <f>TRESORERIA!E104</f>
        <v>0</v>
      </c>
      <c r="F64" s="1467">
        <f>TRESORERIA!F104</f>
        <v>0</v>
      </c>
      <c r="G64" s="1467">
        <f>TRESORERIA!G104</f>
        <v>0</v>
      </c>
      <c r="H64" s="1467">
        <f>TRESORERIA!H104</f>
        <v>0</v>
      </c>
      <c r="I64" s="1467">
        <f>TRESORERIA!I104</f>
        <v>0</v>
      </c>
      <c r="J64" s="1467">
        <f>TRESORERIA!J104</f>
        <v>0</v>
      </c>
      <c r="K64" s="1467">
        <f>TRESORERIA!K104</f>
        <v>0</v>
      </c>
      <c r="L64" s="1467">
        <f>TRESORERIA!L104</f>
        <v>0</v>
      </c>
      <c r="M64" s="1467">
        <f>TRESORERIA!M104</f>
        <v>0</v>
      </c>
      <c r="N64" s="1467">
        <f>TRESORERIA!N104</f>
        <v>0</v>
      </c>
      <c r="O64" s="1468">
        <f>TRESORERIA!O104</f>
        <v>0</v>
      </c>
    </row>
    <row r="65" spans="1:15" ht="13" x14ac:dyDescent="0.25">
      <c r="A65" s="1964" t="str">
        <f>+A11</f>
        <v>(1) TOTAL COBRAMENTS</v>
      </c>
      <c r="B65" s="1964"/>
      <c r="C65" s="1330">
        <f>TRESORERIA!C105</f>
        <v>0</v>
      </c>
      <c r="D65" s="1330">
        <f>TRESORERIA!D105</f>
        <v>0</v>
      </c>
      <c r="E65" s="1330">
        <f>TRESORERIA!E105</f>
        <v>0</v>
      </c>
      <c r="F65" s="1330">
        <f>TRESORERIA!F105</f>
        <v>0</v>
      </c>
      <c r="G65" s="1330">
        <f>TRESORERIA!G105</f>
        <v>0</v>
      </c>
      <c r="H65" s="1330">
        <f>TRESORERIA!H105</f>
        <v>0</v>
      </c>
      <c r="I65" s="1330">
        <f>TRESORERIA!I105</f>
        <v>0</v>
      </c>
      <c r="J65" s="1330">
        <f>TRESORERIA!J105</f>
        <v>0</v>
      </c>
      <c r="K65" s="1330">
        <f>TRESORERIA!K105</f>
        <v>0</v>
      </c>
      <c r="L65" s="1330">
        <f>TRESORERIA!L105</f>
        <v>0</v>
      </c>
      <c r="M65" s="1330">
        <f>TRESORERIA!M105</f>
        <v>0</v>
      </c>
      <c r="N65" s="1330">
        <f>TRESORERIA!N105</f>
        <v>0</v>
      </c>
      <c r="O65" s="1330">
        <f>TRESORERIA!O105</f>
        <v>0</v>
      </c>
    </row>
    <row r="66" spans="1:15" ht="13" x14ac:dyDescent="0.25">
      <c r="C66" s="1331"/>
      <c r="D66" s="1331"/>
      <c r="E66" s="1331"/>
      <c r="F66" s="1331"/>
      <c r="G66" s="1331"/>
      <c r="H66" s="1331"/>
      <c r="I66" s="1331"/>
      <c r="J66" s="1331"/>
      <c r="K66" s="1331"/>
      <c r="L66" s="1331"/>
      <c r="M66" s="1331"/>
      <c r="N66" s="1331"/>
      <c r="O66" s="1332"/>
    </row>
    <row r="67" spans="1:15" ht="13" x14ac:dyDescent="0.25">
      <c r="A67" s="1927" t="str">
        <f>+A13</f>
        <v>PAGAMENTS</v>
      </c>
      <c r="B67" s="1927"/>
      <c r="C67" s="1927"/>
      <c r="D67" s="1927"/>
      <c r="E67" s="1927"/>
      <c r="F67" s="1927"/>
      <c r="G67" s="1927"/>
      <c r="H67" s="1927"/>
      <c r="I67" s="1927"/>
      <c r="J67" s="1927"/>
      <c r="K67" s="1927"/>
      <c r="L67" s="1927"/>
      <c r="M67" s="1927"/>
      <c r="N67" s="1927"/>
      <c r="O67" s="1927"/>
    </row>
    <row r="68" spans="1:15" ht="13" x14ac:dyDescent="0.25">
      <c r="A68" s="1962" t="str">
        <f>+A14</f>
        <v>Compres i treballs d'altres</v>
      </c>
      <c r="B68" s="1962"/>
      <c r="C68" s="1461">
        <f>TRESORERIA!C108</f>
        <v>0</v>
      </c>
      <c r="D68" s="1461">
        <f>TRESORERIA!D108</f>
        <v>0</v>
      </c>
      <c r="E68" s="1461">
        <f>TRESORERIA!E108</f>
        <v>0</v>
      </c>
      <c r="F68" s="1461">
        <f>TRESORERIA!F108</f>
        <v>0</v>
      </c>
      <c r="G68" s="1461">
        <f>TRESORERIA!G108</f>
        <v>0</v>
      </c>
      <c r="H68" s="1461">
        <f>TRESORERIA!H108</f>
        <v>0</v>
      </c>
      <c r="I68" s="1461">
        <f>TRESORERIA!I108</f>
        <v>0</v>
      </c>
      <c r="J68" s="1461">
        <f>TRESORERIA!J108</f>
        <v>0</v>
      </c>
      <c r="K68" s="1461">
        <f>TRESORERIA!K108</f>
        <v>0</v>
      </c>
      <c r="L68" s="1461">
        <f>TRESORERIA!L108</f>
        <v>0</v>
      </c>
      <c r="M68" s="1461">
        <f>TRESORERIA!M108</f>
        <v>0</v>
      </c>
      <c r="N68" s="1461">
        <f>TRESORERIA!N108</f>
        <v>0</v>
      </c>
      <c r="O68" s="1462">
        <f>TRESORERIA!O108</f>
        <v>0</v>
      </c>
    </row>
    <row r="69" spans="1:15" ht="12.75" hidden="1" customHeight="1" x14ac:dyDescent="0.25">
      <c r="A69" s="1950" t="s">
        <v>345</v>
      </c>
      <c r="B69" s="1950"/>
      <c r="C69" s="1463">
        <f>TRESORERIA!C109</f>
        <v>0</v>
      </c>
      <c r="D69" s="1463">
        <f>TRESORERIA!D109</f>
        <v>0</v>
      </c>
      <c r="E69" s="1463">
        <f>TRESORERIA!E109</f>
        <v>0</v>
      </c>
      <c r="F69" s="1463">
        <f>TRESORERIA!F109</f>
        <v>0</v>
      </c>
      <c r="G69" s="1463">
        <f>TRESORERIA!G109</f>
        <v>0</v>
      </c>
      <c r="H69" s="1463">
        <f>TRESORERIA!H109</f>
        <v>0</v>
      </c>
      <c r="I69" s="1463">
        <f>TRESORERIA!I109</f>
        <v>0</v>
      </c>
      <c r="J69" s="1463">
        <f>TRESORERIA!J109</f>
        <v>0</v>
      </c>
      <c r="K69" s="1463">
        <f>TRESORERIA!K109</f>
        <v>0</v>
      </c>
      <c r="L69" s="1463">
        <f>TRESORERIA!L109</f>
        <v>0</v>
      </c>
      <c r="M69" s="1463">
        <f>TRESORERIA!M109</f>
        <v>0</v>
      </c>
      <c r="N69" s="1463">
        <f>TRESORERIA!N109</f>
        <v>0</v>
      </c>
      <c r="O69" s="1463">
        <f>TRESORERIA!O109</f>
        <v>0</v>
      </c>
    </row>
    <row r="70" spans="1:15" ht="12.75" hidden="1" customHeight="1" x14ac:dyDescent="0.25">
      <c r="A70" s="1952" t="s">
        <v>442</v>
      </c>
      <c r="B70" s="1952"/>
      <c r="C70" s="1466">
        <f>TRESORERIA!C110</f>
        <v>0</v>
      </c>
      <c r="D70" s="1466">
        <f>TRESORERIA!D110</f>
        <v>0</v>
      </c>
      <c r="E70" s="1466">
        <f>TRESORERIA!E110</f>
        <v>0</v>
      </c>
      <c r="F70" s="1466">
        <f>TRESORERIA!F110</f>
        <v>0</v>
      </c>
      <c r="G70" s="1466">
        <f>TRESORERIA!G110</f>
        <v>0</v>
      </c>
      <c r="H70" s="1466">
        <f>TRESORERIA!H110</f>
        <v>0</v>
      </c>
      <c r="I70" s="1466">
        <f>TRESORERIA!I110</f>
        <v>0</v>
      </c>
      <c r="J70" s="1466">
        <f>TRESORERIA!J110</f>
        <v>0</v>
      </c>
      <c r="K70" s="1466">
        <f>TRESORERIA!K110</f>
        <v>0</v>
      </c>
      <c r="L70" s="1466">
        <f>TRESORERIA!L110</f>
        <v>0</v>
      </c>
      <c r="M70" s="1466">
        <f>TRESORERIA!M110</f>
        <v>0</v>
      </c>
      <c r="N70" s="1466">
        <f>TRESORERIA!N110</f>
        <v>0</v>
      </c>
      <c r="O70" s="1466">
        <f>TRESORERIA!O110</f>
        <v>0</v>
      </c>
    </row>
    <row r="71" spans="1:15" ht="13" x14ac:dyDescent="0.25">
      <c r="A71" s="1963" t="str">
        <f>+A17</f>
        <v>Serveis externs</v>
      </c>
      <c r="B71" s="1963"/>
      <c r="C71" s="1467">
        <f>TRESORERIA!C111</f>
        <v>0</v>
      </c>
      <c r="D71" s="1467">
        <f>TRESORERIA!D111</f>
        <v>0</v>
      </c>
      <c r="E71" s="1467">
        <f>TRESORERIA!E111</f>
        <v>0</v>
      </c>
      <c r="F71" s="1467">
        <f>TRESORERIA!F111</f>
        <v>0</v>
      </c>
      <c r="G71" s="1467">
        <f>TRESORERIA!G111</f>
        <v>0</v>
      </c>
      <c r="H71" s="1467">
        <f>TRESORERIA!H111</f>
        <v>0</v>
      </c>
      <c r="I71" s="1467">
        <f>TRESORERIA!I111</f>
        <v>0</v>
      </c>
      <c r="J71" s="1467">
        <f>TRESORERIA!J111</f>
        <v>0</v>
      </c>
      <c r="K71" s="1467">
        <f>TRESORERIA!K111</f>
        <v>0</v>
      </c>
      <c r="L71" s="1467">
        <f>TRESORERIA!L111</f>
        <v>0</v>
      </c>
      <c r="M71" s="1467">
        <f>TRESORERIA!M111</f>
        <v>0</v>
      </c>
      <c r="N71" s="1467">
        <f>TRESORERIA!N111</f>
        <v>0</v>
      </c>
      <c r="O71" s="1468">
        <f>TRESORERIA!O111</f>
        <v>0</v>
      </c>
    </row>
    <row r="72" spans="1:15" x14ac:dyDescent="0.25">
      <c r="A72" s="1965" t="str">
        <f>+A18</f>
        <v>Lloguers</v>
      </c>
      <c r="B72" s="1965"/>
      <c r="C72" s="1469">
        <f>TRESORERIA!C112</f>
        <v>0</v>
      </c>
      <c r="D72" s="1469">
        <f>TRESORERIA!D112</f>
        <v>0</v>
      </c>
      <c r="E72" s="1469">
        <f>TRESORERIA!E112</f>
        <v>0</v>
      </c>
      <c r="F72" s="1469">
        <f>TRESORERIA!F112</f>
        <v>0</v>
      </c>
      <c r="G72" s="1469">
        <f>TRESORERIA!G112</f>
        <v>0</v>
      </c>
      <c r="H72" s="1469">
        <f>TRESORERIA!H112</f>
        <v>0</v>
      </c>
      <c r="I72" s="1469">
        <f>TRESORERIA!I112</f>
        <v>0</v>
      </c>
      <c r="J72" s="1469">
        <f>TRESORERIA!J112</f>
        <v>0</v>
      </c>
      <c r="K72" s="1469">
        <f>TRESORERIA!K112</f>
        <v>0</v>
      </c>
      <c r="L72" s="1469">
        <f>TRESORERIA!L112</f>
        <v>0</v>
      </c>
      <c r="M72" s="1469">
        <f>TRESORERIA!M112</f>
        <v>0</v>
      </c>
      <c r="N72" s="1469">
        <f>TRESORERIA!N112</f>
        <v>0</v>
      </c>
      <c r="O72" s="1470">
        <f>TRESORERIA!O112</f>
        <v>0</v>
      </c>
    </row>
    <row r="73" spans="1:15" x14ac:dyDescent="0.25">
      <c r="A73" s="1955" t="str">
        <f>+A19</f>
        <v>Leasing</v>
      </c>
      <c r="B73" s="1967"/>
      <c r="C73" s="1469">
        <f>+TRESORERIA!C113</f>
        <v>0</v>
      </c>
      <c r="D73" s="1469">
        <f>+TRESORERIA!D113</f>
        <v>0</v>
      </c>
      <c r="E73" s="1469">
        <f>+TRESORERIA!E113</f>
        <v>0</v>
      </c>
      <c r="F73" s="1469">
        <f>+TRESORERIA!F113</f>
        <v>0</v>
      </c>
      <c r="G73" s="1469">
        <f>+TRESORERIA!G113</f>
        <v>0</v>
      </c>
      <c r="H73" s="1469">
        <f>+TRESORERIA!H113</f>
        <v>0</v>
      </c>
      <c r="I73" s="1469">
        <f>+TRESORERIA!I113</f>
        <v>0</v>
      </c>
      <c r="J73" s="1469">
        <f>+TRESORERIA!J113</f>
        <v>0</v>
      </c>
      <c r="K73" s="1469">
        <f>+TRESORERIA!K113</f>
        <v>0</v>
      </c>
      <c r="L73" s="1469">
        <f>+TRESORERIA!L113</f>
        <v>0</v>
      </c>
      <c r="M73" s="1469">
        <f>+TRESORERIA!M113</f>
        <v>0</v>
      </c>
      <c r="N73" s="1469">
        <f>+TRESORERIA!N113</f>
        <v>0</v>
      </c>
      <c r="O73" s="1469">
        <f>+TRESORERIA!O113</f>
        <v>0</v>
      </c>
    </row>
    <row r="74" spans="1:15" x14ac:dyDescent="0.25">
      <c r="A74" s="1966" t="str">
        <f t="shared" ref="A74:A82" si="0">+A20</f>
        <v>Reparacions</v>
      </c>
      <c r="B74" s="1966"/>
      <c r="C74" s="1471">
        <f>TRESORERIA!C114</f>
        <v>0</v>
      </c>
      <c r="D74" s="1471">
        <f>TRESORERIA!D114</f>
        <v>0</v>
      </c>
      <c r="E74" s="1471">
        <f>TRESORERIA!E114</f>
        <v>0</v>
      </c>
      <c r="F74" s="1471">
        <f>TRESORERIA!F114</f>
        <v>0</v>
      </c>
      <c r="G74" s="1471">
        <f>TRESORERIA!G114</f>
        <v>0</v>
      </c>
      <c r="H74" s="1471">
        <f>TRESORERIA!H114</f>
        <v>0</v>
      </c>
      <c r="I74" s="1471">
        <f>TRESORERIA!I114</f>
        <v>0</v>
      </c>
      <c r="J74" s="1471">
        <f>TRESORERIA!J114</f>
        <v>0</v>
      </c>
      <c r="K74" s="1471">
        <f>TRESORERIA!K114</f>
        <v>0</v>
      </c>
      <c r="L74" s="1471">
        <f>TRESORERIA!L114</f>
        <v>0</v>
      </c>
      <c r="M74" s="1471">
        <f>TRESORERIA!M114</f>
        <v>0</v>
      </c>
      <c r="N74" s="1471">
        <f>TRESORERIA!N114</f>
        <v>0</v>
      </c>
      <c r="O74" s="1472">
        <f>TRESORERIA!O114</f>
        <v>0</v>
      </c>
    </row>
    <row r="75" spans="1:15" x14ac:dyDescent="0.25">
      <c r="A75" s="1966" t="str">
        <f t="shared" si="0"/>
        <v>Serveis professionals</v>
      </c>
      <c r="B75" s="1966"/>
      <c r="C75" s="1471">
        <f>TRESORERIA!C115</f>
        <v>0</v>
      </c>
      <c r="D75" s="1471">
        <f>TRESORERIA!D115</f>
        <v>0</v>
      </c>
      <c r="E75" s="1471">
        <f>TRESORERIA!E115</f>
        <v>0</v>
      </c>
      <c r="F75" s="1471">
        <f>TRESORERIA!F115</f>
        <v>0</v>
      </c>
      <c r="G75" s="1471">
        <f>TRESORERIA!G115</f>
        <v>0</v>
      </c>
      <c r="H75" s="1471">
        <f>TRESORERIA!H115</f>
        <v>0</v>
      </c>
      <c r="I75" s="1471">
        <f>TRESORERIA!I115</f>
        <v>0</v>
      </c>
      <c r="J75" s="1471">
        <f>TRESORERIA!J115</f>
        <v>0</v>
      </c>
      <c r="K75" s="1471">
        <f>TRESORERIA!K115</f>
        <v>0</v>
      </c>
      <c r="L75" s="1471">
        <f>TRESORERIA!L115</f>
        <v>0</v>
      </c>
      <c r="M75" s="1471">
        <f>TRESORERIA!M115</f>
        <v>0</v>
      </c>
      <c r="N75" s="1471">
        <f>TRESORERIA!N115</f>
        <v>0</v>
      </c>
      <c r="O75" s="1472">
        <f>TRESORERIA!O115</f>
        <v>0</v>
      </c>
    </row>
    <row r="76" spans="1:15" x14ac:dyDescent="0.25">
      <c r="A76" s="1966" t="str">
        <f t="shared" si="0"/>
        <v>Comissions</v>
      </c>
      <c r="B76" s="1966"/>
      <c r="C76" s="1471">
        <f>TRESORERIA!C116</f>
        <v>0</v>
      </c>
      <c r="D76" s="1471">
        <f>TRESORERIA!D116</f>
        <v>0</v>
      </c>
      <c r="E76" s="1471">
        <f>TRESORERIA!E116</f>
        <v>0</v>
      </c>
      <c r="F76" s="1471">
        <f>TRESORERIA!F116</f>
        <v>0</v>
      </c>
      <c r="G76" s="1471">
        <f>TRESORERIA!G116</f>
        <v>0</v>
      </c>
      <c r="H76" s="1471">
        <f>TRESORERIA!H116</f>
        <v>0</v>
      </c>
      <c r="I76" s="1471">
        <f>TRESORERIA!I116</f>
        <v>0</v>
      </c>
      <c r="J76" s="1471">
        <f>TRESORERIA!J116</f>
        <v>0</v>
      </c>
      <c r="K76" s="1471">
        <f>TRESORERIA!K116</f>
        <v>0</v>
      </c>
      <c r="L76" s="1471">
        <f>TRESORERIA!L116</f>
        <v>0</v>
      </c>
      <c r="M76" s="1471">
        <f>TRESORERIA!M116</f>
        <v>0</v>
      </c>
      <c r="N76" s="1471">
        <f>TRESORERIA!N116</f>
        <v>0</v>
      </c>
      <c r="O76" s="1472">
        <f>TRESORERIA!O116</f>
        <v>0</v>
      </c>
    </row>
    <row r="77" spans="1:15" x14ac:dyDescent="0.25">
      <c r="A77" s="1966" t="str">
        <f t="shared" si="0"/>
        <v>Transport d'existències</v>
      </c>
      <c r="B77" s="1966"/>
      <c r="C77" s="1471">
        <f>TRESORERIA!C117</f>
        <v>0</v>
      </c>
      <c r="D77" s="1471">
        <f>TRESORERIA!D117</f>
        <v>0</v>
      </c>
      <c r="E77" s="1471">
        <f>TRESORERIA!E117</f>
        <v>0</v>
      </c>
      <c r="F77" s="1471">
        <f>TRESORERIA!F117</f>
        <v>0</v>
      </c>
      <c r="G77" s="1471">
        <f>TRESORERIA!G117</f>
        <v>0</v>
      </c>
      <c r="H77" s="1471">
        <f>TRESORERIA!H117</f>
        <v>0</v>
      </c>
      <c r="I77" s="1471">
        <f>TRESORERIA!I117</f>
        <v>0</v>
      </c>
      <c r="J77" s="1471">
        <f>TRESORERIA!J117</f>
        <v>0</v>
      </c>
      <c r="K77" s="1471">
        <f>TRESORERIA!K117</f>
        <v>0</v>
      </c>
      <c r="L77" s="1471">
        <f>TRESORERIA!L117</f>
        <v>0</v>
      </c>
      <c r="M77" s="1471">
        <f>TRESORERIA!M117</f>
        <v>0</v>
      </c>
      <c r="N77" s="1471">
        <f>TRESORERIA!N117</f>
        <v>0</v>
      </c>
      <c r="O77" s="1472">
        <f>TRESORERIA!O117</f>
        <v>0</v>
      </c>
    </row>
    <row r="78" spans="1:15" x14ac:dyDescent="0.25">
      <c r="A78" s="1966" t="str">
        <f t="shared" si="0"/>
        <v>Assegurances</v>
      </c>
      <c r="B78" s="1966"/>
      <c r="C78" s="1471">
        <f>TRESORERIA!C118</f>
        <v>0</v>
      </c>
      <c r="D78" s="1471">
        <f>TRESORERIA!D118</f>
        <v>0</v>
      </c>
      <c r="E78" s="1471">
        <f>TRESORERIA!E118</f>
        <v>0</v>
      </c>
      <c r="F78" s="1471">
        <f>TRESORERIA!F118</f>
        <v>0</v>
      </c>
      <c r="G78" s="1471">
        <f>TRESORERIA!G118</f>
        <v>0</v>
      </c>
      <c r="H78" s="1471">
        <f>TRESORERIA!H118</f>
        <v>0</v>
      </c>
      <c r="I78" s="1471">
        <f>TRESORERIA!I118</f>
        <v>0</v>
      </c>
      <c r="J78" s="1471">
        <f>TRESORERIA!J118</f>
        <v>0</v>
      </c>
      <c r="K78" s="1471">
        <f>TRESORERIA!K118</f>
        <v>0</v>
      </c>
      <c r="L78" s="1471">
        <f>TRESORERIA!L118</f>
        <v>0</v>
      </c>
      <c r="M78" s="1471">
        <f>TRESORERIA!M118</f>
        <v>0</v>
      </c>
      <c r="N78" s="1471">
        <f>TRESORERIA!N118</f>
        <v>0</v>
      </c>
      <c r="O78" s="1472">
        <f>TRESORERIA!O118</f>
        <v>0</v>
      </c>
    </row>
    <row r="79" spans="1:15" x14ac:dyDescent="0.25">
      <c r="A79" s="1966" t="str">
        <f t="shared" si="0"/>
        <v>SERVEIS BANCARIS</v>
      </c>
      <c r="B79" s="1966"/>
      <c r="C79" s="1471">
        <f>TRESORERIA!C119</f>
        <v>0</v>
      </c>
      <c r="D79" s="1471">
        <f>TRESORERIA!D119</f>
        <v>0</v>
      </c>
      <c r="E79" s="1471">
        <f>TRESORERIA!E119</f>
        <v>0</v>
      </c>
      <c r="F79" s="1471">
        <f>TRESORERIA!F119</f>
        <v>0</v>
      </c>
      <c r="G79" s="1471">
        <f>TRESORERIA!G119</f>
        <v>0</v>
      </c>
      <c r="H79" s="1471">
        <f>TRESORERIA!H119</f>
        <v>0</v>
      </c>
      <c r="I79" s="1471">
        <f>TRESORERIA!I119</f>
        <v>0</v>
      </c>
      <c r="J79" s="1471">
        <f>TRESORERIA!J119</f>
        <v>0</v>
      </c>
      <c r="K79" s="1471">
        <f>TRESORERIA!K119</f>
        <v>0</v>
      </c>
      <c r="L79" s="1471">
        <f>TRESORERIA!L119</f>
        <v>0</v>
      </c>
      <c r="M79" s="1471">
        <f>TRESORERIA!M119</f>
        <v>0</v>
      </c>
      <c r="N79" s="1471">
        <f>TRESORERIA!N119</f>
        <v>0</v>
      </c>
      <c r="O79" s="1472">
        <f>TRESORERIA!O119</f>
        <v>0</v>
      </c>
    </row>
    <row r="80" spans="1:15" x14ac:dyDescent="0.25">
      <c r="A80" s="1966" t="str">
        <f t="shared" si="0"/>
        <v>Publicitat</v>
      </c>
      <c r="B80" s="1966"/>
      <c r="C80" s="1471">
        <f>TRESORERIA!C120</f>
        <v>0</v>
      </c>
      <c r="D80" s="1471">
        <f>TRESORERIA!D120</f>
        <v>0</v>
      </c>
      <c r="E80" s="1471">
        <f>TRESORERIA!E120</f>
        <v>0</v>
      </c>
      <c r="F80" s="1471">
        <f>TRESORERIA!F120</f>
        <v>0</v>
      </c>
      <c r="G80" s="1471">
        <f>TRESORERIA!G120</f>
        <v>0</v>
      </c>
      <c r="H80" s="1471">
        <f>TRESORERIA!H120</f>
        <v>0</v>
      </c>
      <c r="I80" s="1471">
        <f>TRESORERIA!I120</f>
        <v>0</v>
      </c>
      <c r="J80" s="1471">
        <f>TRESORERIA!J120</f>
        <v>0</v>
      </c>
      <c r="K80" s="1471">
        <f>TRESORERIA!K120</f>
        <v>0</v>
      </c>
      <c r="L80" s="1471">
        <f>TRESORERIA!L120</f>
        <v>0</v>
      </c>
      <c r="M80" s="1471">
        <f>TRESORERIA!M120</f>
        <v>0</v>
      </c>
      <c r="N80" s="1471">
        <f>TRESORERIA!N120</f>
        <v>0</v>
      </c>
      <c r="O80" s="1472">
        <f>TRESORERIA!O120</f>
        <v>0</v>
      </c>
    </row>
    <row r="81" spans="1:15" x14ac:dyDescent="0.25">
      <c r="A81" s="1968" t="str">
        <f t="shared" si="0"/>
        <v>Subministraments</v>
      </c>
      <c r="B81" s="1968"/>
      <c r="C81" s="1471">
        <f>TRESORERIA!C121</f>
        <v>0</v>
      </c>
      <c r="D81" s="1471">
        <f>TRESORERIA!D121</f>
        <v>0</v>
      </c>
      <c r="E81" s="1471">
        <f>TRESORERIA!E121</f>
        <v>0</v>
      </c>
      <c r="F81" s="1471">
        <f>TRESORERIA!F121</f>
        <v>0</v>
      </c>
      <c r="G81" s="1471">
        <f>TRESORERIA!G121</f>
        <v>0</v>
      </c>
      <c r="H81" s="1471">
        <f>TRESORERIA!H121</f>
        <v>0</v>
      </c>
      <c r="I81" s="1471">
        <f>TRESORERIA!I121</f>
        <v>0</v>
      </c>
      <c r="J81" s="1471">
        <f>TRESORERIA!J121</f>
        <v>0</v>
      </c>
      <c r="K81" s="1471">
        <f>TRESORERIA!K121</f>
        <v>0</v>
      </c>
      <c r="L81" s="1471">
        <f>TRESORERIA!L121</f>
        <v>0</v>
      </c>
      <c r="M81" s="1471">
        <f>TRESORERIA!M121</f>
        <v>0</v>
      </c>
      <c r="N81" s="1471">
        <f>TRESORERIA!N121</f>
        <v>0</v>
      </c>
      <c r="O81" s="1472">
        <f>TRESORERIA!O121</f>
        <v>0</v>
      </c>
    </row>
    <row r="82" spans="1:15" x14ac:dyDescent="0.25">
      <c r="A82" s="1968" t="str">
        <f t="shared" si="0"/>
        <v>Despeses diverses</v>
      </c>
      <c r="B82" s="1968"/>
      <c r="C82" s="1327">
        <f>TRESORERIA!C122</f>
        <v>0</v>
      </c>
      <c r="D82" s="1327">
        <f>TRESORERIA!D122</f>
        <v>0</v>
      </c>
      <c r="E82" s="1327">
        <f>TRESORERIA!E122</f>
        <v>0</v>
      </c>
      <c r="F82" s="1327">
        <f>TRESORERIA!F122</f>
        <v>0</v>
      </c>
      <c r="G82" s="1327">
        <f>TRESORERIA!G122</f>
        <v>0</v>
      </c>
      <c r="H82" s="1327">
        <f>TRESORERIA!H122</f>
        <v>0</v>
      </c>
      <c r="I82" s="1327">
        <f>TRESORERIA!I122</f>
        <v>0</v>
      </c>
      <c r="J82" s="1327">
        <f>TRESORERIA!J122</f>
        <v>0</v>
      </c>
      <c r="K82" s="1327">
        <f>TRESORERIA!K122</f>
        <v>0</v>
      </c>
      <c r="L82" s="1327">
        <f>TRESORERIA!L122</f>
        <v>0</v>
      </c>
      <c r="M82" s="1327">
        <f>TRESORERIA!M122</f>
        <v>0</v>
      </c>
      <c r="N82" s="1327">
        <f>TRESORERIA!N122</f>
        <v>0</v>
      </c>
      <c r="O82" s="1335">
        <f>TRESORERIA!O122</f>
        <v>0</v>
      </c>
    </row>
    <row r="83" spans="1:15" ht="13" x14ac:dyDescent="0.25">
      <c r="A83" s="1962" t="str">
        <f>+A29</f>
        <v>Despeses de personal</v>
      </c>
      <c r="B83" s="1962"/>
      <c r="C83" s="1467">
        <f>TRESORERIA!C123</f>
        <v>0</v>
      </c>
      <c r="D83" s="1467">
        <f>TRESORERIA!D123</f>
        <v>0</v>
      </c>
      <c r="E83" s="1467">
        <f>TRESORERIA!E123</f>
        <v>0</v>
      </c>
      <c r="F83" s="1467">
        <f>TRESORERIA!F123</f>
        <v>0</v>
      </c>
      <c r="G83" s="1467">
        <f>TRESORERIA!G123</f>
        <v>0</v>
      </c>
      <c r="H83" s="1467">
        <f>TRESORERIA!H123</f>
        <v>0</v>
      </c>
      <c r="I83" s="1467">
        <f>TRESORERIA!I123</f>
        <v>0</v>
      </c>
      <c r="J83" s="1467">
        <f>TRESORERIA!J123</f>
        <v>0</v>
      </c>
      <c r="K83" s="1467">
        <f>TRESORERIA!K123</f>
        <v>0</v>
      </c>
      <c r="L83" s="1467">
        <f>TRESORERIA!L123</f>
        <v>0</v>
      </c>
      <c r="M83" s="1467">
        <f>TRESORERIA!M123</f>
        <v>0</v>
      </c>
      <c r="N83" s="1467">
        <f>TRESORERIA!N123</f>
        <v>0</v>
      </c>
      <c r="O83" s="1468">
        <f>TRESORERIA!O123</f>
        <v>0</v>
      </c>
    </row>
    <row r="84" spans="1:15" x14ac:dyDescent="0.25">
      <c r="A84" s="1954" t="s">
        <v>455</v>
      </c>
      <c r="B84" s="1954"/>
      <c r="C84" s="1469">
        <f>TRESORERIA!C124</f>
        <v>0</v>
      </c>
      <c r="D84" s="1469">
        <f>TRESORERIA!D124</f>
        <v>0</v>
      </c>
      <c r="E84" s="1469">
        <f>TRESORERIA!E124</f>
        <v>0</v>
      </c>
      <c r="F84" s="1469">
        <f>TRESORERIA!F124</f>
        <v>0</v>
      </c>
      <c r="G84" s="1469">
        <f>TRESORERIA!G124</f>
        <v>0</v>
      </c>
      <c r="H84" s="1469">
        <f>TRESORERIA!H124</f>
        <v>0</v>
      </c>
      <c r="I84" s="1469">
        <f>TRESORERIA!I124</f>
        <v>0</v>
      </c>
      <c r="J84" s="1469">
        <f>TRESORERIA!J124</f>
        <v>0</v>
      </c>
      <c r="K84" s="1469">
        <f>TRESORERIA!K124</f>
        <v>0</v>
      </c>
      <c r="L84" s="1469">
        <f>TRESORERIA!L124</f>
        <v>0</v>
      </c>
      <c r="M84" s="1469">
        <f>TRESORERIA!M124</f>
        <v>0</v>
      </c>
      <c r="N84" s="1469">
        <f>TRESORERIA!N124</f>
        <v>0</v>
      </c>
      <c r="O84" s="1470">
        <f>TRESORERIA!O124</f>
        <v>0</v>
      </c>
    </row>
    <row r="85" spans="1:15" x14ac:dyDescent="0.25">
      <c r="A85" s="1969" t="str">
        <f t="shared" ref="A85:A99" si="1">+A31</f>
        <v>Treballadors (personal)</v>
      </c>
      <c r="B85" s="1969"/>
      <c r="C85" s="1471">
        <f>TRESORERIA!C125</f>
        <v>0</v>
      </c>
      <c r="D85" s="1471">
        <f>TRESORERIA!D125</f>
        <v>0</v>
      </c>
      <c r="E85" s="1471">
        <f>TRESORERIA!E125</f>
        <v>0</v>
      </c>
      <c r="F85" s="1471">
        <f>TRESORERIA!F125</f>
        <v>0</v>
      </c>
      <c r="G85" s="1471">
        <f>TRESORERIA!G125</f>
        <v>0</v>
      </c>
      <c r="H85" s="1471">
        <f>TRESORERIA!H125</f>
        <v>0</v>
      </c>
      <c r="I85" s="1471">
        <f>TRESORERIA!I125</f>
        <v>0</v>
      </c>
      <c r="J85" s="1471">
        <f>TRESORERIA!J125</f>
        <v>0</v>
      </c>
      <c r="K85" s="1471">
        <f>TRESORERIA!K125</f>
        <v>0</v>
      </c>
      <c r="L85" s="1471">
        <f>TRESORERIA!L125</f>
        <v>0</v>
      </c>
      <c r="M85" s="1471">
        <f>TRESORERIA!M125</f>
        <v>0</v>
      </c>
      <c r="N85" s="1471">
        <f>TRESORERIA!N125</f>
        <v>0</v>
      </c>
      <c r="O85" s="1472">
        <f>TRESORERIA!O125</f>
        <v>0</v>
      </c>
    </row>
    <row r="86" spans="1:15" x14ac:dyDescent="0.25">
      <c r="A86" s="1969" t="str">
        <f t="shared" si="1"/>
        <v>Promotors</v>
      </c>
      <c r="B86" s="1969"/>
      <c r="C86" s="1471">
        <f>TRESORERIA!C126</f>
        <v>0</v>
      </c>
      <c r="D86" s="1471">
        <f>TRESORERIA!D126</f>
        <v>0</v>
      </c>
      <c r="E86" s="1471">
        <f>TRESORERIA!E126</f>
        <v>0</v>
      </c>
      <c r="F86" s="1471">
        <f>TRESORERIA!F126</f>
        <v>0</v>
      </c>
      <c r="G86" s="1471">
        <f>TRESORERIA!G126</f>
        <v>0</v>
      </c>
      <c r="H86" s="1471">
        <f>TRESORERIA!H126</f>
        <v>0</v>
      </c>
      <c r="I86" s="1471">
        <f>TRESORERIA!I126</f>
        <v>0</v>
      </c>
      <c r="J86" s="1471">
        <f>TRESORERIA!J126</f>
        <v>0</v>
      </c>
      <c r="K86" s="1471">
        <f>TRESORERIA!K126</f>
        <v>0</v>
      </c>
      <c r="L86" s="1471">
        <f>TRESORERIA!L126</f>
        <v>0</v>
      </c>
      <c r="M86" s="1471">
        <f>TRESORERIA!M126</f>
        <v>0</v>
      </c>
      <c r="N86" s="1471">
        <f>TRESORERIA!N126</f>
        <v>0</v>
      </c>
      <c r="O86" s="1472">
        <f>TRESORERIA!O126</f>
        <v>0</v>
      </c>
    </row>
    <row r="87" spans="1:15" x14ac:dyDescent="0.25">
      <c r="A87" s="1966" t="str">
        <f t="shared" si="1"/>
        <v>Seguretat Social</v>
      </c>
      <c r="B87" s="1966"/>
      <c r="C87" s="1471">
        <f>TRESORERIA!C127</f>
        <v>0</v>
      </c>
      <c r="D87" s="1471">
        <f>TRESORERIA!D127</f>
        <v>0</v>
      </c>
      <c r="E87" s="1471">
        <f>TRESORERIA!E127</f>
        <v>0</v>
      </c>
      <c r="F87" s="1471">
        <f>TRESORERIA!F127</f>
        <v>0</v>
      </c>
      <c r="G87" s="1471">
        <f>TRESORERIA!G127</f>
        <v>0</v>
      </c>
      <c r="H87" s="1471">
        <f>TRESORERIA!H127</f>
        <v>0</v>
      </c>
      <c r="I87" s="1471">
        <f>TRESORERIA!I127</f>
        <v>0</v>
      </c>
      <c r="J87" s="1471">
        <f>TRESORERIA!J127</f>
        <v>0</v>
      </c>
      <c r="K87" s="1471">
        <f>TRESORERIA!K127</f>
        <v>0</v>
      </c>
      <c r="L87" s="1471">
        <f>TRESORERIA!L127</f>
        <v>0</v>
      </c>
      <c r="M87" s="1471">
        <f>TRESORERIA!M127</f>
        <v>0</v>
      </c>
      <c r="N87" s="1471">
        <f>TRESORERIA!N127</f>
        <v>0</v>
      </c>
      <c r="O87" s="1472">
        <f>TRESORERIA!O127</f>
        <v>0</v>
      </c>
    </row>
    <row r="88" spans="1:15" x14ac:dyDescent="0.25">
      <c r="A88" s="1969" t="str">
        <f t="shared" si="1"/>
        <v>Empresa (personal)</v>
      </c>
      <c r="B88" s="1969"/>
      <c r="C88" s="1471">
        <f>TRESORERIA!C128</f>
        <v>0</v>
      </c>
      <c r="D88" s="1471">
        <f>TRESORERIA!D128</f>
        <v>0</v>
      </c>
      <c r="E88" s="1471">
        <f>TRESORERIA!E128</f>
        <v>0</v>
      </c>
      <c r="F88" s="1471">
        <f>TRESORERIA!F128</f>
        <v>0</v>
      </c>
      <c r="G88" s="1471">
        <f>TRESORERIA!G128</f>
        <v>0</v>
      </c>
      <c r="H88" s="1471">
        <f>TRESORERIA!H128</f>
        <v>0</v>
      </c>
      <c r="I88" s="1471">
        <f>TRESORERIA!I128</f>
        <v>0</v>
      </c>
      <c r="J88" s="1471">
        <f>TRESORERIA!J128</f>
        <v>0</v>
      </c>
      <c r="K88" s="1471">
        <f>TRESORERIA!K128</f>
        <v>0</v>
      </c>
      <c r="L88" s="1471">
        <f>TRESORERIA!L128</f>
        <v>0</v>
      </c>
      <c r="M88" s="1471">
        <f>TRESORERIA!M128</f>
        <v>0</v>
      </c>
      <c r="N88" s="1471">
        <f>TRESORERIA!N128</f>
        <v>0</v>
      </c>
      <c r="O88" s="1472">
        <f>TRESORERIA!O128</f>
        <v>0</v>
      </c>
    </row>
    <row r="89" spans="1:15" x14ac:dyDescent="0.25">
      <c r="A89" s="1969" t="str">
        <f t="shared" si="1"/>
        <v>Treballadors (personal)</v>
      </c>
      <c r="B89" s="1969"/>
      <c r="C89" s="1471">
        <f>TRESORERIA!C129</f>
        <v>0</v>
      </c>
      <c r="D89" s="1471">
        <f>TRESORERIA!D129</f>
        <v>0</v>
      </c>
      <c r="E89" s="1471">
        <f>TRESORERIA!E129</f>
        <v>0</v>
      </c>
      <c r="F89" s="1471">
        <f>TRESORERIA!F129</f>
        <v>0</v>
      </c>
      <c r="G89" s="1471">
        <f>TRESORERIA!G129</f>
        <v>0</v>
      </c>
      <c r="H89" s="1471">
        <f>TRESORERIA!H129</f>
        <v>0</v>
      </c>
      <c r="I89" s="1471">
        <f>TRESORERIA!I129</f>
        <v>0</v>
      </c>
      <c r="J89" s="1471">
        <f>TRESORERIA!J129</f>
        <v>0</v>
      </c>
      <c r="K89" s="1471">
        <f>TRESORERIA!K129</f>
        <v>0</v>
      </c>
      <c r="L89" s="1471">
        <f>TRESORERIA!L129</f>
        <v>0</v>
      </c>
      <c r="M89" s="1471">
        <f>TRESORERIA!M129</f>
        <v>0</v>
      </c>
      <c r="N89" s="1471">
        <f>TRESORERIA!N129</f>
        <v>0</v>
      </c>
      <c r="O89" s="1472">
        <f>TRESORERIA!O129</f>
        <v>0</v>
      </c>
    </row>
    <row r="90" spans="1:15" x14ac:dyDescent="0.25">
      <c r="A90" s="1969" t="str">
        <f t="shared" si="1"/>
        <v>Promotors</v>
      </c>
      <c r="B90" s="1969"/>
      <c r="C90" s="1327">
        <f>TRESORERIA!C130</f>
        <v>0</v>
      </c>
      <c r="D90" s="1327">
        <f>TRESORERIA!D130</f>
        <v>0</v>
      </c>
      <c r="E90" s="1327">
        <f>TRESORERIA!E130</f>
        <v>0</v>
      </c>
      <c r="F90" s="1327">
        <f>TRESORERIA!F130</f>
        <v>0</v>
      </c>
      <c r="G90" s="1327">
        <f>TRESORERIA!G130</f>
        <v>0</v>
      </c>
      <c r="H90" s="1327">
        <f>TRESORERIA!H130</f>
        <v>0</v>
      </c>
      <c r="I90" s="1327">
        <f>TRESORERIA!I130</f>
        <v>0</v>
      </c>
      <c r="J90" s="1327">
        <f>TRESORERIA!J130</f>
        <v>0</v>
      </c>
      <c r="K90" s="1327">
        <f>TRESORERIA!K130</f>
        <v>0</v>
      </c>
      <c r="L90" s="1327">
        <f>TRESORERIA!L130</f>
        <v>0</v>
      </c>
      <c r="M90" s="1327">
        <f>TRESORERIA!M130</f>
        <v>0</v>
      </c>
      <c r="N90" s="1327">
        <f>TRESORERIA!N130</f>
        <v>0</v>
      </c>
      <c r="O90" s="1335">
        <f>TRESORERIA!O130</f>
        <v>0</v>
      </c>
    </row>
    <row r="91" spans="1:15" ht="13" x14ac:dyDescent="0.25">
      <c r="A91" s="1962" t="str">
        <f t="shared" si="1"/>
        <v>Hisenda Pública</v>
      </c>
      <c r="B91" s="1962"/>
      <c r="C91" s="1467">
        <f>TRESORERIA!C131</f>
        <v>0</v>
      </c>
      <c r="D91" s="1467">
        <f>TRESORERIA!D131</f>
        <v>0</v>
      </c>
      <c r="E91" s="1467">
        <f>TRESORERIA!E131</f>
        <v>0</v>
      </c>
      <c r="F91" s="1467">
        <f>TRESORERIA!F131</f>
        <v>0</v>
      </c>
      <c r="G91" s="1467">
        <f>TRESORERIA!G131</f>
        <v>0</v>
      </c>
      <c r="H91" s="1467">
        <f>TRESORERIA!H131</f>
        <v>0</v>
      </c>
      <c r="I91" s="1467">
        <f>TRESORERIA!I131</f>
        <v>0</v>
      </c>
      <c r="J91" s="1467">
        <f>TRESORERIA!J131</f>
        <v>0</v>
      </c>
      <c r="K91" s="1467">
        <f>TRESORERIA!K131</f>
        <v>0</v>
      </c>
      <c r="L91" s="1467">
        <f>TRESORERIA!L131</f>
        <v>0</v>
      </c>
      <c r="M91" s="1467">
        <f>TRESORERIA!M131</f>
        <v>0</v>
      </c>
      <c r="N91" s="1467">
        <f>TRESORERIA!N131</f>
        <v>0</v>
      </c>
      <c r="O91" s="1468">
        <f>TRESORERIA!O131</f>
        <v>0</v>
      </c>
    </row>
    <row r="92" spans="1:15" x14ac:dyDescent="0.25">
      <c r="A92" s="1959" t="str">
        <f t="shared" si="1"/>
        <v>Impost d'Activitats Econòmiques</v>
      </c>
      <c r="B92" s="1959"/>
      <c r="C92" s="1469">
        <f>TRESORERIA!C132</f>
        <v>0</v>
      </c>
      <c r="D92" s="1469">
        <f>TRESORERIA!D132</f>
        <v>0</v>
      </c>
      <c r="E92" s="1469">
        <f>TRESORERIA!E132</f>
        <v>0</v>
      </c>
      <c r="F92" s="1469">
        <f>TRESORERIA!F132</f>
        <v>0</v>
      </c>
      <c r="G92" s="1469">
        <f>TRESORERIA!G132</f>
        <v>0</v>
      </c>
      <c r="H92" s="1469">
        <f>TRESORERIA!H132</f>
        <v>0</v>
      </c>
      <c r="I92" s="1469">
        <f>TRESORERIA!I132</f>
        <v>0</v>
      </c>
      <c r="J92" s="1469">
        <f>TRESORERIA!J132</f>
        <v>0</v>
      </c>
      <c r="K92" s="1469">
        <f>TRESORERIA!K132</f>
        <v>0</v>
      </c>
      <c r="L92" s="1469">
        <f>TRESORERIA!L132</f>
        <v>0</v>
      </c>
      <c r="M92" s="1469">
        <f>TRESORERIA!M132</f>
        <v>0</v>
      </c>
      <c r="N92" s="1469">
        <f>TRESORERIA!N132</f>
        <v>0</v>
      </c>
      <c r="O92" s="1470">
        <f>TRESORERIA!O132</f>
        <v>0</v>
      </c>
    </row>
    <row r="93" spans="1:15" x14ac:dyDescent="0.25">
      <c r="A93" s="1959" t="str">
        <f t="shared" si="1"/>
        <v>Retencions IRPF</v>
      </c>
      <c r="B93" s="1959"/>
      <c r="C93" s="1471">
        <f>TRESORERIA!C133</f>
        <v>0</v>
      </c>
      <c r="D93" s="1471">
        <f>TRESORERIA!D133</f>
        <v>0</v>
      </c>
      <c r="E93" s="1471">
        <f>TRESORERIA!E133</f>
        <v>0</v>
      </c>
      <c r="F93" s="1471">
        <f>TRESORERIA!F133</f>
        <v>0</v>
      </c>
      <c r="G93" s="1471">
        <f>TRESORERIA!G133</f>
        <v>0</v>
      </c>
      <c r="H93" s="1471">
        <f>TRESORERIA!H133</f>
        <v>0</v>
      </c>
      <c r="I93" s="1471">
        <f>TRESORERIA!I133</f>
        <v>0</v>
      </c>
      <c r="J93" s="1471">
        <f>TRESORERIA!J133</f>
        <v>0</v>
      </c>
      <c r="K93" s="1471">
        <f>TRESORERIA!K133</f>
        <v>0</v>
      </c>
      <c r="L93" s="1471">
        <f>TRESORERIA!L133</f>
        <v>0</v>
      </c>
      <c r="M93" s="1471">
        <f>TRESORERIA!M133</f>
        <v>0</v>
      </c>
      <c r="N93" s="1471">
        <f>TRESORERIA!N133</f>
        <v>0</v>
      </c>
      <c r="O93" s="1472">
        <f>TRESORERIA!O133</f>
        <v>0</v>
      </c>
    </row>
    <row r="94" spans="1:15" x14ac:dyDescent="0.25">
      <c r="A94" s="1959" t="str">
        <f t="shared" si="1"/>
        <v>Pagos a cuenta</v>
      </c>
      <c r="B94" s="1959"/>
      <c r="C94" s="1326">
        <f>+TRESORERIA!C134</f>
        <v>0</v>
      </c>
      <c r="D94" s="1326">
        <f>+TRESORERIA!D134</f>
        <v>0</v>
      </c>
      <c r="E94" s="1326">
        <f>+TRESORERIA!E134</f>
        <v>0</v>
      </c>
      <c r="F94" s="1326">
        <f>+TRESORERIA!F134</f>
        <v>0</v>
      </c>
      <c r="G94" s="1326">
        <f>+TRESORERIA!G134</f>
        <v>0</v>
      </c>
      <c r="H94" s="1326">
        <f>+TRESORERIA!H134</f>
        <v>0</v>
      </c>
      <c r="I94" s="1326">
        <f>+TRESORERIA!I134</f>
        <v>0</v>
      </c>
      <c r="J94" s="1326">
        <f>+TRESORERIA!J134</f>
        <v>0</v>
      </c>
      <c r="K94" s="1326">
        <f>+TRESORERIA!K134</f>
        <v>0</v>
      </c>
      <c r="L94" s="1326">
        <f>+TRESORERIA!L134</f>
        <v>0</v>
      </c>
      <c r="M94" s="1326">
        <f>+TRESORERIA!M134</f>
        <v>0</v>
      </c>
      <c r="N94" s="1326">
        <f>+TRESORERIA!N134</f>
        <v>0</v>
      </c>
      <c r="O94" s="1333">
        <f>+TRESORERIA!O134</f>
        <v>0</v>
      </c>
    </row>
    <row r="95" spans="1:15" ht="13" x14ac:dyDescent="0.25">
      <c r="A95" s="1963" t="str">
        <f t="shared" si="1"/>
        <v>Inversions</v>
      </c>
      <c r="B95" s="1963"/>
      <c r="C95" s="1467">
        <f>TRESORERIA!C135</f>
        <v>0</v>
      </c>
      <c r="D95" s="1467">
        <f>TRESORERIA!D135</f>
        <v>0</v>
      </c>
      <c r="E95" s="1467">
        <f>TRESORERIA!E135</f>
        <v>0</v>
      </c>
      <c r="F95" s="1467">
        <f>TRESORERIA!F135</f>
        <v>0</v>
      </c>
      <c r="G95" s="1467">
        <f>TRESORERIA!G135</f>
        <v>0</v>
      </c>
      <c r="H95" s="1467">
        <f>TRESORERIA!H135</f>
        <v>0</v>
      </c>
      <c r="I95" s="1467">
        <f>TRESORERIA!I135</f>
        <v>0</v>
      </c>
      <c r="J95" s="1467">
        <f>TRESORERIA!J135</f>
        <v>0</v>
      </c>
      <c r="K95" s="1467">
        <f>TRESORERIA!K135</f>
        <v>0</v>
      </c>
      <c r="L95" s="1467">
        <f>TRESORERIA!L135</f>
        <v>0</v>
      </c>
      <c r="M95" s="1467">
        <f>TRESORERIA!M135</f>
        <v>0</v>
      </c>
      <c r="N95" s="1467">
        <f>TRESORERIA!N135</f>
        <v>0</v>
      </c>
      <c r="O95" s="1468">
        <f>TRESORERIA!O135</f>
        <v>0</v>
      </c>
    </row>
    <row r="96" spans="1:15" ht="13" x14ac:dyDescent="0.25">
      <c r="A96" s="1963" t="str">
        <f t="shared" si="1"/>
        <v>Despeses financeres (interessos)</v>
      </c>
      <c r="B96" s="1963"/>
      <c r="C96" s="1467">
        <f>TRESORERIA!C136</f>
        <v>0</v>
      </c>
      <c r="D96" s="1467">
        <f>TRESORERIA!D136</f>
        <v>0</v>
      </c>
      <c r="E96" s="1467">
        <f>TRESORERIA!E136</f>
        <v>0</v>
      </c>
      <c r="F96" s="1467">
        <f>TRESORERIA!F136</f>
        <v>0</v>
      </c>
      <c r="G96" s="1467">
        <f>TRESORERIA!G136</f>
        <v>0</v>
      </c>
      <c r="H96" s="1467">
        <f>TRESORERIA!H136</f>
        <v>0</v>
      </c>
      <c r="I96" s="1467">
        <f>TRESORERIA!I136</f>
        <v>0</v>
      </c>
      <c r="J96" s="1467">
        <f>TRESORERIA!J136</f>
        <v>0</v>
      </c>
      <c r="K96" s="1467">
        <f>TRESORERIA!K136</f>
        <v>0</v>
      </c>
      <c r="L96" s="1467">
        <f>TRESORERIA!L136</f>
        <v>0</v>
      </c>
      <c r="M96" s="1467">
        <f>TRESORERIA!M136</f>
        <v>0</v>
      </c>
      <c r="N96" s="1467">
        <f>TRESORERIA!N136</f>
        <v>0</v>
      </c>
      <c r="O96" s="1468">
        <f>TRESORERIA!O136</f>
        <v>0</v>
      </c>
    </row>
    <row r="97" spans="1:15" ht="13" x14ac:dyDescent="0.25">
      <c r="A97" s="1963" t="str">
        <f t="shared" si="1"/>
        <v xml:space="preserve">Devolució préstec </v>
      </c>
      <c r="B97" s="1963"/>
      <c r="C97" s="1467">
        <f>TRESORERIA!C137</f>
        <v>0</v>
      </c>
      <c r="D97" s="1467">
        <f>TRESORERIA!D137</f>
        <v>0</v>
      </c>
      <c r="E97" s="1467">
        <f>TRESORERIA!E137</f>
        <v>0</v>
      </c>
      <c r="F97" s="1467">
        <f>TRESORERIA!F137</f>
        <v>0</v>
      </c>
      <c r="G97" s="1467">
        <f>TRESORERIA!G137</f>
        <v>0</v>
      </c>
      <c r="H97" s="1467">
        <f>TRESORERIA!H137</f>
        <v>0</v>
      </c>
      <c r="I97" s="1467">
        <f>TRESORERIA!I137</f>
        <v>0</v>
      </c>
      <c r="J97" s="1467">
        <f>TRESORERIA!J137</f>
        <v>0</v>
      </c>
      <c r="K97" s="1467">
        <f>TRESORERIA!K137</f>
        <v>0</v>
      </c>
      <c r="L97" s="1467">
        <f>TRESORERIA!L137</f>
        <v>0</v>
      </c>
      <c r="M97" s="1467">
        <f>TRESORERIA!M137</f>
        <v>0</v>
      </c>
      <c r="N97" s="1467">
        <f>TRESORERIA!N137</f>
        <v>0</v>
      </c>
      <c r="O97" s="1468">
        <f>TRESORERIA!O137</f>
        <v>0</v>
      </c>
    </row>
    <row r="98" spans="1:15" ht="13" x14ac:dyDescent="0.25">
      <c r="A98" s="1963" t="str">
        <f t="shared" si="1"/>
        <v>IVA PAGAT</v>
      </c>
      <c r="B98" s="1963"/>
      <c r="C98" s="1467">
        <f>TRESORERIA!C138</f>
        <v>0</v>
      </c>
      <c r="D98" s="1467">
        <f>TRESORERIA!D138</f>
        <v>0</v>
      </c>
      <c r="E98" s="1467">
        <f>TRESORERIA!E138</f>
        <v>0</v>
      </c>
      <c r="F98" s="1467">
        <f>TRESORERIA!F138</f>
        <v>0</v>
      </c>
      <c r="G98" s="1467">
        <f>TRESORERIA!G138</f>
        <v>0</v>
      </c>
      <c r="H98" s="1467">
        <f>TRESORERIA!H138</f>
        <v>0</v>
      </c>
      <c r="I98" s="1467">
        <f>TRESORERIA!I138</f>
        <v>0</v>
      </c>
      <c r="J98" s="1467">
        <f>TRESORERIA!J138</f>
        <v>0</v>
      </c>
      <c r="K98" s="1467">
        <f>TRESORERIA!K138</f>
        <v>0</v>
      </c>
      <c r="L98" s="1467">
        <f>TRESORERIA!L138</f>
        <v>0</v>
      </c>
      <c r="M98" s="1467">
        <f>TRESORERIA!M138</f>
        <v>0</v>
      </c>
      <c r="N98" s="1467">
        <f>TRESORERIA!N138</f>
        <v>0</v>
      </c>
      <c r="O98" s="1468">
        <f>TRESORERIA!O138</f>
        <v>0</v>
      </c>
    </row>
    <row r="99" spans="1:15" ht="13" x14ac:dyDescent="0.25">
      <c r="A99" s="1964" t="str">
        <f t="shared" si="1"/>
        <v>(2) TOTAL PAGAMENTS</v>
      </c>
      <c r="B99" s="1964"/>
      <c r="C99" s="1330">
        <f>TRESORERIA!C139</f>
        <v>0</v>
      </c>
      <c r="D99" s="1330">
        <f>TRESORERIA!D139</f>
        <v>0</v>
      </c>
      <c r="E99" s="1330">
        <f>TRESORERIA!E139</f>
        <v>0</v>
      </c>
      <c r="F99" s="1330">
        <f>TRESORERIA!F139</f>
        <v>0</v>
      </c>
      <c r="G99" s="1330">
        <f>TRESORERIA!G139</f>
        <v>0</v>
      </c>
      <c r="H99" s="1330">
        <f>TRESORERIA!H139</f>
        <v>0</v>
      </c>
      <c r="I99" s="1330">
        <f>TRESORERIA!I139</f>
        <v>0</v>
      </c>
      <c r="J99" s="1330">
        <f>TRESORERIA!J139</f>
        <v>0</v>
      </c>
      <c r="K99" s="1330">
        <f>TRESORERIA!K139</f>
        <v>0</v>
      </c>
      <c r="L99" s="1330">
        <f>TRESORERIA!L139</f>
        <v>0</v>
      </c>
      <c r="M99" s="1330">
        <f>TRESORERIA!M139</f>
        <v>0</v>
      </c>
      <c r="N99" s="1330">
        <f>TRESORERIA!N139</f>
        <v>0</v>
      </c>
      <c r="O99" s="1330">
        <f>TRESORERIA!O139</f>
        <v>0</v>
      </c>
    </row>
    <row r="100" spans="1:15" x14ac:dyDescent="0.25">
      <c r="C100" s="1331"/>
      <c r="D100" s="1331"/>
      <c r="E100" s="1331"/>
      <c r="F100" s="1331"/>
      <c r="G100" s="1331"/>
      <c r="H100" s="1331"/>
      <c r="I100" s="1331"/>
      <c r="J100" s="1331"/>
      <c r="K100" s="1331"/>
      <c r="L100" s="1331"/>
      <c r="M100" s="1331"/>
      <c r="N100" s="1331"/>
      <c r="O100" s="1331"/>
    </row>
    <row r="101" spans="1:15" ht="13" x14ac:dyDescent="0.25">
      <c r="A101" s="1970" t="str">
        <f t="shared" ref="A101:A107" si="2">+A47</f>
        <v>SALDO INICIAL</v>
      </c>
      <c r="B101" s="1970"/>
      <c r="C101" s="1330">
        <f>TRESORERIA!C141</f>
        <v>0</v>
      </c>
      <c r="D101" s="1330">
        <f>TRESORERIA!D141</f>
        <v>0</v>
      </c>
      <c r="E101" s="1330">
        <f>TRESORERIA!E141</f>
        <v>0</v>
      </c>
      <c r="F101" s="1330">
        <f>TRESORERIA!F141</f>
        <v>0</v>
      </c>
      <c r="G101" s="1330">
        <f>TRESORERIA!G141</f>
        <v>0</v>
      </c>
      <c r="H101" s="1330">
        <f>TRESORERIA!H141</f>
        <v>0</v>
      </c>
      <c r="I101" s="1330">
        <f>TRESORERIA!I141</f>
        <v>0</v>
      </c>
      <c r="J101" s="1330">
        <f>TRESORERIA!J141</f>
        <v>0</v>
      </c>
      <c r="K101" s="1330">
        <f>TRESORERIA!K141</f>
        <v>0</v>
      </c>
      <c r="L101" s="1330">
        <f>TRESORERIA!L141</f>
        <v>0</v>
      </c>
      <c r="M101" s="1330">
        <f>TRESORERIA!M141</f>
        <v>0</v>
      </c>
      <c r="N101" s="1330">
        <f>TRESORERIA!N141</f>
        <v>0</v>
      </c>
      <c r="O101" s="1330">
        <f>TRESORERIA!O141</f>
        <v>0</v>
      </c>
    </row>
    <row r="102" spans="1:15" ht="13" x14ac:dyDescent="0.25">
      <c r="A102" s="1970" t="str">
        <f t="shared" si="2"/>
        <v>COBRAMENTS - PAGAMENTS</v>
      </c>
      <c r="B102" s="1970"/>
      <c r="C102" s="1330">
        <f>TRESORERIA!C142</f>
        <v>0</v>
      </c>
      <c r="D102" s="1330">
        <f>TRESORERIA!D142</f>
        <v>0</v>
      </c>
      <c r="E102" s="1330">
        <f>TRESORERIA!E142</f>
        <v>0</v>
      </c>
      <c r="F102" s="1330">
        <f>TRESORERIA!F142</f>
        <v>0</v>
      </c>
      <c r="G102" s="1330">
        <f>TRESORERIA!G142</f>
        <v>0</v>
      </c>
      <c r="H102" s="1330">
        <f>TRESORERIA!H142</f>
        <v>0</v>
      </c>
      <c r="I102" s="1330">
        <f>TRESORERIA!I142</f>
        <v>0</v>
      </c>
      <c r="J102" s="1330">
        <f>TRESORERIA!J142</f>
        <v>0</v>
      </c>
      <c r="K102" s="1330">
        <f>TRESORERIA!K142</f>
        <v>0</v>
      </c>
      <c r="L102" s="1330">
        <f>TRESORERIA!L142</f>
        <v>0</v>
      </c>
      <c r="M102" s="1330">
        <f>TRESORERIA!M142</f>
        <v>0</v>
      </c>
      <c r="N102" s="1330">
        <f>TRESORERIA!N142</f>
        <v>0</v>
      </c>
      <c r="O102" s="1330">
        <f>TRESORERIA!O142</f>
        <v>0</v>
      </c>
    </row>
    <row r="103" spans="1:15" ht="13" x14ac:dyDescent="0.25">
      <c r="A103" s="1960" t="str">
        <f t="shared" si="2"/>
        <v>LIQUIDACIÓN IVA</v>
      </c>
      <c r="B103" s="1960"/>
      <c r="C103" s="1328">
        <f>TRESORERIA!C143</f>
        <v>0</v>
      </c>
      <c r="D103" s="1328">
        <f>TRESORERIA!D143</f>
        <v>0</v>
      </c>
      <c r="E103" s="1328">
        <f>TRESORERIA!E143</f>
        <v>0</v>
      </c>
      <c r="F103" s="1328">
        <f>TRESORERIA!F143</f>
        <v>0</v>
      </c>
      <c r="G103" s="1328">
        <f>TRESORERIA!G143</f>
        <v>0</v>
      </c>
      <c r="H103" s="1328">
        <f>TRESORERIA!H143</f>
        <v>0</v>
      </c>
      <c r="I103" s="1328">
        <f>TRESORERIA!I143</f>
        <v>0</v>
      </c>
      <c r="J103" s="1328">
        <f>TRESORERIA!J143</f>
        <v>0</v>
      </c>
      <c r="K103" s="1328">
        <f>TRESORERIA!K143</f>
        <v>0</v>
      </c>
      <c r="L103" s="1328">
        <f>TRESORERIA!L143</f>
        <v>0</v>
      </c>
      <c r="M103" s="1328">
        <f>TRESORERIA!M143</f>
        <v>0</v>
      </c>
      <c r="N103" s="1328">
        <f>TRESORERIA!N143</f>
        <v>0</v>
      </c>
      <c r="O103" s="1329">
        <f>TRESORERIA!O143</f>
        <v>0</v>
      </c>
    </row>
    <row r="104" spans="1:15" ht="13" x14ac:dyDescent="0.25">
      <c r="A104" s="1970" t="str">
        <f t="shared" si="2"/>
        <v>SALDO FINAL</v>
      </c>
      <c r="B104" s="1970"/>
      <c r="C104" s="1330">
        <f>TRESORERIA!C144</f>
        <v>0</v>
      </c>
      <c r="D104" s="1330">
        <f>TRESORERIA!D144</f>
        <v>0</v>
      </c>
      <c r="E104" s="1330">
        <f>TRESORERIA!E144</f>
        <v>0</v>
      </c>
      <c r="F104" s="1330">
        <f>TRESORERIA!F144</f>
        <v>0</v>
      </c>
      <c r="G104" s="1330">
        <f>TRESORERIA!G144</f>
        <v>0</v>
      </c>
      <c r="H104" s="1330">
        <f>TRESORERIA!H144</f>
        <v>0</v>
      </c>
      <c r="I104" s="1330">
        <f>TRESORERIA!I144</f>
        <v>0</v>
      </c>
      <c r="J104" s="1330">
        <f>TRESORERIA!J144</f>
        <v>0</v>
      </c>
      <c r="K104" s="1330">
        <f>TRESORERIA!K144</f>
        <v>0</v>
      </c>
      <c r="L104" s="1330">
        <f>TRESORERIA!L144</f>
        <v>0</v>
      </c>
      <c r="M104" s="1330">
        <f>TRESORERIA!M144</f>
        <v>0</v>
      </c>
      <c r="N104" s="1330">
        <f>TRESORERIA!N144</f>
        <v>0</v>
      </c>
      <c r="O104" s="1330">
        <f>TRESORERIA!O144</f>
        <v>0</v>
      </c>
    </row>
    <row r="105" spans="1:15" ht="13" x14ac:dyDescent="0.25">
      <c r="A105" s="1927" t="str">
        <f t="shared" si="2"/>
        <v>DISPOSICIÓ LÍNIA DE CRÈDIT</v>
      </c>
      <c r="B105" s="1927"/>
      <c r="C105" s="1328">
        <f>TRESORERIA!C145</f>
        <v>0</v>
      </c>
      <c r="D105" s="1328">
        <f>TRESORERIA!D145</f>
        <v>0</v>
      </c>
      <c r="E105" s="1328">
        <f>TRESORERIA!E145</f>
        <v>0</v>
      </c>
      <c r="F105" s="1328">
        <f>TRESORERIA!F145</f>
        <v>0</v>
      </c>
      <c r="G105" s="1328">
        <f>TRESORERIA!G145</f>
        <v>0</v>
      </c>
      <c r="H105" s="1328">
        <f>TRESORERIA!H145</f>
        <v>0</v>
      </c>
      <c r="I105" s="1328">
        <f>TRESORERIA!I145</f>
        <v>0</v>
      </c>
      <c r="J105" s="1328">
        <f>TRESORERIA!J145</f>
        <v>0</v>
      </c>
      <c r="K105" s="1328">
        <f>TRESORERIA!K145</f>
        <v>0</v>
      </c>
      <c r="L105" s="1328">
        <f>TRESORERIA!L145</f>
        <v>0</v>
      </c>
      <c r="M105" s="1328">
        <f>TRESORERIA!M145</f>
        <v>0</v>
      </c>
      <c r="N105" s="1328">
        <f>TRESORERIA!N145</f>
        <v>0</v>
      </c>
      <c r="O105" s="1329">
        <f>TRESORERIA!O145</f>
        <v>0</v>
      </c>
    </row>
    <row r="106" spans="1:15" ht="13" x14ac:dyDescent="0.25">
      <c r="A106" s="1927" t="str">
        <f t="shared" si="2"/>
        <v>DEVOLUCIÓ LÍNIA DE CRÈDIT</v>
      </c>
      <c r="B106" s="1927"/>
      <c r="C106" s="1328">
        <f>TRESORERIA!C146</f>
        <v>0</v>
      </c>
      <c r="D106" s="1328">
        <f>TRESORERIA!D146</f>
        <v>0</v>
      </c>
      <c r="E106" s="1328">
        <f>TRESORERIA!E146</f>
        <v>0</v>
      </c>
      <c r="F106" s="1328">
        <f>TRESORERIA!F146</f>
        <v>0</v>
      </c>
      <c r="G106" s="1328">
        <f>TRESORERIA!G146</f>
        <v>0</v>
      </c>
      <c r="H106" s="1328">
        <f>TRESORERIA!H146</f>
        <v>0</v>
      </c>
      <c r="I106" s="1328">
        <f>TRESORERIA!I146</f>
        <v>0</v>
      </c>
      <c r="J106" s="1328">
        <f>TRESORERIA!J146</f>
        <v>0</v>
      </c>
      <c r="K106" s="1328">
        <f>TRESORERIA!K146</f>
        <v>0</v>
      </c>
      <c r="L106" s="1328">
        <f>TRESORERIA!L146</f>
        <v>0</v>
      </c>
      <c r="M106" s="1328">
        <f>TRESORERIA!M146</f>
        <v>0</v>
      </c>
      <c r="N106" s="1328">
        <f>TRESORERIA!N146</f>
        <v>0</v>
      </c>
      <c r="O106" s="1329">
        <f>TRESORERIA!O146</f>
        <v>0</v>
      </c>
    </row>
    <row r="107" spans="1:15" ht="13" x14ac:dyDescent="0.25">
      <c r="A107" s="1927" t="str">
        <f t="shared" si="2"/>
        <v>CRÈDIT PENDENT DEVOLUCIÓ</v>
      </c>
      <c r="B107" s="1927"/>
      <c r="C107" s="1328">
        <f>TRESORERIA!C147</f>
        <v>0</v>
      </c>
      <c r="D107" s="1328">
        <f>TRESORERIA!D147</f>
        <v>0</v>
      </c>
      <c r="E107" s="1328">
        <f>TRESORERIA!E147</f>
        <v>0</v>
      </c>
      <c r="F107" s="1328">
        <f>TRESORERIA!F147</f>
        <v>0</v>
      </c>
      <c r="G107" s="1328">
        <f>TRESORERIA!G147</f>
        <v>0</v>
      </c>
      <c r="H107" s="1328">
        <f>TRESORERIA!H147</f>
        <v>0</v>
      </c>
      <c r="I107" s="1328">
        <f>TRESORERIA!I147</f>
        <v>0</v>
      </c>
      <c r="J107" s="1328">
        <f>TRESORERIA!J147</f>
        <v>0</v>
      </c>
      <c r="K107" s="1328">
        <f>TRESORERIA!K147</f>
        <v>0</v>
      </c>
      <c r="L107" s="1328">
        <f>TRESORERIA!L147</f>
        <v>0</v>
      </c>
      <c r="M107" s="1328">
        <f>TRESORERIA!M147</f>
        <v>0</v>
      </c>
      <c r="N107" s="1328">
        <f>TRESORERIA!N147</f>
        <v>0</v>
      </c>
      <c r="O107" s="1329">
        <f>TRESORERIA!O147</f>
        <v>0</v>
      </c>
    </row>
    <row r="109" spans="1:15" ht="13" x14ac:dyDescent="0.25">
      <c r="A109" s="1961" t="s">
        <v>57</v>
      </c>
      <c r="B109" s="1961"/>
      <c r="C109" s="1947" t="str">
        <f>+C1</f>
        <v>MESOS</v>
      </c>
      <c r="D109" s="1947"/>
      <c r="E109" s="1947"/>
      <c r="F109" s="1947"/>
      <c r="G109" s="1947"/>
      <c r="H109" s="1947"/>
      <c r="I109" s="1947"/>
      <c r="J109" s="1947"/>
      <c r="K109" s="1947"/>
      <c r="L109" s="1947"/>
      <c r="M109" s="1947"/>
      <c r="N109" s="1947"/>
      <c r="O109" s="1948" t="s">
        <v>245</v>
      </c>
    </row>
    <row r="110" spans="1:15" x14ac:dyDescent="0.25">
      <c r="A110" s="1961"/>
      <c r="B110" s="1961"/>
      <c r="C110" s="1460" t="str">
        <f>TRESORERIA!C181</f>
        <v>GENER</v>
      </c>
      <c r="D110" s="1460" t="str">
        <f>TRESORERIA!D181</f>
        <v>FEBRER</v>
      </c>
      <c r="E110" s="1460" t="str">
        <f>TRESORERIA!E181</f>
        <v>MARÇ</v>
      </c>
      <c r="F110" s="1460" t="str">
        <f>TRESORERIA!F181</f>
        <v>ABRIL</v>
      </c>
      <c r="G110" s="1460" t="str">
        <f>TRESORERIA!G181</f>
        <v>MAIG</v>
      </c>
      <c r="H110" s="1460" t="str">
        <f>TRESORERIA!H181</f>
        <v>JUNY</v>
      </c>
      <c r="I110" s="1460" t="str">
        <f>TRESORERIA!I181</f>
        <v>JULIOL</v>
      </c>
      <c r="J110" s="1460" t="str">
        <f>TRESORERIA!J181</f>
        <v>AGOST</v>
      </c>
      <c r="K110" s="1460" t="str">
        <f>TRESORERIA!K181</f>
        <v>SETEMBRE</v>
      </c>
      <c r="L110" s="1460" t="str">
        <f>TRESORERIA!L181</f>
        <v>OCTUBRE</v>
      </c>
      <c r="M110" s="1460" t="str">
        <f>TRESORERIA!M181</f>
        <v>NOVEMBRE</v>
      </c>
      <c r="N110" s="1460" t="str">
        <f>TRESORERIA!N181</f>
        <v>DESEMBRE</v>
      </c>
      <c r="O110" s="1948"/>
    </row>
    <row r="111" spans="1:15" ht="13" x14ac:dyDescent="0.25">
      <c r="A111" s="1917" t="s">
        <v>64</v>
      </c>
      <c r="B111" s="1917"/>
      <c r="C111" s="1917"/>
      <c r="D111" s="1917"/>
      <c r="E111" s="1917"/>
      <c r="F111" s="1917"/>
      <c r="G111" s="1917"/>
      <c r="H111" s="1917"/>
      <c r="I111" s="1917"/>
      <c r="J111" s="1917"/>
      <c r="K111" s="1917"/>
      <c r="L111" s="1917"/>
      <c r="M111" s="1917"/>
      <c r="N111" s="1917"/>
      <c r="O111" s="1917"/>
    </row>
    <row r="112" spans="1:15" ht="13" x14ac:dyDescent="0.25">
      <c r="A112" s="1962" t="str">
        <f>+A4</f>
        <v>Ingressos</v>
      </c>
      <c r="B112" s="1962"/>
      <c r="C112" s="1461">
        <f>TRESORERIA!C183</f>
        <v>0</v>
      </c>
      <c r="D112" s="1461">
        <f>TRESORERIA!D183</f>
        <v>0</v>
      </c>
      <c r="E112" s="1461">
        <f>TRESORERIA!E183</f>
        <v>0</v>
      </c>
      <c r="F112" s="1461">
        <f>TRESORERIA!F183</f>
        <v>0</v>
      </c>
      <c r="G112" s="1461">
        <f>TRESORERIA!G183</f>
        <v>0</v>
      </c>
      <c r="H112" s="1461">
        <f>TRESORERIA!H183</f>
        <v>0</v>
      </c>
      <c r="I112" s="1461">
        <f>TRESORERIA!I183</f>
        <v>0</v>
      </c>
      <c r="J112" s="1461">
        <f>TRESORERIA!J183</f>
        <v>0</v>
      </c>
      <c r="K112" s="1461">
        <f>TRESORERIA!K183</f>
        <v>0</v>
      </c>
      <c r="L112" s="1461">
        <f>TRESORERIA!L183</f>
        <v>0</v>
      </c>
      <c r="M112" s="1461">
        <f>TRESORERIA!M183</f>
        <v>0</v>
      </c>
      <c r="N112" s="1461">
        <f>TRESORERIA!N183</f>
        <v>0</v>
      </c>
      <c r="O112" s="1462">
        <f>TRESORERIA!O183</f>
        <v>0</v>
      </c>
    </row>
    <row r="113" spans="1:15" ht="12.75" hidden="1" customHeight="1" x14ac:dyDescent="0.25">
      <c r="A113" s="1950" t="s">
        <v>354</v>
      </c>
      <c r="B113" s="1950"/>
      <c r="C113" s="1463">
        <f>TRESORERIA!C184</f>
        <v>0</v>
      </c>
      <c r="D113" s="1463">
        <f>TRESORERIA!D184</f>
        <v>0</v>
      </c>
      <c r="E113" s="1463">
        <f>TRESORERIA!E184</f>
        <v>0</v>
      </c>
      <c r="F113" s="1463">
        <f>TRESORERIA!F184</f>
        <v>0</v>
      </c>
      <c r="G113" s="1463">
        <f>TRESORERIA!G184</f>
        <v>0</v>
      </c>
      <c r="H113" s="1463">
        <f>TRESORERIA!H184</f>
        <v>0</v>
      </c>
      <c r="I113" s="1463">
        <f>TRESORERIA!I184</f>
        <v>0</v>
      </c>
      <c r="J113" s="1463">
        <f>TRESORERIA!J184</f>
        <v>0</v>
      </c>
      <c r="K113" s="1463">
        <f>TRESORERIA!K184</f>
        <v>0</v>
      </c>
      <c r="L113" s="1463">
        <f>TRESORERIA!L184</f>
        <v>0</v>
      </c>
      <c r="M113" s="1463">
        <f>TRESORERIA!M184</f>
        <v>0</v>
      </c>
      <c r="N113" s="1463">
        <f>TRESORERIA!N184</f>
        <v>0</v>
      </c>
      <c r="O113" s="1463">
        <f>TRESORERIA!O184</f>
        <v>0</v>
      </c>
    </row>
    <row r="114" spans="1:15" ht="12.75" hidden="1" customHeight="1" x14ac:dyDescent="0.25">
      <c r="A114" s="1464" t="s">
        <v>343</v>
      </c>
      <c r="B114" s="1465"/>
      <c r="C114" s="1466">
        <f>TRESORERIA!C185</f>
        <v>0</v>
      </c>
      <c r="D114" s="1466">
        <f>TRESORERIA!D185</f>
        <v>0</v>
      </c>
      <c r="E114" s="1466">
        <f>TRESORERIA!E185</f>
        <v>0</v>
      </c>
      <c r="F114" s="1466">
        <f>TRESORERIA!F185</f>
        <v>0</v>
      </c>
      <c r="G114" s="1466">
        <f>TRESORERIA!G185</f>
        <v>0</v>
      </c>
      <c r="H114" s="1466">
        <f>TRESORERIA!H185</f>
        <v>0</v>
      </c>
      <c r="I114" s="1466">
        <f>TRESORERIA!I185</f>
        <v>0</v>
      </c>
      <c r="J114" s="1466">
        <f>TRESORERIA!J185</f>
        <v>0</v>
      </c>
      <c r="K114" s="1466">
        <f>TRESORERIA!K185</f>
        <v>0</v>
      </c>
      <c r="L114" s="1466">
        <f>TRESORERIA!L185</f>
        <v>0</v>
      </c>
      <c r="M114" s="1466">
        <f>TRESORERIA!M185</f>
        <v>0</v>
      </c>
      <c r="N114" s="1466">
        <f>TRESORERIA!N185</f>
        <v>0</v>
      </c>
      <c r="O114" s="1466">
        <f>TRESORERIA!O185</f>
        <v>0</v>
      </c>
    </row>
    <row r="115" spans="1:15" ht="13" x14ac:dyDescent="0.25">
      <c r="A115" s="1963" t="str">
        <f>+A7</f>
        <v>IVA COBRAT</v>
      </c>
      <c r="B115" s="1963"/>
      <c r="C115" s="1467">
        <f>TRESORERIA!C186</f>
        <v>0</v>
      </c>
      <c r="D115" s="1467">
        <f>TRESORERIA!D186</f>
        <v>0</v>
      </c>
      <c r="E115" s="1467">
        <f>TRESORERIA!E186</f>
        <v>0</v>
      </c>
      <c r="F115" s="1467">
        <f>TRESORERIA!F186</f>
        <v>0</v>
      </c>
      <c r="G115" s="1467">
        <f>TRESORERIA!G186</f>
        <v>0</v>
      </c>
      <c r="H115" s="1467">
        <f>TRESORERIA!H186</f>
        <v>0</v>
      </c>
      <c r="I115" s="1467">
        <f>TRESORERIA!I186</f>
        <v>0</v>
      </c>
      <c r="J115" s="1467">
        <f>TRESORERIA!J186</f>
        <v>0</v>
      </c>
      <c r="K115" s="1467">
        <f>TRESORERIA!K186</f>
        <v>0</v>
      </c>
      <c r="L115" s="1467">
        <f>TRESORERIA!L186</f>
        <v>0</v>
      </c>
      <c r="M115" s="1467">
        <f>TRESORERIA!M186</f>
        <v>0</v>
      </c>
      <c r="N115" s="1467">
        <f>TRESORERIA!N186</f>
        <v>0</v>
      </c>
      <c r="O115" s="1468">
        <f>TRESORERIA!O186</f>
        <v>0</v>
      </c>
    </row>
    <row r="116" spans="1:15" ht="13" hidden="1" x14ac:dyDescent="0.25">
      <c r="A116" s="1963" t="str">
        <f>+A8</f>
        <v>Ingressos financers</v>
      </c>
      <c r="B116" s="1963"/>
      <c r="C116" s="1467">
        <f>TRESORERIA!C187</f>
        <v>0</v>
      </c>
      <c r="D116" s="1467">
        <f>TRESORERIA!D187</f>
        <v>0</v>
      </c>
      <c r="E116" s="1467">
        <f>TRESORERIA!E187</f>
        <v>0</v>
      </c>
      <c r="F116" s="1467">
        <f>TRESORERIA!F187</f>
        <v>0</v>
      </c>
      <c r="G116" s="1467">
        <f>TRESORERIA!G187</f>
        <v>0</v>
      </c>
      <c r="H116" s="1467">
        <f>TRESORERIA!H187</f>
        <v>0</v>
      </c>
      <c r="I116" s="1467">
        <f>TRESORERIA!I187</f>
        <v>0</v>
      </c>
      <c r="J116" s="1467">
        <f>TRESORERIA!J187</f>
        <v>0</v>
      </c>
      <c r="K116" s="1467">
        <f>TRESORERIA!K187</f>
        <v>0</v>
      </c>
      <c r="L116" s="1467">
        <f>TRESORERIA!L187</f>
        <v>0</v>
      </c>
      <c r="M116" s="1467">
        <f>TRESORERIA!M187</f>
        <v>0</v>
      </c>
      <c r="N116" s="1467">
        <f>TRESORERIA!N187</f>
        <v>0</v>
      </c>
      <c r="O116" s="1468">
        <f>TRESORERIA!O187</f>
        <v>0</v>
      </c>
    </row>
    <row r="117" spans="1:15" ht="13" x14ac:dyDescent="0.25">
      <c r="A117" s="1963" t="str">
        <f>+A9</f>
        <v>Subvencions</v>
      </c>
      <c r="B117" s="1963"/>
      <c r="C117" s="1467">
        <f>TRESORERIA!C188</f>
        <v>0</v>
      </c>
      <c r="D117" s="1467">
        <f>TRESORERIA!D188</f>
        <v>0</v>
      </c>
      <c r="E117" s="1467">
        <f>TRESORERIA!E188</f>
        <v>0</v>
      </c>
      <c r="F117" s="1467">
        <f>TRESORERIA!F188</f>
        <v>0</v>
      </c>
      <c r="G117" s="1467">
        <f>TRESORERIA!G188</f>
        <v>0</v>
      </c>
      <c r="H117" s="1467">
        <f>TRESORERIA!H188</f>
        <v>0</v>
      </c>
      <c r="I117" s="1467">
        <f>TRESORERIA!I188</f>
        <v>0</v>
      </c>
      <c r="J117" s="1467">
        <f>TRESORERIA!J188</f>
        <v>0</v>
      </c>
      <c r="K117" s="1467">
        <f>TRESORERIA!K188</f>
        <v>0</v>
      </c>
      <c r="L117" s="1467">
        <f>TRESORERIA!L188</f>
        <v>0</v>
      </c>
      <c r="M117" s="1467">
        <f>TRESORERIA!M188</f>
        <v>0</v>
      </c>
      <c r="N117" s="1467">
        <f>TRESORERIA!N188</f>
        <v>0</v>
      </c>
      <c r="O117" s="1468">
        <f>TRESORERIA!O188</f>
        <v>0</v>
      </c>
    </row>
    <row r="118" spans="1:15" ht="13" x14ac:dyDescent="0.25">
      <c r="A118" s="1963" t="str">
        <f>+A10</f>
        <v>Finançament</v>
      </c>
      <c r="B118" s="1963"/>
      <c r="C118" s="1467">
        <f>TRESORERIA!C189</f>
        <v>0</v>
      </c>
      <c r="D118" s="1467">
        <f>TRESORERIA!D189</f>
        <v>0</v>
      </c>
      <c r="E118" s="1467">
        <f>TRESORERIA!E189</f>
        <v>0</v>
      </c>
      <c r="F118" s="1467">
        <f>TRESORERIA!F189</f>
        <v>0</v>
      </c>
      <c r="G118" s="1467">
        <f>TRESORERIA!G189</f>
        <v>0</v>
      </c>
      <c r="H118" s="1467">
        <f>TRESORERIA!H189</f>
        <v>0</v>
      </c>
      <c r="I118" s="1467">
        <f>TRESORERIA!I189</f>
        <v>0</v>
      </c>
      <c r="J118" s="1467">
        <f>TRESORERIA!J189</f>
        <v>0</v>
      </c>
      <c r="K118" s="1467">
        <f>TRESORERIA!K189</f>
        <v>0</v>
      </c>
      <c r="L118" s="1467">
        <f>TRESORERIA!L189</f>
        <v>0</v>
      </c>
      <c r="M118" s="1467">
        <f>TRESORERIA!M189</f>
        <v>0</v>
      </c>
      <c r="N118" s="1467">
        <f>TRESORERIA!N189</f>
        <v>0</v>
      </c>
      <c r="O118" s="1468">
        <f>TRESORERIA!O189</f>
        <v>0</v>
      </c>
    </row>
    <row r="119" spans="1:15" ht="13" x14ac:dyDescent="0.25">
      <c r="A119" s="1964" t="str">
        <f>+A11</f>
        <v>(1) TOTAL COBRAMENTS</v>
      </c>
      <c r="B119" s="1964"/>
      <c r="C119" s="1330">
        <f>TRESORERIA!C190</f>
        <v>0</v>
      </c>
      <c r="D119" s="1330">
        <f>TRESORERIA!D190</f>
        <v>0</v>
      </c>
      <c r="E119" s="1330">
        <f>TRESORERIA!E190</f>
        <v>0</v>
      </c>
      <c r="F119" s="1330">
        <f>TRESORERIA!F190</f>
        <v>0</v>
      </c>
      <c r="G119" s="1330">
        <f>TRESORERIA!G190</f>
        <v>0</v>
      </c>
      <c r="H119" s="1330">
        <f>TRESORERIA!H190</f>
        <v>0</v>
      </c>
      <c r="I119" s="1330">
        <f>TRESORERIA!I190</f>
        <v>0</v>
      </c>
      <c r="J119" s="1330">
        <f>TRESORERIA!J190</f>
        <v>0</v>
      </c>
      <c r="K119" s="1330">
        <f>TRESORERIA!K190</f>
        <v>0</v>
      </c>
      <c r="L119" s="1330">
        <f>TRESORERIA!L190</f>
        <v>0</v>
      </c>
      <c r="M119" s="1330">
        <f>TRESORERIA!M190</f>
        <v>0</v>
      </c>
      <c r="N119" s="1330">
        <f>TRESORERIA!N190</f>
        <v>0</v>
      </c>
      <c r="O119" s="1330">
        <f>TRESORERIA!O190</f>
        <v>0</v>
      </c>
    </row>
    <row r="120" spans="1:15" ht="13" x14ac:dyDescent="0.25">
      <c r="C120" s="1331"/>
      <c r="D120" s="1331"/>
      <c r="E120" s="1331"/>
      <c r="F120" s="1331"/>
      <c r="G120" s="1331"/>
      <c r="H120" s="1331"/>
      <c r="I120" s="1331"/>
      <c r="J120" s="1331"/>
      <c r="K120" s="1331"/>
      <c r="L120" s="1331"/>
      <c r="M120" s="1331"/>
      <c r="N120" s="1331"/>
      <c r="O120" s="1332"/>
    </row>
    <row r="121" spans="1:15" ht="13" x14ac:dyDescent="0.25">
      <c r="A121" s="1927" t="str">
        <f>+A13</f>
        <v>PAGAMENTS</v>
      </c>
      <c r="B121" s="1927"/>
      <c r="C121" s="1927"/>
      <c r="D121" s="1927"/>
      <c r="E121" s="1927"/>
      <c r="F121" s="1927"/>
      <c r="G121" s="1927"/>
      <c r="H121" s="1927"/>
      <c r="I121" s="1927"/>
      <c r="J121" s="1927"/>
      <c r="K121" s="1927"/>
      <c r="L121" s="1927"/>
      <c r="M121" s="1927"/>
      <c r="N121" s="1927"/>
      <c r="O121" s="1927"/>
    </row>
    <row r="122" spans="1:15" ht="13" x14ac:dyDescent="0.25">
      <c r="A122" s="1962" t="str">
        <f>+A14</f>
        <v>Compres i treballs d'altres</v>
      </c>
      <c r="B122" s="1962"/>
      <c r="C122" s="1461">
        <f>TRESORERIA!C193</f>
        <v>0</v>
      </c>
      <c r="D122" s="1461">
        <f>TRESORERIA!D193</f>
        <v>0</v>
      </c>
      <c r="E122" s="1461">
        <f>TRESORERIA!E193</f>
        <v>0</v>
      </c>
      <c r="F122" s="1461">
        <f>TRESORERIA!F193</f>
        <v>0</v>
      </c>
      <c r="G122" s="1461">
        <f>TRESORERIA!G193</f>
        <v>0</v>
      </c>
      <c r="H122" s="1461">
        <f>TRESORERIA!H193</f>
        <v>0</v>
      </c>
      <c r="I122" s="1461">
        <f>TRESORERIA!I193</f>
        <v>0</v>
      </c>
      <c r="J122" s="1461">
        <f>TRESORERIA!J193</f>
        <v>0</v>
      </c>
      <c r="K122" s="1461">
        <f>TRESORERIA!K193</f>
        <v>0</v>
      </c>
      <c r="L122" s="1461">
        <f>TRESORERIA!L193</f>
        <v>0</v>
      </c>
      <c r="M122" s="1461">
        <f>TRESORERIA!M193</f>
        <v>0</v>
      </c>
      <c r="N122" s="1461">
        <f>TRESORERIA!N193</f>
        <v>0</v>
      </c>
      <c r="O122" s="1462">
        <f>TRESORERIA!O193</f>
        <v>0</v>
      </c>
    </row>
    <row r="123" spans="1:15" ht="12.75" hidden="1" customHeight="1" x14ac:dyDescent="0.25">
      <c r="A123" s="1950" t="s">
        <v>345</v>
      </c>
      <c r="B123" s="1950"/>
      <c r="C123" s="1463">
        <f>TRESORERIA!C194</f>
        <v>0</v>
      </c>
      <c r="D123" s="1463">
        <f>TRESORERIA!D194</f>
        <v>0</v>
      </c>
      <c r="E123" s="1463">
        <f>TRESORERIA!E194</f>
        <v>0</v>
      </c>
      <c r="F123" s="1463">
        <f>TRESORERIA!F194</f>
        <v>0</v>
      </c>
      <c r="G123" s="1463">
        <f>TRESORERIA!G194</f>
        <v>0</v>
      </c>
      <c r="H123" s="1463">
        <f>TRESORERIA!H194</f>
        <v>0</v>
      </c>
      <c r="I123" s="1463">
        <f>TRESORERIA!I194</f>
        <v>0</v>
      </c>
      <c r="J123" s="1463">
        <f>TRESORERIA!J194</f>
        <v>0</v>
      </c>
      <c r="K123" s="1463">
        <f>TRESORERIA!K194</f>
        <v>0</v>
      </c>
      <c r="L123" s="1463">
        <f>TRESORERIA!L194</f>
        <v>0</v>
      </c>
      <c r="M123" s="1463">
        <f>TRESORERIA!M194</f>
        <v>0</v>
      </c>
      <c r="N123" s="1463">
        <f>TRESORERIA!N194</f>
        <v>0</v>
      </c>
      <c r="O123" s="1463">
        <f>TRESORERIA!O194</f>
        <v>0</v>
      </c>
    </row>
    <row r="124" spans="1:15" ht="12.75" hidden="1" customHeight="1" x14ac:dyDescent="0.25">
      <c r="A124" s="1952" t="s">
        <v>442</v>
      </c>
      <c r="B124" s="1952"/>
      <c r="C124" s="1466">
        <f>TRESORERIA!C195</f>
        <v>0</v>
      </c>
      <c r="D124" s="1466">
        <f>TRESORERIA!D195</f>
        <v>0</v>
      </c>
      <c r="E124" s="1466">
        <f>TRESORERIA!E195</f>
        <v>0</v>
      </c>
      <c r="F124" s="1466">
        <f>TRESORERIA!F195</f>
        <v>0</v>
      </c>
      <c r="G124" s="1466">
        <f>TRESORERIA!G195</f>
        <v>0</v>
      </c>
      <c r="H124" s="1466">
        <f>TRESORERIA!H195</f>
        <v>0</v>
      </c>
      <c r="I124" s="1466">
        <f>TRESORERIA!I195</f>
        <v>0</v>
      </c>
      <c r="J124" s="1466">
        <f>TRESORERIA!J195</f>
        <v>0</v>
      </c>
      <c r="K124" s="1466">
        <f>TRESORERIA!K195</f>
        <v>0</v>
      </c>
      <c r="L124" s="1466">
        <f>TRESORERIA!L195</f>
        <v>0</v>
      </c>
      <c r="M124" s="1466">
        <f>TRESORERIA!M195</f>
        <v>0</v>
      </c>
      <c r="N124" s="1466">
        <f>TRESORERIA!N195</f>
        <v>0</v>
      </c>
      <c r="O124" s="1466">
        <f>TRESORERIA!O195</f>
        <v>0</v>
      </c>
    </row>
    <row r="125" spans="1:15" ht="13" x14ac:dyDescent="0.25">
      <c r="A125" s="1963" t="str">
        <f>+A17</f>
        <v>Serveis externs</v>
      </c>
      <c r="B125" s="1963"/>
      <c r="C125" s="1467">
        <f>TRESORERIA!C196</f>
        <v>0</v>
      </c>
      <c r="D125" s="1467">
        <f>TRESORERIA!D196</f>
        <v>0</v>
      </c>
      <c r="E125" s="1467">
        <f>TRESORERIA!E196</f>
        <v>0</v>
      </c>
      <c r="F125" s="1467">
        <f>TRESORERIA!F196</f>
        <v>0</v>
      </c>
      <c r="G125" s="1467">
        <f>TRESORERIA!G196</f>
        <v>0</v>
      </c>
      <c r="H125" s="1467">
        <f>TRESORERIA!H196</f>
        <v>0</v>
      </c>
      <c r="I125" s="1467">
        <f>TRESORERIA!I196</f>
        <v>0</v>
      </c>
      <c r="J125" s="1467">
        <f>TRESORERIA!J196</f>
        <v>0</v>
      </c>
      <c r="K125" s="1467">
        <f>TRESORERIA!K196</f>
        <v>0</v>
      </c>
      <c r="L125" s="1467">
        <f>TRESORERIA!L196</f>
        <v>0</v>
      </c>
      <c r="M125" s="1467">
        <f>TRESORERIA!M196</f>
        <v>0</v>
      </c>
      <c r="N125" s="1467">
        <f>TRESORERIA!N196</f>
        <v>0</v>
      </c>
      <c r="O125" s="1468">
        <f>TRESORERIA!O196</f>
        <v>0</v>
      </c>
    </row>
    <row r="126" spans="1:15" x14ac:dyDescent="0.25">
      <c r="A126" s="1965" t="str">
        <f>+A18</f>
        <v>Lloguers</v>
      </c>
      <c r="B126" s="1965"/>
      <c r="C126" s="1469">
        <f>TRESORERIA!C197</f>
        <v>0</v>
      </c>
      <c r="D126" s="1469">
        <f>TRESORERIA!D197</f>
        <v>0</v>
      </c>
      <c r="E126" s="1469">
        <f>TRESORERIA!E197</f>
        <v>0</v>
      </c>
      <c r="F126" s="1469">
        <f>TRESORERIA!F197</f>
        <v>0</v>
      </c>
      <c r="G126" s="1469">
        <f>TRESORERIA!G197</f>
        <v>0</v>
      </c>
      <c r="H126" s="1469">
        <f>TRESORERIA!H197</f>
        <v>0</v>
      </c>
      <c r="I126" s="1469">
        <f>TRESORERIA!I197</f>
        <v>0</v>
      </c>
      <c r="J126" s="1469">
        <f>TRESORERIA!J197</f>
        <v>0</v>
      </c>
      <c r="K126" s="1469">
        <f>TRESORERIA!K197</f>
        <v>0</v>
      </c>
      <c r="L126" s="1469">
        <f>TRESORERIA!L197</f>
        <v>0</v>
      </c>
      <c r="M126" s="1469">
        <f>TRESORERIA!M197</f>
        <v>0</v>
      </c>
      <c r="N126" s="1469">
        <f>TRESORERIA!N197</f>
        <v>0</v>
      </c>
      <c r="O126" s="1470">
        <f>TRESORERIA!O197</f>
        <v>0</v>
      </c>
    </row>
    <row r="127" spans="1:15" x14ac:dyDescent="0.25">
      <c r="A127" s="1955" t="str">
        <f>+A73</f>
        <v>Leasing</v>
      </c>
      <c r="B127" s="1967"/>
      <c r="C127" s="1469">
        <f>+TRESORERIA!C198</f>
        <v>0</v>
      </c>
      <c r="D127" s="1469">
        <f>+TRESORERIA!D198</f>
        <v>0</v>
      </c>
      <c r="E127" s="1469">
        <f>+TRESORERIA!E198</f>
        <v>0</v>
      </c>
      <c r="F127" s="1469">
        <f>+TRESORERIA!F198</f>
        <v>0</v>
      </c>
      <c r="G127" s="1469">
        <f>+TRESORERIA!G198</f>
        <v>0</v>
      </c>
      <c r="H127" s="1469">
        <f>+TRESORERIA!H198</f>
        <v>0</v>
      </c>
      <c r="I127" s="1469">
        <f>+TRESORERIA!I198</f>
        <v>0</v>
      </c>
      <c r="J127" s="1469">
        <f>+TRESORERIA!J198</f>
        <v>0</v>
      </c>
      <c r="K127" s="1469">
        <f>+TRESORERIA!K198</f>
        <v>0</v>
      </c>
      <c r="L127" s="1469">
        <f>+TRESORERIA!L198</f>
        <v>0</v>
      </c>
      <c r="M127" s="1469">
        <f>+TRESORERIA!M198</f>
        <v>0</v>
      </c>
      <c r="N127" s="1469">
        <f>+TRESORERIA!N198</f>
        <v>0</v>
      </c>
      <c r="O127" s="1469">
        <f>+TRESORERIA!O198</f>
        <v>0</v>
      </c>
    </row>
    <row r="128" spans="1:15" x14ac:dyDescent="0.25">
      <c r="A128" s="1966" t="str">
        <f t="shared" ref="A128:A136" si="3">+A20</f>
        <v>Reparacions</v>
      </c>
      <c r="B128" s="1966"/>
      <c r="C128" s="1471">
        <f>TRESORERIA!C199</f>
        <v>0</v>
      </c>
      <c r="D128" s="1471">
        <f>TRESORERIA!D199</f>
        <v>0</v>
      </c>
      <c r="E128" s="1471">
        <f>TRESORERIA!E199</f>
        <v>0</v>
      </c>
      <c r="F128" s="1471">
        <f>TRESORERIA!F199</f>
        <v>0</v>
      </c>
      <c r="G128" s="1471">
        <f>TRESORERIA!G199</f>
        <v>0</v>
      </c>
      <c r="H128" s="1471">
        <f>TRESORERIA!H199</f>
        <v>0</v>
      </c>
      <c r="I128" s="1471">
        <f>TRESORERIA!I199</f>
        <v>0</v>
      </c>
      <c r="J128" s="1471">
        <f>TRESORERIA!J199</f>
        <v>0</v>
      </c>
      <c r="K128" s="1471">
        <f>TRESORERIA!K199</f>
        <v>0</v>
      </c>
      <c r="L128" s="1471">
        <f>TRESORERIA!L199</f>
        <v>0</v>
      </c>
      <c r="M128" s="1471">
        <f>TRESORERIA!M199</f>
        <v>0</v>
      </c>
      <c r="N128" s="1471">
        <f>TRESORERIA!N199</f>
        <v>0</v>
      </c>
      <c r="O128" s="1472">
        <f>TRESORERIA!O199</f>
        <v>0</v>
      </c>
    </row>
    <row r="129" spans="1:15" x14ac:dyDescent="0.25">
      <c r="A129" s="1966" t="str">
        <f t="shared" si="3"/>
        <v>Serveis professionals</v>
      </c>
      <c r="B129" s="1966"/>
      <c r="C129" s="1471">
        <f>TRESORERIA!C200</f>
        <v>0</v>
      </c>
      <c r="D129" s="1471">
        <f>TRESORERIA!D200</f>
        <v>0</v>
      </c>
      <c r="E129" s="1471">
        <f>TRESORERIA!E200</f>
        <v>0</v>
      </c>
      <c r="F129" s="1471">
        <f>TRESORERIA!F200</f>
        <v>0</v>
      </c>
      <c r="G129" s="1471">
        <f>TRESORERIA!G200</f>
        <v>0</v>
      </c>
      <c r="H129" s="1471">
        <f>TRESORERIA!H200</f>
        <v>0</v>
      </c>
      <c r="I129" s="1471">
        <f>TRESORERIA!I200</f>
        <v>0</v>
      </c>
      <c r="J129" s="1471">
        <f>TRESORERIA!J200</f>
        <v>0</v>
      </c>
      <c r="K129" s="1471">
        <f>TRESORERIA!K200</f>
        <v>0</v>
      </c>
      <c r="L129" s="1471">
        <f>TRESORERIA!L200</f>
        <v>0</v>
      </c>
      <c r="M129" s="1471">
        <f>TRESORERIA!M200</f>
        <v>0</v>
      </c>
      <c r="N129" s="1471">
        <f>TRESORERIA!N200</f>
        <v>0</v>
      </c>
      <c r="O129" s="1472">
        <f>TRESORERIA!O200</f>
        <v>0</v>
      </c>
    </row>
    <row r="130" spans="1:15" x14ac:dyDescent="0.25">
      <c r="A130" s="1966" t="str">
        <f t="shared" si="3"/>
        <v>Comissions</v>
      </c>
      <c r="B130" s="1966"/>
      <c r="C130" s="1471">
        <f>TRESORERIA!C201</f>
        <v>0</v>
      </c>
      <c r="D130" s="1471">
        <f>TRESORERIA!D201</f>
        <v>0</v>
      </c>
      <c r="E130" s="1471">
        <f>TRESORERIA!E201</f>
        <v>0</v>
      </c>
      <c r="F130" s="1471">
        <f>TRESORERIA!F201</f>
        <v>0</v>
      </c>
      <c r="G130" s="1471">
        <f>TRESORERIA!G201</f>
        <v>0</v>
      </c>
      <c r="H130" s="1471">
        <f>TRESORERIA!H201</f>
        <v>0</v>
      </c>
      <c r="I130" s="1471">
        <f>TRESORERIA!I201</f>
        <v>0</v>
      </c>
      <c r="J130" s="1471">
        <f>TRESORERIA!J201</f>
        <v>0</v>
      </c>
      <c r="K130" s="1471">
        <f>TRESORERIA!K201</f>
        <v>0</v>
      </c>
      <c r="L130" s="1471">
        <f>TRESORERIA!L201</f>
        <v>0</v>
      </c>
      <c r="M130" s="1471">
        <f>TRESORERIA!M201</f>
        <v>0</v>
      </c>
      <c r="N130" s="1471">
        <f>TRESORERIA!N201</f>
        <v>0</v>
      </c>
      <c r="O130" s="1472">
        <f>TRESORERIA!O201</f>
        <v>0</v>
      </c>
    </row>
    <row r="131" spans="1:15" x14ac:dyDescent="0.25">
      <c r="A131" s="1966" t="str">
        <f t="shared" si="3"/>
        <v>Transport d'existències</v>
      </c>
      <c r="B131" s="1966"/>
      <c r="C131" s="1471">
        <f>TRESORERIA!C202</f>
        <v>0</v>
      </c>
      <c r="D131" s="1471">
        <f>TRESORERIA!D202</f>
        <v>0</v>
      </c>
      <c r="E131" s="1471">
        <f>TRESORERIA!E202</f>
        <v>0</v>
      </c>
      <c r="F131" s="1471">
        <f>TRESORERIA!F202</f>
        <v>0</v>
      </c>
      <c r="G131" s="1471">
        <f>TRESORERIA!G202</f>
        <v>0</v>
      </c>
      <c r="H131" s="1471">
        <f>TRESORERIA!H202</f>
        <v>0</v>
      </c>
      <c r="I131" s="1471">
        <f>TRESORERIA!I202</f>
        <v>0</v>
      </c>
      <c r="J131" s="1471">
        <f>TRESORERIA!J202</f>
        <v>0</v>
      </c>
      <c r="K131" s="1471">
        <f>TRESORERIA!K202</f>
        <v>0</v>
      </c>
      <c r="L131" s="1471">
        <f>TRESORERIA!L202</f>
        <v>0</v>
      </c>
      <c r="M131" s="1471">
        <f>TRESORERIA!M202</f>
        <v>0</v>
      </c>
      <c r="N131" s="1471">
        <f>TRESORERIA!N202</f>
        <v>0</v>
      </c>
      <c r="O131" s="1472">
        <f>TRESORERIA!O202</f>
        <v>0</v>
      </c>
    </row>
    <row r="132" spans="1:15" x14ac:dyDescent="0.25">
      <c r="A132" s="1966" t="str">
        <f t="shared" si="3"/>
        <v>Assegurances</v>
      </c>
      <c r="B132" s="1966"/>
      <c r="C132" s="1471">
        <f>TRESORERIA!C203</f>
        <v>0</v>
      </c>
      <c r="D132" s="1471">
        <f>TRESORERIA!D203</f>
        <v>0</v>
      </c>
      <c r="E132" s="1471">
        <f>TRESORERIA!E203</f>
        <v>0</v>
      </c>
      <c r="F132" s="1471">
        <f>TRESORERIA!F203</f>
        <v>0</v>
      </c>
      <c r="G132" s="1471">
        <f>TRESORERIA!G203</f>
        <v>0</v>
      </c>
      <c r="H132" s="1471">
        <f>TRESORERIA!H203</f>
        <v>0</v>
      </c>
      <c r="I132" s="1471">
        <f>TRESORERIA!I203</f>
        <v>0</v>
      </c>
      <c r="J132" s="1471">
        <f>TRESORERIA!J203</f>
        <v>0</v>
      </c>
      <c r="K132" s="1471">
        <f>TRESORERIA!K203</f>
        <v>0</v>
      </c>
      <c r="L132" s="1471">
        <f>TRESORERIA!L203</f>
        <v>0</v>
      </c>
      <c r="M132" s="1471">
        <f>TRESORERIA!M203</f>
        <v>0</v>
      </c>
      <c r="N132" s="1471">
        <f>TRESORERIA!N203</f>
        <v>0</v>
      </c>
      <c r="O132" s="1472">
        <f>TRESORERIA!O203</f>
        <v>0</v>
      </c>
    </row>
    <row r="133" spans="1:15" x14ac:dyDescent="0.25">
      <c r="A133" s="1966" t="str">
        <f t="shared" si="3"/>
        <v>SERVEIS BANCARIS</v>
      </c>
      <c r="B133" s="1966"/>
      <c r="C133" s="1471">
        <f>TRESORERIA!C204</f>
        <v>0</v>
      </c>
      <c r="D133" s="1471">
        <f>TRESORERIA!D204</f>
        <v>0</v>
      </c>
      <c r="E133" s="1471">
        <f>TRESORERIA!E204</f>
        <v>0</v>
      </c>
      <c r="F133" s="1471">
        <f>TRESORERIA!F204</f>
        <v>0</v>
      </c>
      <c r="G133" s="1471">
        <f>TRESORERIA!G204</f>
        <v>0</v>
      </c>
      <c r="H133" s="1471">
        <f>TRESORERIA!H204</f>
        <v>0</v>
      </c>
      <c r="I133" s="1471">
        <f>TRESORERIA!I204</f>
        <v>0</v>
      </c>
      <c r="J133" s="1471">
        <f>TRESORERIA!J204</f>
        <v>0</v>
      </c>
      <c r="K133" s="1471">
        <f>TRESORERIA!K204</f>
        <v>0</v>
      </c>
      <c r="L133" s="1471">
        <f>TRESORERIA!L204</f>
        <v>0</v>
      </c>
      <c r="M133" s="1471">
        <f>TRESORERIA!M204</f>
        <v>0</v>
      </c>
      <c r="N133" s="1471">
        <f>TRESORERIA!N204</f>
        <v>0</v>
      </c>
      <c r="O133" s="1472">
        <f>TRESORERIA!O204</f>
        <v>0</v>
      </c>
    </row>
    <row r="134" spans="1:15" x14ac:dyDescent="0.25">
      <c r="A134" s="1966" t="str">
        <f t="shared" si="3"/>
        <v>Publicitat</v>
      </c>
      <c r="B134" s="1966"/>
      <c r="C134" s="1471">
        <f>TRESORERIA!C205</f>
        <v>0</v>
      </c>
      <c r="D134" s="1471">
        <f>TRESORERIA!D205</f>
        <v>0</v>
      </c>
      <c r="E134" s="1471">
        <f>TRESORERIA!E205</f>
        <v>0</v>
      </c>
      <c r="F134" s="1471">
        <f>TRESORERIA!F205</f>
        <v>0</v>
      </c>
      <c r="G134" s="1471">
        <f>TRESORERIA!G205</f>
        <v>0</v>
      </c>
      <c r="H134" s="1471">
        <f>TRESORERIA!H205</f>
        <v>0</v>
      </c>
      <c r="I134" s="1471">
        <f>TRESORERIA!I205</f>
        <v>0</v>
      </c>
      <c r="J134" s="1471">
        <f>TRESORERIA!J205</f>
        <v>0</v>
      </c>
      <c r="K134" s="1471">
        <f>TRESORERIA!K205</f>
        <v>0</v>
      </c>
      <c r="L134" s="1471">
        <f>TRESORERIA!L205</f>
        <v>0</v>
      </c>
      <c r="M134" s="1471">
        <f>TRESORERIA!M205</f>
        <v>0</v>
      </c>
      <c r="N134" s="1471">
        <f>TRESORERIA!N205</f>
        <v>0</v>
      </c>
      <c r="O134" s="1472">
        <f>TRESORERIA!O205</f>
        <v>0</v>
      </c>
    </row>
    <row r="135" spans="1:15" x14ac:dyDescent="0.25">
      <c r="A135" s="1968" t="str">
        <f t="shared" si="3"/>
        <v>Subministraments</v>
      </c>
      <c r="B135" s="1968"/>
      <c r="C135" s="1471">
        <f>TRESORERIA!C206</f>
        <v>0</v>
      </c>
      <c r="D135" s="1471">
        <f>TRESORERIA!D206</f>
        <v>0</v>
      </c>
      <c r="E135" s="1471">
        <f>TRESORERIA!E206</f>
        <v>0</v>
      </c>
      <c r="F135" s="1471">
        <f>TRESORERIA!F206</f>
        <v>0</v>
      </c>
      <c r="G135" s="1471">
        <f>TRESORERIA!G206</f>
        <v>0</v>
      </c>
      <c r="H135" s="1471">
        <f>TRESORERIA!H206</f>
        <v>0</v>
      </c>
      <c r="I135" s="1471">
        <f>TRESORERIA!I206</f>
        <v>0</v>
      </c>
      <c r="J135" s="1471">
        <f>TRESORERIA!J206</f>
        <v>0</v>
      </c>
      <c r="K135" s="1471">
        <f>TRESORERIA!K206</f>
        <v>0</v>
      </c>
      <c r="L135" s="1471">
        <f>TRESORERIA!L206</f>
        <v>0</v>
      </c>
      <c r="M135" s="1471">
        <f>TRESORERIA!M206</f>
        <v>0</v>
      </c>
      <c r="N135" s="1471">
        <f>TRESORERIA!N206</f>
        <v>0</v>
      </c>
      <c r="O135" s="1472">
        <f>TRESORERIA!O206</f>
        <v>0</v>
      </c>
    </row>
    <row r="136" spans="1:15" x14ac:dyDescent="0.25">
      <c r="A136" s="1968" t="str">
        <f t="shared" si="3"/>
        <v>Despeses diverses</v>
      </c>
      <c r="B136" s="1968"/>
      <c r="C136" s="1327">
        <f>TRESORERIA!C207</f>
        <v>0</v>
      </c>
      <c r="D136" s="1327">
        <f>TRESORERIA!D207</f>
        <v>0</v>
      </c>
      <c r="E136" s="1327">
        <f>TRESORERIA!E207</f>
        <v>0</v>
      </c>
      <c r="F136" s="1327">
        <f>TRESORERIA!F207</f>
        <v>0</v>
      </c>
      <c r="G136" s="1327">
        <f>TRESORERIA!G207</f>
        <v>0</v>
      </c>
      <c r="H136" s="1327">
        <f>TRESORERIA!H207</f>
        <v>0</v>
      </c>
      <c r="I136" s="1327">
        <f>TRESORERIA!I207</f>
        <v>0</v>
      </c>
      <c r="J136" s="1327">
        <f>TRESORERIA!J207</f>
        <v>0</v>
      </c>
      <c r="K136" s="1327">
        <f>TRESORERIA!K207</f>
        <v>0</v>
      </c>
      <c r="L136" s="1327">
        <f>TRESORERIA!L207</f>
        <v>0</v>
      </c>
      <c r="M136" s="1327">
        <f>TRESORERIA!M207</f>
        <v>0</v>
      </c>
      <c r="N136" s="1327">
        <f>TRESORERIA!N207</f>
        <v>0</v>
      </c>
      <c r="O136" s="1335">
        <f>TRESORERIA!O207</f>
        <v>0</v>
      </c>
    </row>
    <row r="137" spans="1:15" ht="13" x14ac:dyDescent="0.25">
      <c r="A137" s="1962" t="str">
        <f t="shared" ref="A137:A153" si="4">+A29</f>
        <v>Despeses de personal</v>
      </c>
      <c r="B137" s="1962"/>
      <c r="C137" s="1467">
        <f>TRESORERIA!C208</f>
        <v>0</v>
      </c>
      <c r="D137" s="1467">
        <f>TRESORERIA!D208</f>
        <v>0</v>
      </c>
      <c r="E137" s="1467">
        <f>TRESORERIA!E208</f>
        <v>0</v>
      </c>
      <c r="F137" s="1467">
        <f>TRESORERIA!F208</f>
        <v>0</v>
      </c>
      <c r="G137" s="1467">
        <f>TRESORERIA!G208</f>
        <v>0</v>
      </c>
      <c r="H137" s="1467">
        <f>TRESORERIA!H208</f>
        <v>0</v>
      </c>
      <c r="I137" s="1467">
        <f>TRESORERIA!I208</f>
        <v>0</v>
      </c>
      <c r="J137" s="1467">
        <f>TRESORERIA!J208</f>
        <v>0</v>
      </c>
      <c r="K137" s="1467">
        <f>TRESORERIA!K208</f>
        <v>0</v>
      </c>
      <c r="L137" s="1467">
        <f>TRESORERIA!L208</f>
        <v>0</v>
      </c>
      <c r="M137" s="1467">
        <f>TRESORERIA!M208</f>
        <v>0</v>
      </c>
      <c r="N137" s="1467">
        <f>TRESORERIA!N208</f>
        <v>0</v>
      </c>
      <c r="O137" s="1468">
        <f>TRESORERIA!O208</f>
        <v>0</v>
      </c>
    </row>
    <row r="138" spans="1:15" x14ac:dyDescent="0.25">
      <c r="A138" s="1966" t="str">
        <f t="shared" si="4"/>
        <v>Retribucions (net)</v>
      </c>
      <c r="B138" s="1966"/>
      <c r="C138" s="1469">
        <f>TRESORERIA!C209</f>
        <v>0</v>
      </c>
      <c r="D138" s="1469">
        <f>TRESORERIA!D209</f>
        <v>0</v>
      </c>
      <c r="E138" s="1469">
        <f>TRESORERIA!E209</f>
        <v>0</v>
      </c>
      <c r="F138" s="1469">
        <f>TRESORERIA!F209</f>
        <v>0</v>
      </c>
      <c r="G138" s="1469">
        <f>TRESORERIA!G209</f>
        <v>0</v>
      </c>
      <c r="H138" s="1469">
        <f>TRESORERIA!H209</f>
        <v>0</v>
      </c>
      <c r="I138" s="1469">
        <f>TRESORERIA!I209</f>
        <v>0</v>
      </c>
      <c r="J138" s="1469">
        <f>TRESORERIA!J209</f>
        <v>0</v>
      </c>
      <c r="K138" s="1469">
        <f>TRESORERIA!K209</f>
        <v>0</v>
      </c>
      <c r="L138" s="1469">
        <f>TRESORERIA!L209</f>
        <v>0</v>
      </c>
      <c r="M138" s="1469">
        <f>TRESORERIA!M209</f>
        <v>0</v>
      </c>
      <c r="N138" s="1469">
        <f>TRESORERIA!N209</f>
        <v>0</v>
      </c>
      <c r="O138" s="1470">
        <f>TRESORERIA!O209</f>
        <v>0</v>
      </c>
    </row>
    <row r="139" spans="1:15" x14ac:dyDescent="0.25">
      <c r="A139" s="1969" t="str">
        <f t="shared" si="4"/>
        <v>Treballadors (personal)</v>
      </c>
      <c r="B139" s="1969"/>
      <c r="C139" s="1471">
        <f>TRESORERIA!C210</f>
        <v>0</v>
      </c>
      <c r="D139" s="1471">
        <f>TRESORERIA!D210</f>
        <v>0</v>
      </c>
      <c r="E139" s="1471">
        <f>TRESORERIA!E210</f>
        <v>0</v>
      </c>
      <c r="F139" s="1471">
        <f>TRESORERIA!F210</f>
        <v>0</v>
      </c>
      <c r="G139" s="1471">
        <f>TRESORERIA!G210</f>
        <v>0</v>
      </c>
      <c r="H139" s="1471">
        <f>TRESORERIA!H210</f>
        <v>0</v>
      </c>
      <c r="I139" s="1471">
        <f>TRESORERIA!I210</f>
        <v>0</v>
      </c>
      <c r="J139" s="1471">
        <f>TRESORERIA!J210</f>
        <v>0</v>
      </c>
      <c r="K139" s="1471">
        <f>TRESORERIA!K210</f>
        <v>0</v>
      </c>
      <c r="L139" s="1471">
        <f>TRESORERIA!L210</f>
        <v>0</v>
      </c>
      <c r="M139" s="1471">
        <f>TRESORERIA!M210</f>
        <v>0</v>
      </c>
      <c r="N139" s="1471">
        <f>TRESORERIA!N210</f>
        <v>0</v>
      </c>
      <c r="O139" s="1472">
        <f>TRESORERIA!O210</f>
        <v>0</v>
      </c>
    </row>
    <row r="140" spans="1:15" x14ac:dyDescent="0.25">
      <c r="A140" s="1969" t="str">
        <f t="shared" si="4"/>
        <v>Promotors</v>
      </c>
      <c r="B140" s="1969"/>
      <c r="C140" s="1471">
        <f>TRESORERIA!C211</f>
        <v>0</v>
      </c>
      <c r="D140" s="1471">
        <f>TRESORERIA!D211</f>
        <v>0</v>
      </c>
      <c r="E140" s="1471">
        <f>TRESORERIA!E211</f>
        <v>0</v>
      </c>
      <c r="F140" s="1471">
        <f>TRESORERIA!F211</f>
        <v>0</v>
      </c>
      <c r="G140" s="1471">
        <f>TRESORERIA!G211</f>
        <v>0</v>
      </c>
      <c r="H140" s="1471">
        <f>TRESORERIA!H211</f>
        <v>0</v>
      </c>
      <c r="I140" s="1471">
        <f>TRESORERIA!I211</f>
        <v>0</v>
      </c>
      <c r="J140" s="1471">
        <f>TRESORERIA!J211</f>
        <v>0</v>
      </c>
      <c r="K140" s="1471">
        <f>TRESORERIA!K211</f>
        <v>0</v>
      </c>
      <c r="L140" s="1471">
        <f>TRESORERIA!L211</f>
        <v>0</v>
      </c>
      <c r="M140" s="1471">
        <f>TRESORERIA!M211</f>
        <v>0</v>
      </c>
      <c r="N140" s="1471">
        <f>TRESORERIA!N211</f>
        <v>0</v>
      </c>
      <c r="O140" s="1472">
        <f>TRESORERIA!O211</f>
        <v>0</v>
      </c>
    </row>
    <row r="141" spans="1:15" x14ac:dyDescent="0.25">
      <c r="A141" s="1966" t="str">
        <f t="shared" si="4"/>
        <v>Seguretat Social</v>
      </c>
      <c r="B141" s="1966"/>
      <c r="C141" s="1471">
        <f>TRESORERIA!C212</f>
        <v>0</v>
      </c>
      <c r="D141" s="1471">
        <f>TRESORERIA!D212</f>
        <v>0</v>
      </c>
      <c r="E141" s="1471">
        <f>TRESORERIA!E212</f>
        <v>0</v>
      </c>
      <c r="F141" s="1471">
        <f>TRESORERIA!F212</f>
        <v>0</v>
      </c>
      <c r="G141" s="1471">
        <f>TRESORERIA!G212</f>
        <v>0</v>
      </c>
      <c r="H141" s="1471">
        <f>TRESORERIA!H212</f>
        <v>0</v>
      </c>
      <c r="I141" s="1471">
        <f>TRESORERIA!I212</f>
        <v>0</v>
      </c>
      <c r="J141" s="1471">
        <f>TRESORERIA!J212</f>
        <v>0</v>
      </c>
      <c r="K141" s="1471">
        <f>TRESORERIA!K212</f>
        <v>0</v>
      </c>
      <c r="L141" s="1471">
        <f>TRESORERIA!L212</f>
        <v>0</v>
      </c>
      <c r="M141" s="1471">
        <f>TRESORERIA!M212</f>
        <v>0</v>
      </c>
      <c r="N141" s="1471">
        <f>TRESORERIA!N212</f>
        <v>0</v>
      </c>
      <c r="O141" s="1472">
        <f>TRESORERIA!O212</f>
        <v>0</v>
      </c>
    </row>
    <row r="142" spans="1:15" x14ac:dyDescent="0.25">
      <c r="A142" s="1969" t="str">
        <f t="shared" si="4"/>
        <v>Empresa (personal)</v>
      </c>
      <c r="B142" s="1969"/>
      <c r="C142" s="1471">
        <f>TRESORERIA!C213</f>
        <v>0</v>
      </c>
      <c r="D142" s="1471">
        <f>TRESORERIA!D213</f>
        <v>0</v>
      </c>
      <c r="E142" s="1471">
        <f>TRESORERIA!E213</f>
        <v>0</v>
      </c>
      <c r="F142" s="1471">
        <f>TRESORERIA!F213</f>
        <v>0</v>
      </c>
      <c r="G142" s="1471">
        <f>TRESORERIA!G213</f>
        <v>0</v>
      </c>
      <c r="H142" s="1471">
        <f>TRESORERIA!H213</f>
        <v>0</v>
      </c>
      <c r="I142" s="1471">
        <f>TRESORERIA!I213</f>
        <v>0</v>
      </c>
      <c r="J142" s="1471">
        <f>TRESORERIA!J213</f>
        <v>0</v>
      </c>
      <c r="K142" s="1471">
        <f>TRESORERIA!K213</f>
        <v>0</v>
      </c>
      <c r="L142" s="1471">
        <f>TRESORERIA!L213</f>
        <v>0</v>
      </c>
      <c r="M142" s="1471">
        <f>TRESORERIA!M213</f>
        <v>0</v>
      </c>
      <c r="N142" s="1471">
        <f>TRESORERIA!N213</f>
        <v>0</v>
      </c>
      <c r="O142" s="1472">
        <f>TRESORERIA!O213</f>
        <v>0</v>
      </c>
    </row>
    <row r="143" spans="1:15" x14ac:dyDescent="0.25">
      <c r="A143" s="1969" t="str">
        <f t="shared" si="4"/>
        <v>Treballadors (personal)</v>
      </c>
      <c r="B143" s="1969"/>
      <c r="C143" s="1471">
        <f>TRESORERIA!C214</f>
        <v>0</v>
      </c>
      <c r="D143" s="1471">
        <f>TRESORERIA!D214</f>
        <v>0</v>
      </c>
      <c r="E143" s="1471">
        <f>TRESORERIA!E214</f>
        <v>0</v>
      </c>
      <c r="F143" s="1471">
        <f>TRESORERIA!F214</f>
        <v>0</v>
      </c>
      <c r="G143" s="1471">
        <f>TRESORERIA!G214</f>
        <v>0</v>
      </c>
      <c r="H143" s="1471">
        <f>TRESORERIA!H214</f>
        <v>0</v>
      </c>
      <c r="I143" s="1471">
        <f>TRESORERIA!I214</f>
        <v>0</v>
      </c>
      <c r="J143" s="1471">
        <f>TRESORERIA!J214</f>
        <v>0</v>
      </c>
      <c r="K143" s="1471">
        <f>TRESORERIA!K214</f>
        <v>0</v>
      </c>
      <c r="L143" s="1471">
        <f>TRESORERIA!L214</f>
        <v>0</v>
      </c>
      <c r="M143" s="1471">
        <f>TRESORERIA!M214</f>
        <v>0</v>
      </c>
      <c r="N143" s="1471">
        <f>TRESORERIA!N214</f>
        <v>0</v>
      </c>
      <c r="O143" s="1472">
        <f>TRESORERIA!O214</f>
        <v>0</v>
      </c>
    </row>
    <row r="144" spans="1:15" x14ac:dyDescent="0.25">
      <c r="A144" s="1969" t="str">
        <f t="shared" si="4"/>
        <v>Promotors</v>
      </c>
      <c r="B144" s="1969"/>
      <c r="C144" s="1327">
        <f>TRESORERIA!C215</f>
        <v>0</v>
      </c>
      <c r="D144" s="1327">
        <f>TRESORERIA!D215</f>
        <v>0</v>
      </c>
      <c r="E144" s="1327">
        <f>TRESORERIA!E215</f>
        <v>0</v>
      </c>
      <c r="F144" s="1327">
        <f>TRESORERIA!F215</f>
        <v>0</v>
      </c>
      <c r="G144" s="1327">
        <f>TRESORERIA!G215</f>
        <v>0</v>
      </c>
      <c r="H144" s="1327">
        <f>TRESORERIA!H215</f>
        <v>0</v>
      </c>
      <c r="I144" s="1327">
        <f>TRESORERIA!I215</f>
        <v>0</v>
      </c>
      <c r="J144" s="1327">
        <f>TRESORERIA!J215</f>
        <v>0</v>
      </c>
      <c r="K144" s="1327">
        <f>TRESORERIA!K215</f>
        <v>0</v>
      </c>
      <c r="L144" s="1327">
        <f>TRESORERIA!L215</f>
        <v>0</v>
      </c>
      <c r="M144" s="1327">
        <f>TRESORERIA!M215</f>
        <v>0</v>
      </c>
      <c r="N144" s="1327">
        <f>TRESORERIA!N215</f>
        <v>0</v>
      </c>
      <c r="O144" s="1335">
        <f>TRESORERIA!O215</f>
        <v>0</v>
      </c>
    </row>
    <row r="145" spans="1:15" ht="13" x14ac:dyDescent="0.25">
      <c r="A145" s="1962" t="str">
        <f t="shared" si="4"/>
        <v>Hisenda Pública</v>
      </c>
      <c r="B145" s="1962"/>
      <c r="C145" s="1467">
        <f>TRESORERIA!C216</f>
        <v>0</v>
      </c>
      <c r="D145" s="1467">
        <f>TRESORERIA!D216</f>
        <v>0</v>
      </c>
      <c r="E145" s="1467">
        <f>TRESORERIA!E216</f>
        <v>0</v>
      </c>
      <c r="F145" s="1467">
        <f>TRESORERIA!F216</f>
        <v>0</v>
      </c>
      <c r="G145" s="1467">
        <f>TRESORERIA!G216</f>
        <v>0</v>
      </c>
      <c r="H145" s="1467">
        <f>TRESORERIA!H216</f>
        <v>0</v>
      </c>
      <c r="I145" s="1467">
        <f>TRESORERIA!I216</f>
        <v>0</v>
      </c>
      <c r="J145" s="1467">
        <f>TRESORERIA!J216</f>
        <v>0</v>
      </c>
      <c r="K145" s="1467">
        <f>TRESORERIA!K216</f>
        <v>0</v>
      </c>
      <c r="L145" s="1467">
        <f>TRESORERIA!L216</f>
        <v>0</v>
      </c>
      <c r="M145" s="1467">
        <f>TRESORERIA!M216</f>
        <v>0</v>
      </c>
      <c r="N145" s="1467">
        <f>TRESORERIA!N216</f>
        <v>0</v>
      </c>
      <c r="O145" s="1468">
        <f>TRESORERIA!O216</f>
        <v>0</v>
      </c>
    </row>
    <row r="146" spans="1:15" x14ac:dyDescent="0.25">
      <c r="A146" s="1959" t="str">
        <f t="shared" si="4"/>
        <v>Impost d'Activitats Econòmiques</v>
      </c>
      <c r="B146" s="1959"/>
      <c r="C146" s="1469">
        <f>TRESORERIA!C217</f>
        <v>0</v>
      </c>
      <c r="D146" s="1469">
        <f>TRESORERIA!D217</f>
        <v>0</v>
      </c>
      <c r="E146" s="1469">
        <f>TRESORERIA!E217</f>
        <v>0</v>
      </c>
      <c r="F146" s="1469">
        <f>TRESORERIA!F217</f>
        <v>0</v>
      </c>
      <c r="G146" s="1469">
        <f>TRESORERIA!G217</f>
        <v>0</v>
      </c>
      <c r="H146" s="1469">
        <f>TRESORERIA!H217</f>
        <v>0</v>
      </c>
      <c r="I146" s="1469">
        <f>TRESORERIA!I217</f>
        <v>0</v>
      </c>
      <c r="J146" s="1469">
        <f>TRESORERIA!J217</f>
        <v>0</v>
      </c>
      <c r="K146" s="1469">
        <f>TRESORERIA!K217</f>
        <v>0</v>
      </c>
      <c r="L146" s="1469">
        <f>TRESORERIA!L217</f>
        <v>0</v>
      </c>
      <c r="M146" s="1469">
        <f>TRESORERIA!M217</f>
        <v>0</v>
      </c>
      <c r="N146" s="1469">
        <f>TRESORERIA!N217</f>
        <v>0</v>
      </c>
      <c r="O146" s="1470">
        <f>TRESORERIA!O217</f>
        <v>0</v>
      </c>
    </row>
    <row r="147" spans="1:15" x14ac:dyDescent="0.25">
      <c r="A147" s="1959" t="str">
        <f t="shared" si="4"/>
        <v>Retencions IRPF</v>
      </c>
      <c r="B147" s="1959"/>
      <c r="C147" s="1471">
        <f>TRESORERIA!C218</f>
        <v>0</v>
      </c>
      <c r="D147" s="1471">
        <f>TRESORERIA!D218</f>
        <v>0</v>
      </c>
      <c r="E147" s="1471">
        <f>TRESORERIA!E218</f>
        <v>0</v>
      </c>
      <c r="F147" s="1471">
        <f>TRESORERIA!F218</f>
        <v>0</v>
      </c>
      <c r="G147" s="1471">
        <f>TRESORERIA!G218</f>
        <v>0</v>
      </c>
      <c r="H147" s="1471">
        <f>TRESORERIA!H218</f>
        <v>0</v>
      </c>
      <c r="I147" s="1471">
        <f>TRESORERIA!I218</f>
        <v>0</v>
      </c>
      <c r="J147" s="1471">
        <f>TRESORERIA!J218</f>
        <v>0</v>
      </c>
      <c r="K147" s="1471">
        <f>TRESORERIA!K218</f>
        <v>0</v>
      </c>
      <c r="L147" s="1471">
        <f>TRESORERIA!L218</f>
        <v>0</v>
      </c>
      <c r="M147" s="1471">
        <f>TRESORERIA!M218</f>
        <v>0</v>
      </c>
      <c r="N147" s="1471">
        <f>TRESORERIA!N218</f>
        <v>0</v>
      </c>
      <c r="O147" s="1472">
        <f>TRESORERIA!O218</f>
        <v>0</v>
      </c>
    </row>
    <row r="148" spans="1:15" x14ac:dyDescent="0.25">
      <c r="A148" s="1959" t="str">
        <f t="shared" si="4"/>
        <v>Pagos a cuenta</v>
      </c>
      <c r="B148" s="1959"/>
      <c r="C148" s="1326">
        <f>+TRESORERIA!C219</f>
        <v>0</v>
      </c>
      <c r="D148" s="1326">
        <f>+TRESORERIA!D219</f>
        <v>0</v>
      </c>
      <c r="E148" s="1326">
        <f>+TRESORERIA!E219</f>
        <v>0</v>
      </c>
      <c r="F148" s="1326">
        <f>+TRESORERIA!F219</f>
        <v>0</v>
      </c>
      <c r="G148" s="1326">
        <f>+TRESORERIA!G219</f>
        <v>0</v>
      </c>
      <c r="H148" s="1326">
        <f>+TRESORERIA!H219</f>
        <v>0</v>
      </c>
      <c r="I148" s="1326">
        <f>+TRESORERIA!I219</f>
        <v>0</v>
      </c>
      <c r="J148" s="1326">
        <f>+TRESORERIA!J219</f>
        <v>0</v>
      </c>
      <c r="K148" s="1326">
        <f>+TRESORERIA!K219</f>
        <v>0</v>
      </c>
      <c r="L148" s="1326">
        <f>+TRESORERIA!L219</f>
        <v>0</v>
      </c>
      <c r="M148" s="1326">
        <f>+TRESORERIA!M219</f>
        <v>0</v>
      </c>
      <c r="N148" s="1326">
        <f>+TRESORERIA!N219</f>
        <v>0</v>
      </c>
      <c r="O148" s="1333">
        <f>+TRESORERIA!O219</f>
        <v>0</v>
      </c>
    </row>
    <row r="149" spans="1:15" ht="13" x14ac:dyDescent="0.25">
      <c r="A149" s="1963" t="str">
        <f t="shared" si="4"/>
        <v>Inversions</v>
      </c>
      <c r="B149" s="1963"/>
      <c r="C149" s="1467">
        <f>TRESORERIA!C220</f>
        <v>0</v>
      </c>
      <c r="D149" s="1467">
        <f>TRESORERIA!D220</f>
        <v>0</v>
      </c>
      <c r="E149" s="1467">
        <f>TRESORERIA!E220</f>
        <v>0</v>
      </c>
      <c r="F149" s="1467">
        <f>TRESORERIA!F220</f>
        <v>0</v>
      </c>
      <c r="G149" s="1467">
        <f>TRESORERIA!G220</f>
        <v>0</v>
      </c>
      <c r="H149" s="1467">
        <f>TRESORERIA!H220</f>
        <v>0</v>
      </c>
      <c r="I149" s="1467">
        <f>TRESORERIA!I220</f>
        <v>0</v>
      </c>
      <c r="J149" s="1467">
        <f>TRESORERIA!J220</f>
        <v>0</v>
      </c>
      <c r="K149" s="1467">
        <f>TRESORERIA!K220</f>
        <v>0</v>
      </c>
      <c r="L149" s="1467">
        <f>TRESORERIA!L220</f>
        <v>0</v>
      </c>
      <c r="M149" s="1467">
        <f>TRESORERIA!M220</f>
        <v>0</v>
      </c>
      <c r="N149" s="1467">
        <f>TRESORERIA!N220</f>
        <v>0</v>
      </c>
      <c r="O149" s="1468">
        <f>TRESORERIA!O220</f>
        <v>0</v>
      </c>
    </row>
    <row r="150" spans="1:15" ht="13" x14ac:dyDescent="0.25">
      <c r="A150" s="1963" t="str">
        <f t="shared" si="4"/>
        <v>Despeses financeres (interessos)</v>
      </c>
      <c r="B150" s="1963"/>
      <c r="C150" s="1467">
        <f>TRESORERIA!C221</f>
        <v>0</v>
      </c>
      <c r="D150" s="1467">
        <f>TRESORERIA!D221</f>
        <v>0</v>
      </c>
      <c r="E150" s="1467">
        <f>TRESORERIA!E221</f>
        <v>0</v>
      </c>
      <c r="F150" s="1467">
        <f>TRESORERIA!F221</f>
        <v>0</v>
      </c>
      <c r="G150" s="1467">
        <f>TRESORERIA!G221</f>
        <v>0</v>
      </c>
      <c r="H150" s="1467">
        <f>TRESORERIA!H221</f>
        <v>0</v>
      </c>
      <c r="I150" s="1467">
        <f>TRESORERIA!I221</f>
        <v>0</v>
      </c>
      <c r="J150" s="1467">
        <f>TRESORERIA!J221</f>
        <v>0</v>
      </c>
      <c r="K150" s="1467">
        <f>TRESORERIA!K221</f>
        <v>0</v>
      </c>
      <c r="L150" s="1467">
        <f>TRESORERIA!L221</f>
        <v>0</v>
      </c>
      <c r="M150" s="1467">
        <f>TRESORERIA!M221</f>
        <v>0</v>
      </c>
      <c r="N150" s="1467">
        <f>TRESORERIA!N221</f>
        <v>0</v>
      </c>
      <c r="O150" s="1468">
        <f>TRESORERIA!O221</f>
        <v>0</v>
      </c>
    </row>
    <row r="151" spans="1:15" ht="13" x14ac:dyDescent="0.25">
      <c r="A151" s="1963" t="str">
        <f t="shared" si="4"/>
        <v xml:space="preserve">Devolució préstec </v>
      </c>
      <c r="B151" s="1963"/>
      <c r="C151" s="1467">
        <f>TRESORERIA!C222</f>
        <v>0</v>
      </c>
      <c r="D151" s="1467">
        <f>TRESORERIA!D222</f>
        <v>0</v>
      </c>
      <c r="E151" s="1467">
        <f>TRESORERIA!E222</f>
        <v>0</v>
      </c>
      <c r="F151" s="1467">
        <f>TRESORERIA!F222</f>
        <v>0</v>
      </c>
      <c r="G151" s="1467">
        <f>TRESORERIA!G222</f>
        <v>0</v>
      </c>
      <c r="H151" s="1467">
        <f>TRESORERIA!H222</f>
        <v>0</v>
      </c>
      <c r="I151" s="1467">
        <f>TRESORERIA!I222</f>
        <v>0</v>
      </c>
      <c r="J151" s="1467">
        <f>TRESORERIA!J222</f>
        <v>0</v>
      </c>
      <c r="K151" s="1467">
        <f>TRESORERIA!K222</f>
        <v>0</v>
      </c>
      <c r="L151" s="1467">
        <f>TRESORERIA!L222</f>
        <v>0</v>
      </c>
      <c r="M151" s="1467">
        <f>TRESORERIA!M222</f>
        <v>0</v>
      </c>
      <c r="N151" s="1467">
        <f>TRESORERIA!N222</f>
        <v>0</v>
      </c>
      <c r="O151" s="1468">
        <f>TRESORERIA!O222</f>
        <v>0</v>
      </c>
    </row>
    <row r="152" spans="1:15" ht="13" x14ac:dyDescent="0.25">
      <c r="A152" s="1963" t="str">
        <f t="shared" si="4"/>
        <v>IVA PAGAT</v>
      </c>
      <c r="B152" s="1963"/>
      <c r="C152" s="1467">
        <f>TRESORERIA!C223</f>
        <v>0</v>
      </c>
      <c r="D152" s="1467">
        <f>TRESORERIA!D223</f>
        <v>0</v>
      </c>
      <c r="E152" s="1467">
        <f>TRESORERIA!E223</f>
        <v>0</v>
      </c>
      <c r="F152" s="1467">
        <f>TRESORERIA!F223</f>
        <v>0</v>
      </c>
      <c r="G152" s="1467">
        <f>TRESORERIA!G223</f>
        <v>0</v>
      </c>
      <c r="H152" s="1467">
        <f>TRESORERIA!H223</f>
        <v>0</v>
      </c>
      <c r="I152" s="1467">
        <f>TRESORERIA!I223</f>
        <v>0</v>
      </c>
      <c r="J152" s="1467">
        <f>TRESORERIA!J223</f>
        <v>0</v>
      </c>
      <c r="K152" s="1467">
        <f>TRESORERIA!K223</f>
        <v>0</v>
      </c>
      <c r="L152" s="1467">
        <f>TRESORERIA!L223</f>
        <v>0</v>
      </c>
      <c r="M152" s="1467">
        <f>TRESORERIA!M223</f>
        <v>0</v>
      </c>
      <c r="N152" s="1467">
        <f>TRESORERIA!N223</f>
        <v>0</v>
      </c>
      <c r="O152" s="1468">
        <f>TRESORERIA!O223</f>
        <v>0</v>
      </c>
    </row>
    <row r="153" spans="1:15" ht="13" x14ac:dyDescent="0.25">
      <c r="A153" s="1964" t="str">
        <f t="shared" si="4"/>
        <v>(2) TOTAL PAGAMENTS</v>
      </c>
      <c r="B153" s="1964"/>
      <c r="C153" s="1330">
        <f>TRESORERIA!C224</f>
        <v>0</v>
      </c>
      <c r="D153" s="1330">
        <f>TRESORERIA!D224</f>
        <v>0</v>
      </c>
      <c r="E153" s="1330">
        <f>TRESORERIA!E224</f>
        <v>0</v>
      </c>
      <c r="F153" s="1330">
        <f>TRESORERIA!F224</f>
        <v>0</v>
      </c>
      <c r="G153" s="1330">
        <f>TRESORERIA!G224</f>
        <v>0</v>
      </c>
      <c r="H153" s="1330">
        <f>TRESORERIA!H224</f>
        <v>0</v>
      </c>
      <c r="I153" s="1330">
        <f>TRESORERIA!I224</f>
        <v>0</v>
      </c>
      <c r="J153" s="1330">
        <f>TRESORERIA!J224</f>
        <v>0</v>
      </c>
      <c r="K153" s="1330">
        <f>TRESORERIA!K224</f>
        <v>0</v>
      </c>
      <c r="L153" s="1330">
        <f>TRESORERIA!L224</f>
        <v>0</v>
      </c>
      <c r="M153" s="1330">
        <f>TRESORERIA!M224</f>
        <v>0</v>
      </c>
      <c r="N153" s="1330">
        <f>TRESORERIA!N224</f>
        <v>0</v>
      </c>
      <c r="O153" s="1330">
        <f>TRESORERIA!O224</f>
        <v>0</v>
      </c>
    </row>
    <row r="154" spans="1:15" x14ac:dyDescent="0.25">
      <c r="C154" s="1331"/>
      <c r="D154" s="1331"/>
      <c r="E154" s="1331"/>
      <c r="F154" s="1331"/>
      <c r="G154" s="1331"/>
      <c r="H154" s="1331"/>
      <c r="I154" s="1331"/>
      <c r="J154" s="1331"/>
      <c r="K154" s="1331"/>
      <c r="L154" s="1331"/>
      <c r="M154" s="1331"/>
      <c r="N154" s="1331"/>
      <c r="O154" s="1331"/>
    </row>
    <row r="155" spans="1:15" ht="13" x14ac:dyDescent="0.25">
      <c r="A155" s="1970" t="str">
        <f t="shared" ref="A155:A161" si="5">+A47</f>
        <v>SALDO INICIAL</v>
      </c>
      <c r="B155" s="1970"/>
      <c r="C155" s="1330">
        <f>TRESORERIA!C226</f>
        <v>0</v>
      </c>
      <c r="D155" s="1330">
        <f>TRESORERIA!D226</f>
        <v>0</v>
      </c>
      <c r="E155" s="1330">
        <f>TRESORERIA!E226</f>
        <v>0</v>
      </c>
      <c r="F155" s="1330">
        <f>TRESORERIA!F226</f>
        <v>0</v>
      </c>
      <c r="G155" s="1330">
        <f>TRESORERIA!G226</f>
        <v>0</v>
      </c>
      <c r="H155" s="1330">
        <f>TRESORERIA!H226</f>
        <v>0</v>
      </c>
      <c r="I155" s="1330">
        <f>TRESORERIA!I226</f>
        <v>0</v>
      </c>
      <c r="J155" s="1330">
        <f>TRESORERIA!J226</f>
        <v>0</v>
      </c>
      <c r="K155" s="1330">
        <f>TRESORERIA!K226</f>
        <v>0</v>
      </c>
      <c r="L155" s="1330">
        <f>TRESORERIA!L226</f>
        <v>0</v>
      </c>
      <c r="M155" s="1330">
        <f>TRESORERIA!M226</f>
        <v>0</v>
      </c>
      <c r="N155" s="1330">
        <f>TRESORERIA!N226</f>
        <v>0</v>
      </c>
      <c r="O155" s="1330">
        <f>TRESORERIA!O226</f>
        <v>0</v>
      </c>
    </row>
    <row r="156" spans="1:15" ht="13" x14ac:dyDescent="0.25">
      <c r="A156" s="1970" t="str">
        <f t="shared" si="5"/>
        <v>COBRAMENTS - PAGAMENTS</v>
      </c>
      <c r="B156" s="1970"/>
      <c r="C156" s="1330">
        <f>TRESORERIA!C227</f>
        <v>0</v>
      </c>
      <c r="D156" s="1330">
        <f>TRESORERIA!D227</f>
        <v>0</v>
      </c>
      <c r="E156" s="1330">
        <f>TRESORERIA!E227</f>
        <v>0</v>
      </c>
      <c r="F156" s="1330">
        <f>TRESORERIA!F227</f>
        <v>0</v>
      </c>
      <c r="G156" s="1330">
        <f>TRESORERIA!G227</f>
        <v>0</v>
      </c>
      <c r="H156" s="1330">
        <f>TRESORERIA!H227</f>
        <v>0</v>
      </c>
      <c r="I156" s="1330">
        <f>TRESORERIA!I227</f>
        <v>0</v>
      </c>
      <c r="J156" s="1330">
        <f>TRESORERIA!J227</f>
        <v>0</v>
      </c>
      <c r="K156" s="1330">
        <f>TRESORERIA!K227</f>
        <v>0</v>
      </c>
      <c r="L156" s="1330">
        <f>TRESORERIA!L227</f>
        <v>0</v>
      </c>
      <c r="M156" s="1330">
        <f>TRESORERIA!M227</f>
        <v>0</v>
      </c>
      <c r="N156" s="1330">
        <f>TRESORERIA!N227</f>
        <v>0</v>
      </c>
      <c r="O156" s="1330">
        <f>TRESORERIA!O227</f>
        <v>0</v>
      </c>
    </row>
    <row r="157" spans="1:15" ht="13" x14ac:dyDescent="0.25">
      <c r="A157" s="1960" t="str">
        <f t="shared" si="5"/>
        <v>LIQUIDACIÓN IVA</v>
      </c>
      <c r="B157" s="1960"/>
      <c r="C157" s="1328">
        <f>TRESORERIA!C228</f>
        <v>0</v>
      </c>
      <c r="D157" s="1328">
        <f>TRESORERIA!D228</f>
        <v>0</v>
      </c>
      <c r="E157" s="1328">
        <f>TRESORERIA!E228</f>
        <v>0</v>
      </c>
      <c r="F157" s="1328">
        <f>TRESORERIA!F228</f>
        <v>0</v>
      </c>
      <c r="G157" s="1328">
        <f>TRESORERIA!G228</f>
        <v>0</v>
      </c>
      <c r="H157" s="1328">
        <f>TRESORERIA!H228</f>
        <v>0</v>
      </c>
      <c r="I157" s="1328">
        <f>TRESORERIA!I228</f>
        <v>0</v>
      </c>
      <c r="J157" s="1328">
        <f>TRESORERIA!J228</f>
        <v>0</v>
      </c>
      <c r="K157" s="1328">
        <f>TRESORERIA!K228</f>
        <v>0</v>
      </c>
      <c r="L157" s="1328">
        <f>TRESORERIA!L228</f>
        <v>0</v>
      </c>
      <c r="M157" s="1328">
        <f>TRESORERIA!M228</f>
        <v>0</v>
      </c>
      <c r="N157" s="1328">
        <f>TRESORERIA!N228</f>
        <v>0</v>
      </c>
      <c r="O157" s="1329">
        <f>TRESORERIA!O228</f>
        <v>0</v>
      </c>
    </row>
    <row r="158" spans="1:15" ht="13" x14ac:dyDescent="0.25">
      <c r="A158" s="1970" t="str">
        <f t="shared" si="5"/>
        <v>SALDO FINAL</v>
      </c>
      <c r="B158" s="1970"/>
      <c r="C158" s="1330">
        <f>TRESORERIA!C229</f>
        <v>0</v>
      </c>
      <c r="D158" s="1330">
        <f>TRESORERIA!D229</f>
        <v>0</v>
      </c>
      <c r="E158" s="1330">
        <f>TRESORERIA!E229</f>
        <v>0</v>
      </c>
      <c r="F158" s="1330">
        <f>TRESORERIA!F229</f>
        <v>0</v>
      </c>
      <c r="G158" s="1330">
        <f>TRESORERIA!G229</f>
        <v>0</v>
      </c>
      <c r="H158" s="1330">
        <f>TRESORERIA!H229</f>
        <v>0</v>
      </c>
      <c r="I158" s="1330">
        <f>TRESORERIA!I229</f>
        <v>0</v>
      </c>
      <c r="J158" s="1330">
        <f>TRESORERIA!J229</f>
        <v>0</v>
      </c>
      <c r="K158" s="1330">
        <f>TRESORERIA!K229</f>
        <v>0</v>
      </c>
      <c r="L158" s="1330">
        <f>TRESORERIA!L229</f>
        <v>0</v>
      </c>
      <c r="M158" s="1330">
        <f>TRESORERIA!M229</f>
        <v>0</v>
      </c>
      <c r="N158" s="1330">
        <f>TRESORERIA!N229</f>
        <v>0</v>
      </c>
      <c r="O158" s="1330">
        <f>TRESORERIA!O229</f>
        <v>0</v>
      </c>
    </row>
    <row r="159" spans="1:15" ht="13" x14ac:dyDescent="0.25">
      <c r="A159" s="1927" t="str">
        <f t="shared" si="5"/>
        <v>DISPOSICIÓ LÍNIA DE CRÈDIT</v>
      </c>
      <c r="B159" s="1927"/>
      <c r="C159" s="1328">
        <f>TRESORERIA!C230</f>
        <v>0</v>
      </c>
      <c r="D159" s="1328">
        <f>TRESORERIA!D230</f>
        <v>0</v>
      </c>
      <c r="E159" s="1328">
        <f>TRESORERIA!E230</f>
        <v>0</v>
      </c>
      <c r="F159" s="1328">
        <f>TRESORERIA!F230</f>
        <v>0</v>
      </c>
      <c r="G159" s="1328">
        <f>TRESORERIA!G230</f>
        <v>0</v>
      </c>
      <c r="H159" s="1328">
        <f>TRESORERIA!H230</f>
        <v>0</v>
      </c>
      <c r="I159" s="1328">
        <f>TRESORERIA!I230</f>
        <v>0</v>
      </c>
      <c r="J159" s="1328">
        <f>TRESORERIA!J230</f>
        <v>0</v>
      </c>
      <c r="K159" s="1328">
        <f>TRESORERIA!K230</f>
        <v>0</v>
      </c>
      <c r="L159" s="1328">
        <f>TRESORERIA!L230</f>
        <v>0</v>
      </c>
      <c r="M159" s="1328">
        <f>TRESORERIA!M230</f>
        <v>0</v>
      </c>
      <c r="N159" s="1328">
        <f>TRESORERIA!N230</f>
        <v>0</v>
      </c>
      <c r="O159" s="1329">
        <f>TRESORERIA!O230</f>
        <v>0</v>
      </c>
    </row>
    <row r="160" spans="1:15" ht="13" x14ac:dyDescent="0.25">
      <c r="A160" s="1927" t="str">
        <f t="shared" si="5"/>
        <v>DEVOLUCIÓ LÍNIA DE CRÈDIT</v>
      </c>
      <c r="B160" s="1927"/>
      <c r="C160" s="1328">
        <f>TRESORERIA!C231</f>
        <v>0</v>
      </c>
      <c r="D160" s="1328">
        <f>TRESORERIA!D231</f>
        <v>0</v>
      </c>
      <c r="E160" s="1328">
        <f>TRESORERIA!E231</f>
        <v>0</v>
      </c>
      <c r="F160" s="1328">
        <f>TRESORERIA!F231</f>
        <v>0</v>
      </c>
      <c r="G160" s="1328">
        <f>TRESORERIA!G231</f>
        <v>0</v>
      </c>
      <c r="H160" s="1328">
        <f>TRESORERIA!H231</f>
        <v>0</v>
      </c>
      <c r="I160" s="1328">
        <f>TRESORERIA!I231</f>
        <v>0</v>
      </c>
      <c r="J160" s="1328">
        <f>TRESORERIA!J231</f>
        <v>0</v>
      </c>
      <c r="K160" s="1328">
        <f>TRESORERIA!K231</f>
        <v>0</v>
      </c>
      <c r="L160" s="1328">
        <f>TRESORERIA!L231</f>
        <v>0</v>
      </c>
      <c r="M160" s="1328">
        <f>TRESORERIA!M231</f>
        <v>0</v>
      </c>
      <c r="N160" s="1328">
        <f>TRESORERIA!N231</f>
        <v>0</v>
      </c>
      <c r="O160" s="1329">
        <f>TRESORERIA!O231</f>
        <v>0</v>
      </c>
    </row>
    <row r="161" spans="1:15" ht="13" x14ac:dyDescent="0.25">
      <c r="A161" s="1927" t="str">
        <f t="shared" si="5"/>
        <v>CRÈDIT PENDENT DEVOLUCIÓ</v>
      </c>
      <c r="B161" s="1927"/>
      <c r="C161" s="1328">
        <f>TRESORERIA!C232</f>
        <v>0</v>
      </c>
      <c r="D161" s="1328">
        <f>TRESORERIA!D232</f>
        <v>0</v>
      </c>
      <c r="E161" s="1328">
        <f>TRESORERIA!E232</f>
        <v>0</v>
      </c>
      <c r="F161" s="1328">
        <f>TRESORERIA!F232</f>
        <v>0</v>
      </c>
      <c r="G161" s="1328">
        <f>TRESORERIA!G232</f>
        <v>0</v>
      </c>
      <c r="H161" s="1328">
        <f>TRESORERIA!H232</f>
        <v>0</v>
      </c>
      <c r="I161" s="1328">
        <f>TRESORERIA!I232</f>
        <v>0</v>
      </c>
      <c r="J161" s="1328">
        <f>TRESORERIA!J232</f>
        <v>0</v>
      </c>
      <c r="K161" s="1328">
        <f>TRESORERIA!K232</f>
        <v>0</v>
      </c>
      <c r="L161" s="1328">
        <f>TRESORERIA!L232</f>
        <v>0</v>
      </c>
      <c r="M161" s="1328">
        <f>TRESORERIA!M232</f>
        <v>0</v>
      </c>
      <c r="N161" s="1328">
        <f>TRESORERIA!N232</f>
        <v>0</v>
      </c>
      <c r="O161" s="1329">
        <f>TRESORERIA!O232</f>
        <v>0</v>
      </c>
    </row>
  </sheetData>
  <mergeCells count="153">
    <mergeCell ref="A152:B152"/>
    <mergeCell ref="A153:B153"/>
    <mergeCell ref="A155:B155"/>
    <mergeCell ref="A160:B160"/>
    <mergeCell ref="A161:B161"/>
    <mergeCell ref="A156:B156"/>
    <mergeCell ref="A157:B157"/>
    <mergeCell ref="A158:B158"/>
    <mergeCell ref="A159:B159"/>
    <mergeCell ref="A143:B143"/>
    <mergeCell ref="A144:B144"/>
    <mergeCell ref="A145:B145"/>
    <mergeCell ref="A146:B146"/>
    <mergeCell ref="A147:B147"/>
    <mergeCell ref="A148:B148"/>
    <mergeCell ref="A149:B149"/>
    <mergeCell ref="A150:B150"/>
    <mergeCell ref="A151:B151"/>
    <mergeCell ref="A134:B134"/>
    <mergeCell ref="A135:B135"/>
    <mergeCell ref="A136:B136"/>
    <mergeCell ref="A137:B137"/>
    <mergeCell ref="A138:B138"/>
    <mergeCell ref="A139:B139"/>
    <mergeCell ref="A140:B140"/>
    <mergeCell ref="A141:B141"/>
    <mergeCell ref="A142:B142"/>
    <mergeCell ref="A125:B125"/>
    <mergeCell ref="A126:B126"/>
    <mergeCell ref="A128:B128"/>
    <mergeCell ref="A129:B129"/>
    <mergeCell ref="A130:B130"/>
    <mergeCell ref="A127:B127"/>
    <mergeCell ref="A131:B131"/>
    <mergeCell ref="A132:B132"/>
    <mergeCell ref="A133:B133"/>
    <mergeCell ref="A115:B115"/>
    <mergeCell ref="A116:B116"/>
    <mergeCell ref="A117:B117"/>
    <mergeCell ref="A118:B118"/>
    <mergeCell ref="A119:B119"/>
    <mergeCell ref="A121:O121"/>
    <mergeCell ref="A122:B122"/>
    <mergeCell ref="A123:B123"/>
    <mergeCell ref="A124:B124"/>
    <mergeCell ref="A105:B105"/>
    <mergeCell ref="A106:B106"/>
    <mergeCell ref="A107:B107"/>
    <mergeCell ref="A109:B110"/>
    <mergeCell ref="C109:N109"/>
    <mergeCell ref="O109:O110"/>
    <mergeCell ref="A111:O111"/>
    <mergeCell ref="A112:B112"/>
    <mergeCell ref="A113:B113"/>
    <mergeCell ref="A95:B95"/>
    <mergeCell ref="A96:B96"/>
    <mergeCell ref="A97:B97"/>
    <mergeCell ref="A98:B98"/>
    <mergeCell ref="A99:B99"/>
    <mergeCell ref="A101:B101"/>
    <mergeCell ref="A102:B102"/>
    <mergeCell ref="A103:B103"/>
    <mergeCell ref="A104:B104"/>
    <mergeCell ref="A86:B86"/>
    <mergeCell ref="A87:B87"/>
    <mergeCell ref="A88:B88"/>
    <mergeCell ref="A89:B89"/>
    <mergeCell ref="A90:B90"/>
    <mergeCell ref="A91:B91"/>
    <mergeCell ref="A92:B92"/>
    <mergeCell ref="A93:B93"/>
    <mergeCell ref="A94:B94"/>
    <mergeCell ref="A77:B77"/>
    <mergeCell ref="A78:B78"/>
    <mergeCell ref="A79:B79"/>
    <mergeCell ref="A80:B80"/>
    <mergeCell ref="A81:B81"/>
    <mergeCell ref="A82:B82"/>
    <mergeCell ref="A83:B83"/>
    <mergeCell ref="A84:B84"/>
    <mergeCell ref="A85:B85"/>
    <mergeCell ref="A68:B68"/>
    <mergeCell ref="A69:B69"/>
    <mergeCell ref="A70:B70"/>
    <mergeCell ref="A71:B71"/>
    <mergeCell ref="A72:B72"/>
    <mergeCell ref="A74:B74"/>
    <mergeCell ref="A73:B73"/>
    <mergeCell ref="A75:B75"/>
    <mergeCell ref="A76:B76"/>
    <mergeCell ref="A57:O57"/>
    <mergeCell ref="A58:B58"/>
    <mergeCell ref="A59:B59"/>
    <mergeCell ref="A61:B61"/>
    <mergeCell ref="A62:B62"/>
    <mergeCell ref="A63:B63"/>
    <mergeCell ref="A64:B64"/>
    <mergeCell ref="A65:B65"/>
    <mergeCell ref="A67:O67"/>
    <mergeCell ref="A48:B48"/>
    <mergeCell ref="A49:B49"/>
    <mergeCell ref="A50:B50"/>
    <mergeCell ref="A51:B51"/>
    <mergeCell ref="A52:B52"/>
    <mergeCell ref="A53:B53"/>
    <mergeCell ref="A55:B56"/>
    <mergeCell ref="C55:N55"/>
    <mergeCell ref="O55:O56"/>
    <mergeCell ref="A38:B38"/>
    <mergeCell ref="A39:B39"/>
    <mergeCell ref="A40:B40"/>
    <mergeCell ref="A41:B41"/>
    <mergeCell ref="A42:B42"/>
    <mergeCell ref="A43:B43"/>
    <mergeCell ref="A44:B44"/>
    <mergeCell ref="A45:B45"/>
    <mergeCell ref="A47:B47"/>
    <mergeCell ref="A29:B29"/>
    <mergeCell ref="A30:B30"/>
    <mergeCell ref="A31:B31"/>
    <mergeCell ref="A32:B32"/>
    <mergeCell ref="A33:B33"/>
    <mergeCell ref="A34:B34"/>
    <mergeCell ref="A35:B35"/>
    <mergeCell ref="A36:B36"/>
    <mergeCell ref="A37:B37"/>
    <mergeCell ref="A21:B21"/>
    <mergeCell ref="A22:B22"/>
    <mergeCell ref="A19:B19"/>
    <mergeCell ref="A23:B23"/>
    <mergeCell ref="A24:B24"/>
    <mergeCell ref="A25:B25"/>
    <mergeCell ref="A26:B26"/>
    <mergeCell ref="A27:B27"/>
    <mergeCell ref="A28:B28"/>
    <mergeCell ref="A10:B10"/>
    <mergeCell ref="A11:B11"/>
    <mergeCell ref="A13:O13"/>
    <mergeCell ref="A14:B14"/>
    <mergeCell ref="A15:B15"/>
    <mergeCell ref="A16:B16"/>
    <mergeCell ref="A17:B17"/>
    <mergeCell ref="A18:B18"/>
    <mergeCell ref="A20:B20"/>
    <mergeCell ref="A1:B2"/>
    <mergeCell ref="C1:N1"/>
    <mergeCell ref="O1:O2"/>
    <mergeCell ref="A3:O3"/>
    <mergeCell ref="A4:B4"/>
    <mergeCell ref="A5:B5"/>
    <mergeCell ref="A7:B7"/>
    <mergeCell ref="A8:B8"/>
    <mergeCell ref="A9:B9"/>
  </mergeCells>
  <phoneticPr fontId="22" type="noConversion"/>
  <printOptions horizontalCentered="1"/>
  <pageMargins left="0.39374999999999999" right="0.39374999999999999" top="0.98402777777777772" bottom="0.59027777777777779" header="0.39374999999999999" footer="0.51180555555555562"/>
  <pageSetup paperSize="9" scale="70" firstPageNumber="0" orientation="landscape" horizontalDpi="300" verticalDpi="300" r:id="rId1"/>
  <headerFooter alignWithMargins="0">
    <oddHeader>&amp;L&amp;"Arial,Negrita"&amp;17Plan de tesorería por meses</oddHeader>
  </headerFooter>
  <rowBreaks count="2" manualBreakCount="2">
    <brk id="54" max="16383" man="1"/>
    <brk id="10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Button 1">
              <controlPr defaultSize="0" autoFill="0" autoLine="0" autoPict="0">
                <anchor moveWithCells="1" sizeWithCells="1">
                  <from>
                    <xdr:col>15</xdr:col>
                    <xdr:colOff>76200</xdr:colOff>
                    <xdr:row>0</xdr:row>
                    <xdr:rowOff>12700</xdr:rowOff>
                  </from>
                  <to>
                    <xdr:col>16</xdr:col>
                    <xdr:colOff>355600</xdr:colOff>
                    <xdr:row>1</xdr:row>
                    <xdr:rowOff>88900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3">
    <pageSetUpPr fitToPage="1"/>
  </sheetPr>
  <dimension ref="A1:I77"/>
  <sheetViews>
    <sheetView workbookViewId="0">
      <selection activeCell="F59" sqref="F59"/>
    </sheetView>
  </sheetViews>
  <sheetFormatPr defaultColWidth="11.453125" defaultRowHeight="12.5" x14ac:dyDescent="0.25"/>
  <cols>
    <col min="1" max="1" width="7.453125" style="935" customWidth="1"/>
    <col min="2" max="2" width="30.7265625" style="935" customWidth="1"/>
    <col min="3" max="3" width="10.7265625" style="935" customWidth="1"/>
    <col min="4" max="4" width="13.7265625" style="1331" customWidth="1"/>
    <col min="5" max="5" width="9.7265625" style="935" customWidth="1"/>
    <col min="6" max="6" width="13.7265625" style="1331" customWidth="1"/>
    <col min="7" max="7" width="9.7265625" style="935" customWidth="1"/>
    <col min="8" max="8" width="13.7265625" style="1331" customWidth="1"/>
    <col min="9" max="9" width="9.7265625" style="935" customWidth="1"/>
    <col min="10" max="16384" width="11.453125" style="935"/>
  </cols>
  <sheetData>
    <row r="1" spans="1:9" ht="18" customHeight="1" x14ac:dyDescent="0.25">
      <c r="A1" s="1971" t="s">
        <v>539</v>
      </c>
      <c r="B1" s="1971"/>
      <c r="C1" s="1473" t="s">
        <v>61</v>
      </c>
      <c r="D1" s="1474" t="s">
        <v>540</v>
      </c>
      <c r="E1" s="1475">
        <f>IF(ÍNDEX!D6="GENER",ÍNDEX!C5,ÍNDEX!C5+1)</f>
        <v>2023</v>
      </c>
      <c r="F1" s="1474" t="s">
        <v>540</v>
      </c>
      <c r="G1" s="1475">
        <f>E1+1</f>
        <v>2024</v>
      </c>
      <c r="H1" s="1474" t="s">
        <v>540</v>
      </c>
      <c r="I1" s="1475">
        <f>G1+1</f>
        <v>2025</v>
      </c>
    </row>
    <row r="2" spans="1:9" ht="18" customHeight="1" x14ac:dyDescent="0.25">
      <c r="A2" s="1476" t="s">
        <v>521</v>
      </c>
      <c r="B2" s="1477" t="s">
        <v>522</v>
      </c>
      <c r="C2" s="340" t="str">
        <f>VARIABLES!M12</f>
        <v>DESEMBRE</v>
      </c>
      <c r="D2" s="1478" t="s">
        <v>523</v>
      </c>
      <c r="E2" s="1478" t="s">
        <v>151</v>
      </c>
      <c r="F2" s="1478" t="s">
        <v>523</v>
      </c>
      <c r="G2" s="1478" t="s">
        <v>151</v>
      </c>
      <c r="H2" s="1478" t="s">
        <v>523</v>
      </c>
      <c r="I2" s="1478" t="s">
        <v>151</v>
      </c>
    </row>
    <row r="3" spans="1:9" ht="13" x14ac:dyDescent="0.25">
      <c r="A3" s="236"/>
      <c r="B3" s="1972" t="s">
        <v>541</v>
      </c>
      <c r="C3" s="1972"/>
      <c r="D3" s="1468">
        <f>+D4+D9+D19</f>
        <v>0</v>
      </c>
      <c r="E3" s="1479">
        <f t="shared" ref="E3:E38" si="0">IF($D$39=0,0,D3/$D$39)</f>
        <v>0</v>
      </c>
      <c r="F3" s="1468">
        <f>+F4+F9+F19</f>
        <v>0</v>
      </c>
      <c r="G3" s="1479">
        <f t="shared" ref="G3:G38" si="1">IF($F$39=0,0,F3/$F$39)</f>
        <v>0</v>
      </c>
      <c r="H3" s="1468">
        <f>+H4+H9+H19</f>
        <v>0</v>
      </c>
      <c r="I3" s="1479">
        <f t="shared" ref="I3:I38" si="2">IF($H$39=0,0,H3/$H$39)</f>
        <v>0</v>
      </c>
    </row>
    <row r="4" spans="1:9" ht="13" x14ac:dyDescent="0.25">
      <c r="A4" s="236"/>
      <c r="B4" s="1963" t="s">
        <v>721</v>
      </c>
      <c r="C4" s="1963"/>
      <c r="D4" s="1468">
        <f>SUM(D5:D8)</f>
        <v>0</v>
      </c>
      <c r="E4" s="1479">
        <f t="shared" si="0"/>
        <v>0</v>
      </c>
      <c r="F4" s="1468">
        <f>SUM(F5:F8)</f>
        <v>0</v>
      </c>
      <c r="G4" s="1479">
        <f t="shared" si="1"/>
        <v>0</v>
      </c>
      <c r="H4" s="1468">
        <f>SUM(H5:H8)</f>
        <v>0</v>
      </c>
      <c r="I4" s="1479">
        <f t="shared" si="2"/>
        <v>0</v>
      </c>
    </row>
    <row r="5" spans="1:9" x14ac:dyDescent="0.25">
      <c r="A5" s="236">
        <v>202</v>
      </c>
      <c r="B5" s="1959" t="str">
        <f>INVERSIONS!A9</f>
        <v>Propietat industrial (patents i marques)</v>
      </c>
      <c r="C5" s="1959"/>
      <c r="D5" s="1324">
        <f>INVERSIONS!D102</f>
        <v>0</v>
      </c>
      <c r="E5" s="1481">
        <f t="shared" si="0"/>
        <v>0</v>
      </c>
      <c r="F5" s="1324">
        <f>INVERSIONS!H102</f>
        <v>0</v>
      </c>
      <c r="G5" s="1481">
        <f t="shared" si="1"/>
        <v>0</v>
      </c>
      <c r="H5" s="1324">
        <f>INVERSIONS!L102</f>
        <v>0</v>
      </c>
      <c r="I5" s="1481">
        <f t="shared" si="2"/>
        <v>0</v>
      </c>
    </row>
    <row r="6" spans="1:9" x14ac:dyDescent="0.25">
      <c r="A6" s="236">
        <v>204</v>
      </c>
      <c r="B6" s="1959" t="str">
        <f>INVERSIONS!A10</f>
        <v>Drets de traspàs</v>
      </c>
      <c r="C6" s="1959"/>
      <c r="D6" s="1482">
        <f>INVERSIONS!D103</f>
        <v>0</v>
      </c>
      <c r="E6" s="1483">
        <f t="shared" si="0"/>
        <v>0</v>
      </c>
      <c r="F6" s="1482">
        <f>INVERSIONS!H103</f>
        <v>0</v>
      </c>
      <c r="G6" s="1483">
        <f t="shared" si="1"/>
        <v>0</v>
      </c>
      <c r="H6" s="1482">
        <f>INVERSIONS!L103</f>
        <v>0</v>
      </c>
      <c r="I6" s="1483">
        <f t="shared" si="2"/>
        <v>0</v>
      </c>
    </row>
    <row r="7" spans="1:9" x14ac:dyDescent="0.25">
      <c r="A7" s="236">
        <v>205</v>
      </c>
      <c r="B7" s="1959" t="str">
        <f>INVERSIONS!A11</f>
        <v>Aplicacions informàtiques</v>
      </c>
      <c r="C7" s="1959"/>
      <c r="D7" s="1482">
        <f>INVERSIONS!D104</f>
        <v>0</v>
      </c>
      <c r="E7" s="1483">
        <f t="shared" si="0"/>
        <v>0</v>
      </c>
      <c r="F7" s="1482">
        <f>INVERSIONS!H104</f>
        <v>0</v>
      </c>
      <c r="G7" s="1483">
        <f t="shared" si="1"/>
        <v>0</v>
      </c>
      <c r="H7" s="1482">
        <f>INVERSIONS!L104</f>
        <v>0</v>
      </c>
      <c r="I7" s="1483">
        <f t="shared" si="2"/>
        <v>0</v>
      </c>
    </row>
    <row r="8" spans="1:9" x14ac:dyDescent="0.25">
      <c r="A8" s="236">
        <v>280</v>
      </c>
      <c r="B8" s="1973" t="s">
        <v>542</v>
      </c>
      <c r="C8" s="1973"/>
      <c r="D8" s="1484">
        <f>-INVERSIONS!C122</f>
        <v>0</v>
      </c>
      <c r="E8" s="1485">
        <f t="shared" si="0"/>
        <v>0</v>
      </c>
      <c r="F8" s="1484">
        <f>-INVERSIONS!E122</f>
        <v>0</v>
      </c>
      <c r="G8" s="1485">
        <f t="shared" si="1"/>
        <v>0</v>
      </c>
      <c r="H8" s="1484">
        <f>-INVERSIONS!G122</f>
        <v>0</v>
      </c>
      <c r="I8" s="1485">
        <f t="shared" si="2"/>
        <v>0</v>
      </c>
    </row>
    <row r="9" spans="1:9" ht="13" x14ac:dyDescent="0.25">
      <c r="A9" s="236"/>
      <c r="B9" s="1974" t="s">
        <v>726</v>
      </c>
      <c r="C9" s="1974"/>
      <c r="D9" s="1468">
        <f>SUM(D10:D18)</f>
        <v>0</v>
      </c>
      <c r="E9" s="1479">
        <f t="shared" si="0"/>
        <v>0</v>
      </c>
      <c r="F9" s="1468">
        <f>SUM(F10:F18)</f>
        <v>0</v>
      </c>
      <c r="G9" s="1479">
        <f t="shared" si="1"/>
        <v>0</v>
      </c>
      <c r="H9" s="1468">
        <f>SUM(H10:H18)</f>
        <v>0</v>
      </c>
      <c r="I9" s="1479">
        <f t="shared" si="2"/>
        <v>0</v>
      </c>
    </row>
    <row r="10" spans="1:9" x14ac:dyDescent="0.25">
      <c r="A10" s="236">
        <v>210</v>
      </c>
      <c r="B10" s="1975" t="str">
        <f>INVERSIONS!A14</f>
        <v>Terrenys</v>
      </c>
      <c r="C10" s="1975"/>
      <c r="D10" s="1324">
        <f>INVERSIONS!D106</f>
        <v>0</v>
      </c>
      <c r="E10" s="1481">
        <f t="shared" si="0"/>
        <v>0</v>
      </c>
      <c r="F10" s="1324">
        <f>INVERSIONS!H106</f>
        <v>0</v>
      </c>
      <c r="G10" s="1481">
        <f t="shared" si="1"/>
        <v>0</v>
      </c>
      <c r="H10" s="1324">
        <f>INVERSIONS!L106</f>
        <v>0</v>
      </c>
      <c r="I10" s="1481">
        <f t="shared" si="2"/>
        <v>0</v>
      </c>
    </row>
    <row r="11" spans="1:9" x14ac:dyDescent="0.25">
      <c r="A11" s="236">
        <v>211</v>
      </c>
      <c r="B11" s="1959" t="str">
        <f>INVERSIONS!A15</f>
        <v>Construccions</v>
      </c>
      <c r="C11" s="1959"/>
      <c r="D11" s="1482">
        <f>INVERSIONS!D107</f>
        <v>0</v>
      </c>
      <c r="E11" s="1483">
        <f t="shared" si="0"/>
        <v>0</v>
      </c>
      <c r="F11" s="1482">
        <f>INVERSIONS!H107</f>
        <v>0</v>
      </c>
      <c r="G11" s="1483">
        <f t="shared" si="1"/>
        <v>0</v>
      </c>
      <c r="H11" s="1482">
        <f>INVERSIONS!L107</f>
        <v>0</v>
      </c>
      <c r="I11" s="1483">
        <f t="shared" si="2"/>
        <v>0</v>
      </c>
    </row>
    <row r="12" spans="1:9" x14ac:dyDescent="0.25">
      <c r="A12" s="236">
        <v>213</v>
      </c>
      <c r="B12" s="1959" t="str">
        <f>INVERSIONS!A16</f>
        <v>Maquinària</v>
      </c>
      <c r="C12" s="1959"/>
      <c r="D12" s="1482">
        <f>INVERSIONS!D108</f>
        <v>0</v>
      </c>
      <c r="E12" s="1483">
        <f t="shared" si="0"/>
        <v>0</v>
      </c>
      <c r="F12" s="1482">
        <f>INVERSIONS!H108</f>
        <v>0</v>
      </c>
      <c r="G12" s="1483">
        <f t="shared" si="1"/>
        <v>0</v>
      </c>
      <c r="H12" s="1482">
        <f>INVERSIONS!L108</f>
        <v>0</v>
      </c>
      <c r="I12" s="1483">
        <f t="shared" si="2"/>
        <v>0</v>
      </c>
    </row>
    <row r="13" spans="1:9" x14ac:dyDescent="0.25">
      <c r="A13" s="236">
        <v>215</v>
      </c>
      <c r="B13" s="1959" t="str">
        <f>INVERSIONS!A17</f>
        <v>Altres instal·lacions</v>
      </c>
      <c r="C13" s="1959"/>
      <c r="D13" s="1482">
        <f>INVERSIONS!D109</f>
        <v>0</v>
      </c>
      <c r="E13" s="1483">
        <f t="shared" si="0"/>
        <v>0</v>
      </c>
      <c r="F13" s="1482">
        <f>INVERSIONS!H109</f>
        <v>0</v>
      </c>
      <c r="G13" s="1483">
        <f t="shared" si="1"/>
        <v>0</v>
      </c>
      <c r="H13" s="1482">
        <f>INVERSIONS!L109</f>
        <v>0</v>
      </c>
      <c r="I13" s="1483">
        <f t="shared" si="2"/>
        <v>0</v>
      </c>
    </row>
    <row r="14" spans="1:9" x14ac:dyDescent="0.25">
      <c r="A14" s="236">
        <v>216</v>
      </c>
      <c r="B14" s="1959" t="str">
        <f>INVERSIONS!A18</f>
        <v>Mobiliari</v>
      </c>
      <c r="C14" s="1959"/>
      <c r="D14" s="1482">
        <f>INVERSIONS!D110</f>
        <v>0</v>
      </c>
      <c r="E14" s="1483">
        <f t="shared" si="0"/>
        <v>0</v>
      </c>
      <c r="F14" s="1482">
        <f>INVERSIONS!H110</f>
        <v>0</v>
      </c>
      <c r="G14" s="1483">
        <f t="shared" si="1"/>
        <v>0</v>
      </c>
      <c r="H14" s="1482">
        <f>INVERSIONS!L110</f>
        <v>0</v>
      </c>
      <c r="I14" s="1483">
        <f t="shared" si="2"/>
        <v>0</v>
      </c>
    </row>
    <row r="15" spans="1:9" x14ac:dyDescent="0.25">
      <c r="A15" s="236">
        <v>217</v>
      </c>
      <c r="B15" s="1959" t="str">
        <f>INVERSIONS!A19</f>
        <v>Equips processos informació</v>
      </c>
      <c r="C15" s="1959"/>
      <c r="D15" s="1482">
        <f>INVERSIONS!D111</f>
        <v>0</v>
      </c>
      <c r="E15" s="1483">
        <f t="shared" si="0"/>
        <v>0</v>
      </c>
      <c r="F15" s="1482">
        <f>INVERSIONS!H111</f>
        <v>0</v>
      </c>
      <c r="G15" s="1483">
        <f t="shared" si="1"/>
        <v>0</v>
      </c>
      <c r="H15" s="1482">
        <f>INVERSIONS!L111</f>
        <v>0</v>
      </c>
      <c r="I15" s="1483">
        <f t="shared" si="2"/>
        <v>0</v>
      </c>
    </row>
    <row r="16" spans="1:9" x14ac:dyDescent="0.25">
      <c r="A16" s="236">
        <v>218</v>
      </c>
      <c r="B16" s="1959" t="str">
        <f>INVERSIONS!A20</f>
        <v>Elements de transport</v>
      </c>
      <c r="C16" s="1959"/>
      <c r="D16" s="1482">
        <f>INVERSIONS!D112</f>
        <v>0</v>
      </c>
      <c r="E16" s="1483">
        <f t="shared" si="0"/>
        <v>0</v>
      </c>
      <c r="F16" s="1482">
        <f>INVERSIONS!H112</f>
        <v>0</v>
      </c>
      <c r="G16" s="1483">
        <f t="shared" si="1"/>
        <v>0</v>
      </c>
      <c r="H16" s="1482">
        <f>INVERSIONS!L112</f>
        <v>0</v>
      </c>
      <c r="I16" s="1483">
        <f t="shared" si="2"/>
        <v>0</v>
      </c>
    </row>
    <row r="17" spans="1:9" x14ac:dyDescent="0.25">
      <c r="A17" s="236">
        <v>219</v>
      </c>
      <c r="B17" s="1959" t="str">
        <f>INVERSIONS!A21</f>
        <v>Altre immobilitzat material</v>
      </c>
      <c r="C17" s="1959"/>
      <c r="D17" s="1482">
        <f>INVERSIONS!D113</f>
        <v>0</v>
      </c>
      <c r="E17" s="1483">
        <f t="shared" si="0"/>
        <v>0</v>
      </c>
      <c r="F17" s="1482">
        <f>INVERSIONS!H113</f>
        <v>0</v>
      </c>
      <c r="G17" s="1483">
        <f t="shared" si="1"/>
        <v>0</v>
      </c>
      <c r="H17" s="1482">
        <f>INVERSIONS!L113</f>
        <v>0</v>
      </c>
      <c r="I17" s="1483">
        <f t="shared" si="2"/>
        <v>0</v>
      </c>
    </row>
    <row r="18" spans="1:9" x14ac:dyDescent="0.25">
      <c r="A18" s="236">
        <v>281</v>
      </c>
      <c r="B18" s="1973" t="s">
        <v>543</v>
      </c>
      <c r="C18" s="1973"/>
      <c r="D18" s="1484">
        <f>-INVERSIONS!C126</f>
        <v>0</v>
      </c>
      <c r="E18" s="1485">
        <f t="shared" si="0"/>
        <v>0</v>
      </c>
      <c r="F18" s="1484">
        <f>-INVERSIONS!E126</f>
        <v>0</v>
      </c>
      <c r="G18" s="1485">
        <f t="shared" si="1"/>
        <v>0</v>
      </c>
      <c r="H18" s="1484">
        <f>-INVERSIONS!G126</f>
        <v>0</v>
      </c>
      <c r="I18" s="1485">
        <f t="shared" si="2"/>
        <v>0</v>
      </c>
    </row>
    <row r="19" spans="1:9" ht="13" x14ac:dyDescent="0.25">
      <c r="A19" s="236"/>
      <c r="B19" s="1974" t="str">
        <f>INVERSIONS!A42</f>
        <v>FIANCES I DIPÒSITS A LLARG TERMINI</v>
      </c>
      <c r="C19" s="1974"/>
      <c r="D19" s="1468">
        <f>SUM(D20:D21)</f>
        <v>0</v>
      </c>
      <c r="E19" s="1479">
        <f t="shared" si="0"/>
        <v>0</v>
      </c>
      <c r="F19" s="1468">
        <f>SUM(F20:F21)</f>
        <v>0</v>
      </c>
      <c r="G19" s="1479">
        <f t="shared" si="1"/>
        <v>0</v>
      </c>
      <c r="H19" s="1468">
        <f>SUM(H20:H21)</f>
        <v>0</v>
      </c>
      <c r="I19" s="1479">
        <f t="shared" si="2"/>
        <v>0</v>
      </c>
    </row>
    <row r="20" spans="1:9" x14ac:dyDescent="0.25">
      <c r="A20" s="236">
        <v>260</v>
      </c>
      <c r="B20" s="1975" t="str">
        <f>INVERSIONS!A43</f>
        <v>Fiances a llarg termini</v>
      </c>
      <c r="C20" s="1975"/>
      <c r="D20" s="1486">
        <f>INVERSIONS!D115</f>
        <v>0</v>
      </c>
      <c r="E20" s="1481">
        <f t="shared" si="0"/>
        <v>0</v>
      </c>
      <c r="F20" s="1486">
        <f>INVERSIONS!H115</f>
        <v>0</v>
      </c>
      <c r="G20" s="1481">
        <f t="shared" si="1"/>
        <v>0</v>
      </c>
      <c r="H20" s="1486">
        <f>INVERSIONS!L115</f>
        <v>0</v>
      </c>
      <c r="I20" s="1481">
        <f t="shared" si="2"/>
        <v>0</v>
      </c>
    </row>
    <row r="21" spans="1:9" x14ac:dyDescent="0.25">
      <c r="A21" s="236">
        <v>265</v>
      </c>
      <c r="B21" s="1959" t="str">
        <f>INVERSIONS!A44</f>
        <v>Dipòsits a llarg termini</v>
      </c>
      <c r="C21" s="1959"/>
      <c r="D21" s="1487">
        <f>INVERSIONS!D116</f>
        <v>0</v>
      </c>
      <c r="E21" s="1488">
        <f t="shared" si="0"/>
        <v>0</v>
      </c>
      <c r="F21" s="1487">
        <f>INVERSIONS!H116</f>
        <v>0</v>
      </c>
      <c r="G21" s="1488">
        <f t="shared" si="1"/>
        <v>0</v>
      </c>
      <c r="H21" s="1487">
        <f>INVERSIONS!L116</f>
        <v>0</v>
      </c>
      <c r="I21" s="1488">
        <f t="shared" si="2"/>
        <v>0</v>
      </c>
    </row>
    <row r="22" spans="1:9" ht="13" x14ac:dyDescent="0.25">
      <c r="A22" s="236"/>
      <c r="B22" s="1974" t="s">
        <v>505</v>
      </c>
      <c r="C22" s="1974"/>
      <c r="D22" s="1468">
        <f>D23</f>
        <v>0</v>
      </c>
      <c r="E22" s="1479">
        <f t="shared" si="0"/>
        <v>0</v>
      </c>
      <c r="F22" s="1468">
        <f>F23</f>
        <v>0</v>
      </c>
      <c r="G22" s="1479">
        <f t="shared" si="1"/>
        <v>0</v>
      </c>
      <c r="H22" s="1468">
        <f>H23</f>
        <v>0</v>
      </c>
      <c r="I22" s="1479">
        <f t="shared" si="2"/>
        <v>0</v>
      </c>
    </row>
    <row r="23" spans="1:9" x14ac:dyDescent="0.25">
      <c r="A23" s="236">
        <v>3</v>
      </c>
      <c r="B23" s="1975" t="s">
        <v>443</v>
      </c>
      <c r="C23" s="1975"/>
      <c r="D23" s="1328">
        <f>MERCADERIES!CZ79+IF(OR(Fiscalitat!$H$21="a",Fiscalitat!$H$21="B",Fiscalitat!$H$21="D"),+'Introducció dades'!C11,'Introducció dades'!C11/(1+'Introducció dades'!I11))</f>
        <v>0</v>
      </c>
      <c r="E23" s="1480">
        <f t="shared" si="0"/>
        <v>0</v>
      </c>
      <c r="F23" s="1328">
        <f>MERCADERIES!CZ147+IF(OR(Fiscalitat!$H$21="a",Fiscalitat!$H$21="B",Fiscalitat!$H$21="D"),+'Introducció dades'!C11,'Introducció dades'!C11/(1+'Introducció dades'!I11))</f>
        <v>0</v>
      </c>
      <c r="G23" s="1480">
        <f t="shared" si="1"/>
        <v>0</v>
      </c>
      <c r="H23" s="1328">
        <f>MERCADERIES!CZ216+IF(OR(Fiscalitat!$H$21="a",Fiscalitat!$H$21="B",Fiscalitat!$H$21="D"),+'Introducció dades'!C11,'Introducció dades'!C11/(1+'Introducció dades'!I11))</f>
        <v>0</v>
      </c>
      <c r="I23" s="1480">
        <f t="shared" si="2"/>
        <v>0</v>
      </c>
    </row>
    <row r="24" spans="1:9" ht="13" x14ac:dyDescent="0.25">
      <c r="A24" s="236"/>
      <c r="B24" s="1974" t="s">
        <v>544</v>
      </c>
      <c r="C24" s="1974"/>
      <c r="D24" s="1468">
        <f>SUM(D25:D31)</f>
        <v>0</v>
      </c>
      <c r="E24" s="1479">
        <f t="shared" si="0"/>
        <v>0</v>
      </c>
      <c r="F24" s="1468">
        <f>SUM(F25:F31)</f>
        <v>0</v>
      </c>
      <c r="G24" s="1479">
        <f t="shared" si="1"/>
        <v>0</v>
      </c>
      <c r="H24" s="1468">
        <f>SUM(H25:H31)</f>
        <v>0</v>
      </c>
      <c r="I24" s="1479">
        <f t="shared" si="2"/>
        <v>0</v>
      </c>
    </row>
    <row r="25" spans="1:9" x14ac:dyDescent="0.25">
      <c r="A25" s="236">
        <v>407</v>
      </c>
      <c r="B25" s="1975" t="s">
        <v>545</v>
      </c>
      <c r="C25" s="1975"/>
      <c r="D25" s="1324"/>
      <c r="E25" s="1481">
        <f t="shared" si="0"/>
        <v>0</v>
      </c>
      <c r="F25" s="1324"/>
      <c r="G25" s="1481">
        <f t="shared" si="1"/>
        <v>0</v>
      </c>
      <c r="H25" s="1324"/>
      <c r="I25" s="1481">
        <f t="shared" si="2"/>
        <v>0</v>
      </c>
    </row>
    <row r="26" spans="1:9" x14ac:dyDescent="0.25">
      <c r="A26" s="236">
        <v>430</v>
      </c>
      <c r="B26" s="1975" t="s">
        <v>546</v>
      </c>
      <c r="C26" s="1975"/>
      <c r="D26" s="1482">
        <f>AJUSTAMENTS!E4*(1+MERCADERIES!DO25)+AJUSTAMENTS!E5*(1+SERVEIS!CN25)</f>
        <v>0</v>
      </c>
      <c r="E26" s="1483">
        <f t="shared" si="0"/>
        <v>0</v>
      </c>
      <c r="F26" s="1482">
        <f>AJUSTAMENTS!E30*(1+MERCADERIES!DO93)+AJUSTAMENTS!E31*(1+SERVEIS!CN45)</f>
        <v>0</v>
      </c>
      <c r="G26" s="1483">
        <f t="shared" si="1"/>
        <v>0</v>
      </c>
      <c r="H26" s="1482">
        <f>AJUSTAMENTS!E59*(1+MERCADERIES!DO162)+AJUSTAMENTS!E60*(1+SERVEIS!CN65)</f>
        <v>0</v>
      </c>
      <c r="I26" s="1483">
        <f t="shared" si="2"/>
        <v>0</v>
      </c>
    </row>
    <row r="27" spans="1:9" x14ac:dyDescent="0.25">
      <c r="A27" s="236">
        <v>431</v>
      </c>
      <c r="B27" s="1975" t="s">
        <v>547</v>
      </c>
      <c r="C27" s="1975"/>
      <c r="D27" s="1482"/>
      <c r="E27" s="1483">
        <f t="shared" si="0"/>
        <v>0</v>
      </c>
      <c r="F27" s="1482"/>
      <c r="G27" s="1483">
        <f t="shared" si="1"/>
        <v>0</v>
      </c>
      <c r="H27" s="1482"/>
      <c r="I27" s="1483">
        <f t="shared" si="2"/>
        <v>0</v>
      </c>
    </row>
    <row r="28" spans="1:9" x14ac:dyDescent="0.25">
      <c r="A28" s="236">
        <v>440</v>
      </c>
      <c r="B28" s="1975" t="s">
        <v>548</v>
      </c>
      <c r="C28" s="1975"/>
      <c r="D28" s="1482"/>
      <c r="E28" s="1483">
        <f t="shared" si="0"/>
        <v>0</v>
      </c>
      <c r="F28" s="1482"/>
      <c r="G28" s="1483">
        <f t="shared" si="1"/>
        <v>0</v>
      </c>
      <c r="H28" s="1482"/>
      <c r="I28" s="1483">
        <f t="shared" si="2"/>
        <v>0</v>
      </c>
    </row>
    <row r="29" spans="1:9" x14ac:dyDescent="0.25">
      <c r="A29" s="236">
        <v>460</v>
      </c>
      <c r="B29" s="1975" t="s">
        <v>549</v>
      </c>
      <c r="C29" s="1975"/>
      <c r="D29" s="1482"/>
      <c r="E29" s="1483">
        <f t="shared" si="0"/>
        <v>0</v>
      </c>
      <c r="F29" s="1482"/>
      <c r="G29" s="1483">
        <f t="shared" si="1"/>
        <v>0</v>
      </c>
      <c r="H29" s="1482"/>
      <c r="I29" s="1483">
        <f t="shared" si="2"/>
        <v>0</v>
      </c>
    </row>
    <row r="30" spans="1:9" x14ac:dyDescent="0.25">
      <c r="A30" s="236">
        <v>470</v>
      </c>
      <c r="B30" s="1975" t="s">
        <v>550</v>
      </c>
      <c r="C30" s="1975"/>
      <c r="D30" s="1482">
        <f>IF(OR(Fiscalitat!$H$21="A",Fiscalitat!$H$21="B",Fiscalitat!$H$21="d"),AJUSTAMENTS!E6,(AJUSTAMENTS!E6+VARIABLES!N54+VARIABLES!N63))</f>
        <v>0</v>
      </c>
      <c r="E30" s="1483">
        <f t="shared" si="0"/>
        <v>0</v>
      </c>
      <c r="F30" s="1482">
        <f>IF(OR(Fiscalitat!$H$21="A",Fiscalitat!$H$21="B",Fiscalitat!$H$21="D"),(AJUSTAMENTS!E32+AJUSTAMENTS!E6),(VARIABLES!N118+AJUSTAMENTS!E32+AJUSTAMENTS!E6+VARIABLES!N127))</f>
        <v>0</v>
      </c>
      <c r="G30" s="1483">
        <f t="shared" si="1"/>
        <v>0</v>
      </c>
      <c r="H30" s="1482">
        <f>IF(OR(Fiscalitat!$H$21="A",Fiscalitat!$H$21="B",Fiscalitat!$H$21="d"),(AJUSTAMENTS!E62+AJUSTAMENTS!E6+AJUSTAMENTS!E32),(VARIABLES!N184+AJUSTAMENTS!E62+AJUSTAMENTS!E6+AJUSTAMENTS!E32+VARIABLES!N193))</f>
        <v>0</v>
      </c>
      <c r="I30" s="1483">
        <f t="shared" si="2"/>
        <v>0</v>
      </c>
    </row>
    <row r="31" spans="1:9" x14ac:dyDescent="0.25">
      <c r="A31" s="236">
        <v>490</v>
      </c>
      <c r="B31" s="1975" t="s">
        <v>551</v>
      </c>
      <c r="C31" s="1975"/>
      <c r="D31" s="1484">
        <f>-'Resultats per mesos'!I42</f>
        <v>0</v>
      </c>
      <c r="E31" s="1485">
        <f t="shared" si="0"/>
        <v>0</v>
      </c>
      <c r="F31" s="1484">
        <f>D31-'Resultats per mesos'!I89</f>
        <v>0</v>
      </c>
      <c r="G31" s="1485">
        <f t="shared" si="1"/>
        <v>0</v>
      </c>
      <c r="H31" s="1484">
        <f>F31-'Resultats per mesos'!I136</f>
        <v>0</v>
      </c>
      <c r="I31" s="1485">
        <f t="shared" si="2"/>
        <v>0</v>
      </c>
    </row>
    <row r="32" spans="1:9" ht="13" x14ac:dyDescent="0.25">
      <c r="A32" s="236"/>
      <c r="B32" s="1974" t="s">
        <v>552</v>
      </c>
      <c r="C32" s="1974"/>
      <c r="D32" s="1468">
        <f>D33</f>
        <v>0</v>
      </c>
      <c r="E32" s="1479">
        <f t="shared" si="0"/>
        <v>0</v>
      </c>
      <c r="F32" s="1468">
        <f>F33</f>
        <v>0</v>
      </c>
      <c r="G32" s="1479">
        <f t="shared" si="1"/>
        <v>0</v>
      </c>
      <c r="H32" s="1468">
        <f>H33</f>
        <v>0</v>
      </c>
      <c r="I32" s="1479">
        <f t="shared" si="2"/>
        <v>0</v>
      </c>
    </row>
    <row r="33" spans="1:9" x14ac:dyDescent="0.25">
      <c r="A33" s="236">
        <v>54</v>
      </c>
      <c r="B33" s="1975" t="s">
        <v>553</v>
      </c>
      <c r="C33" s="1975"/>
      <c r="D33" s="1328">
        <f>AJUSTAMENTS!E8</f>
        <v>0</v>
      </c>
      <c r="E33" s="1480">
        <f t="shared" si="0"/>
        <v>0</v>
      </c>
      <c r="F33" s="1328">
        <f>AJUSTAMENTS!E33</f>
        <v>0</v>
      </c>
      <c r="G33" s="1480">
        <f t="shared" si="1"/>
        <v>0</v>
      </c>
      <c r="H33" s="1328">
        <f>AJUSTAMENTS!E62</f>
        <v>0</v>
      </c>
      <c r="I33" s="1480">
        <f t="shared" si="2"/>
        <v>0</v>
      </c>
    </row>
    <row r="34" spans="1:9" ht="13" x14ac:dyDescent="0.25">
      <c r="A34" s="236"/>
      <c r="B34" s="1974" t="s">
        <v>554</v>
      </c>
      <c r="C34" s="1974"/>
      <c r="D34" s="1468">
        <f>SUM(D35:D36)</f>
        <v>0</v>
      </c>
      <c r="E34" s="1479">
        <f t="shared" si="0"/>
        <v>0</v>
      </c>
      <c r="F34" s="1468">
        <f>SUM(F35:F36)</f>
        <v>0</v>
      </c>
      <c r="G34" s="1479">
        <f t="shared" si="1"/>
        <v>0</v>
      </c>
      <c r="H34" s="1468">
        <f>SUM(H35:H36)</f>
        <v>0</v>
      </c>
      <c r="I34" s="1479">
        <f t="shared" si="2"/>
        <v>0</v>
      </c>
    </row>
    <row r="35" spans="1:9" x14ac:dyDescent="0.25">
      <c r="A35" s="236">
        <v>551</v>
      </c>
      <c r="B35" s="1976" t="s">
        <v>555</v>
      </c>
      <c r="C35" s="1976"/>
      <c r="D35" s="1489"/>
      <c r="E35" s="1481">
        <f t="shared" si="0"/>
        <v>0</v>
      </c>
      <c r="F35" s="1489"/>
      <c r="G35" s="1481">
        <f t="shared" si="1"/>
        <v>0</v>
      </c>
      <c r="H35" s="1489"/>
      <c r="I35" s="1481">
        <f t="shared" si="2"/>
        <v>0</v>
      </c>
    </row>
    <row r="36" spans="1:9" x14ac:dyDescent="0.25">
      <c r="A36" s="236">
        <v>57</v>
      </c>
      <c r="B36" s="1977" t="s">
        <v>556</v>
      </c>
      <c r="C36" s="1977"/>
      <c r="D36" s="1490">
        <f>TRESORERIA!O59</f>
        <v>0</v>
      </c>
      <c r="E36" s="1488">
        <f t="shared" si="0"/>
        <v>0</v>
      </c>
      <c r="F36" s="1490">
        <f>TRESORERIA!O144</f>
        <v>0</v>
      </c>
      <c r="G36" s="1488">
        <f t="shared" si="1"/>
        <v>0</v>
      </c>
      <c r="H36" s="1490">
        <f>TRESORERIA!O229</f>
        <v>0</v>
      </c>
      <c r="I36" s="1488">
        <f t="shared" si="2"/>
        <v>0</v>
      </c>
    </row>
    <row r="37" spans="1:9" ht="13" x14ac:dyDescent="0.25">
      <c r="A37" s="236"/>
      <c r="B37" s="1974" t="s">
        <v>557</v>
      </c>
      <c r="C37" s="1974"/>
      <c r="D37" s="1468">
        <f>D38</f>
        <v>0</v>
      </c>
      <c r="E37" s="1479">
        <f t="shared" si="0"/>
        <v>0</v>
      </c>
      <c r="F37" s="1468">
        <f>F38</f>
        <v>0</v>
      </c>
      <c r="G37" s="1479">
        <f t="shared" si="1"/>
        <v>0</v>
      </c>
      <c r="H37" s="1468">
        <f>H38</f>
        <v>0</v>
      </c>
      <c r="I37" s="1479">
        <f t="shared" si="2"/>
        <v>0</v>
      </c>
    </row>
    <row r="38" spans="1:9" x14ac:dyDescent="0.25">
      <c r="A38" s="236">
        <v>480</v>
      </c>
      <c r="B38" s="1975" t="s">
        <v>30</v>
      </c>
      <c r="C38" s="1975"/>
      <c r="D38" s="1328">
        <f>TRESORERIA!O47</f>
        <v>0</v>
      </c>
      <c r="E38" s="1480">
        <f t="shared" si="0"/>
        <v>0</v>
      </c>
      <c r="F38" s="1328">
        <f>D38</f>
        <v>0</v>
      </c>
      <c r="G38" s="1480">
        <f t="shared" si="1"/>
        <v>0</v>
      </c>
      <c r="H38" s="1328">
        <f>F38</f>
        <v>0</v>
      </c>
      <c r="I38" s="1480">
        <f t="shared" si="2"/>
        <v>0</v>
      </c>
    </row>
    <row r="39" spans="1:9" ht="13" x14ac:dyDescent="0.25">
      <c r="B39" s="1978" t="s">
        <v>558</v>
      </c>
      <c r="C39" s="1978"/>
      <c r="D39" s="1330">
        <f>D3+D22+D24+D32+D34+D37</f>
        <v>0</v>
      </c>
      <c r="F39" s="1330">
        <f>F3+F22+F24+F32+F34+F37</f>
        <v>0</v>
      </c>
      <c r="H39" s="1330">
        <f>H3+H22+H24+H32+H34+H37</f>
        <v>0</v>
      </c>
    </row>
    <row r="42" spans="1:9" ht="18" customHeight="1" x14ac:dyDescent="0.25">
      <c r="A42" s="1979" t="s">
        <v>559</v>
      </c>
      <c r="B42" s="1979"/>
      <c r="C42" s="1491" t="s">
        <v>61</v>
      </c>
      <c r="D42" s="1492" t="s">
        <v>540</v>
      </c>
      <c r="E42" s="1475">
        <f>E1</f>
        <v>2023</v>
      </c>
      <c r="F42" s="1492" t="s">
        <v>540</v>
      </c>
      <c r="G42" s="1475">
        <f>G1</f>
        <v>2024</v>
      </c>
      <c r="H42" s="1492" t="s">
        <v>540</v>
      </c>
      <c r="I42" s="1475">
        <f>I1</f>
        <v>2025</v>
      </c>
    </row>
    <row r="43" spans="1:9" ht="18" customHeight="1" x14ac:dyDescent="0.25">
      <c r="A43" s="1318" t="s">
        <v>521</v>
      </c>
      <c r="B43" s="908" t="s">
        <v>522</v>
      </c>
      <c r="C43" s="340" t="str">
        <f>C2</f>
        <v>DESEMBRE</v>
      </c>
      <c r="D43" s="1478" t="s">
        <v>523</v>
      </c>
      <c r="E43" s="1478" t="s">
        <v>151</v>
      </c>
      <c r="F43" s="1478" t="s">
        <v>523</v>
      </c>
      <c r="G43" s="1478" t="s">
        <v>151</v>
      </c>
      <c r="H43" s="1478" t="s">
        <v>523</v>
      </c>
      <c r="I43" s="1478" t="s">
        <v>151</v>
      </c>
    </row>
    <row r="44" spans="1:9" ht="13" x14ac:dyDescent="0.25">
      <c r="A44" s="236"/>
      <c r="B44" s="1963" t="s">
        <v>723</v>
      </c>
      <c r="C44" s="1963"/>
      <c r="D44" s="1468">
        <f>SUM(D45:D50)</f>
        <v>0</v>
      </c>
      <c r="E44" s="1479">
        <f t="shared" ref="E44:E67" si="3">IF($D$68=0,0,D44/$D$68)</f>
        <v>0</v>
      </c>
      <c r="F44" s="1468">
        <f>SUM(F45:F50)</f>
        <v>0</v>
      </c>
      <c r="G44" s="1479">
        <f t="shared" ref="G44:G67" si="4">IF($F$68=0,0,F44/$F$68)</f>
        <v>0</v>
      </c>
      <c r="H44" s="1468">
        <f>SUM(H45:H50)</f>
        <v>0</v>
      </c>
      <c r="I44" s="1479">
        <f t="shared" ref="I44:I67" si="5">IF($H$68=0,0,H44/$H$68)</f>
        <v>0</v>
      </c>
    </row>
    <row r="45" spans="1:9" x14ac:dyDescent="0.25">
      <c r="A45" s="236">
        <v>100</v>
      </c>
      <c r="B45" s="1973" t="s">
        <v>561</v>
      </c>
      <c r="C45" s="1973"/>
      <c r="D45" s="1486">
        <f>FINANÇAMENT!B8</f>
        <v>0</v>
      </c>
      <c r="E45" s="1493">
        <f t="shared" si="3"/>
        <v>0</v>
      </c>
      <c r="F45" s="1486">
        <f>D45+FINANÇAMENT!C8</f>
        <v>0</v>
      </c>
      <c r="G45" s="1493">
        <f t="shared" si="4"/>
        <v>0</v>
      </c>
      <c r="H45" s="1486">
        <f>F45+FINANÇAMENT!D8</f>
        <v>0</v>
      </c>
      <c r="I45" s="1493">
        <f t="shared" si="5"/>
        <v>0</v>
      </c>
    </row>
    <row r="46" spans="1:9" x14ac:dyDescent="0.25">
      <c r="A46" s="236" t="s">
        <v>722</v>
      </c>
      <c r="B46" s="1973" t="s">
        <v>492</v>
      </c>
      <c r="C46" s="1973"/>
      <c r="D46" s="1494">
        <v>0</v>
      </c>
      <c r="E46" s="1495">
        <f t="shared" si="3"/>
        <v>0</v>
      </c>
      <c r="F46" s="1494">
        <f>IF(Fiscalitat!$J$21=0,0,IF(AND(D49&gt;0,Fiscalitat!$H$21="e"),D49*Fiscalitat!$J$21))+D46</f>
        <v>0</v>
      </c>
      <c r="G46" s="1495">
        <f t="shared" si="4"/>
        <v>0</v>
      </c>
      <c r="H46" s="1494">
        <f>IF(Fiscalitat!$J$21=0,0,IF(AND((F49+F48)&gt;0,Fiscalitat!$H$21="e"),F49*Fiscalitat!$J$21))+F46</f>
        <v>0</v>
      </c>
      <c r="I46" s="1495">
        <f t="shared" si="5"/>
        <v>0</v>
      </c>
    </row>
    <row r="47" spans="1:9" x14ac:dyDescent="0.25">
      <c r="A47" s="236">
        <v>120</v>
      </c>
      <c r="B47" s="1973" t="s">
        <v>562</v>
      </c>
      <c r="C47" s="1973"/>
      <c r="D47" s="1494"/>
      <c r="E47" s="1495">
        <f t="shared" si="3"/>
        <v>0</v>
      </c>
      <c r="F47" s="1494">
        <f>IF(D49&gt;0,D49-F46,0)</f>
        <v>0</v>
      </c>
      <c r="G47" s="1495">
        <f t="shared" si="4"/>
        <v>0</v>
      </c>
      <c r="H47" s="1494">
        <f>IF(SUM(F47:F49)&gt;0,F47+F48+F49,0)-IF(Fiscalitat!$J$21=0,0,IF(AND((F49+F48)&gt;0,Fiscalitat!$H$21="e"),F49*Fiscalitat!$J$21))</f>
        <v>0</v>
      </c>
      <c r="I47" s="1495">
        <f t="shared" si="5"/>
        <v>0</v>
      </c>
    </row>
    <row r="48" spans="1:9" x14ac:dyDescent="0.25">
      <c r="A48" s="236">
        <v>121</v>
      </c>
      <c r="B48" s="1973" t="s">
        <v>563</v>
      </c>
      <c r="C48" s="1973"/>
      <c r="D48" s="1494"/>
      <c r="E48" s="1495">
        <f t="shared" si="3"/>
        <v>0</v>
      </c>
      <c r="F48" s="1494">
        <f>IF(D49&lt;0,D49,0)</f>
        <v>0</v>
      </c>
      <c r="G48" s="1495">
        <f t="shared" si="4"/>
        <v>0</v>
      </c>
      <c r="H48" s="1494">
        <f>IF(SUM(F47:F49)&lt;0,SUM(F47:F49),0)</f>
        <v>0</v>
      </c>
      <c r="I48" s="1495">
        <f t="shared" si="5"/>
        <v>0</v>
      </c>
    </row>
    <row r="49" spans="1:9" x14ac:dyDescent="0.25">
      <c r="A49" s="236">
        <v>129</v>
      </c>
      <c r="B49" s="1973" t="s">
        <v>564</v>
      </c>
      <c r="C49" s="1973"/>
      <c r="D49" s="1494">
        <f>'Resultats per mesos'!I47</f>
        <v>0</v>
      </c>
      <c r="E49" s="1495">
        <f t="shared" si="3"/>
        <v>0</v>
      </c>
      <c r="F49" s="1494">
        <f>'Resultats per mesos'!I94</f>
        <v>0</v>
      </c>
      <c r="G49" s="1495">
        <f t="shared" si="4"/>
        <v>0</v>
      </c>
      <c r="H49" s="1494">
        <f>'Resultats per mesos'!I141</f>
        <v>0</v>
      </c>
      <c r="I49" s="1495">
        <f t="shared" si="5"/>
        <v>0</v>
      </c>
    </row>
    <row r="50" spans="1:9" x14ac:dyDescent="0.25">
      <c r="A50" s="236">
        <v>130</v>
      </c>
      <c r="B50" s="1973" t="s">
        <v>565</v>
      </c>
      <c r="C50" s="1973"/>
      <c r="D50" s="1496">
        <v>0</v>
      </c>
      <c r="E50" s="1497">
        <f t="shared" si="3"/>
        <v>0</v>
      </c>
      <c r="F50" s="1496">
        <v>0</v>
      </c>
      <c r="G50" s="1497">
        <f t="shared" si="4"/>
        <v>0</v>
      </c>
      <c r="H50" s="1496">
        <v>0</v>
      </c>
      <c r="I50" s="1497">
        <f t="shared" si="5"/>
        <v>0</v>
      </c>
    </row>
    <row r="51" spans="1:9" ht="13" x14ac:dyDescent="0.25">
      <c r="A51" s="236"/>
      <c r="B51" s="1963" t="s">
        <v>725</v>
      </c>
      <c r="C51" s="1963"/>
      <c r="D51" s="1468">
        <f>SUM(D52:D53)</f>
        <v>0</v>
      </c>
      <c r="E51" s="1479">
        <f t="shared" si="3"/>
        <v>0</v>
      </c>
      <c r="F51" s="1468">
        <f>SUM(F52:F53)</f>
        <v>0</v>
      </c>
      <c r="G51" s="1479">
        <f t="shared" si="4"/>
        <v>0</v>
      </c>
      <c r="H51" s="1468">
        <f>SUM(H52:H53)</f>
        <v>0</v>
      </c>
      <c r="I51" s="1479">
        <f t="shared" si="5"/>
        <v>0</v>
      </c>
    </row>
    <row r="52" spans="1:9" x14ac:dyDescent="0.25">
      <c r="A52" s="236">
        <v>170</v>
      </c>
      <c r="B52" s="1973" t="s">
        <v>567</v>
      </c>
      <c r="C52" s="1973"/>
      <c r="D52" s="1324">
        <f>PRÉSTECS!AN6</f>
        <v>0</v>
      </c>
      <c r="E52" s="1481">
        <f t="shared" si="3"/>
        <v>0</v>
      </c>
      <c r="F52" s="1324">
        <f>PRÉSTECS!AZ16</f>
        <v>0</v>
      </c>
      <c r="G52" s="1481">
        <f t="shared" si="4"/>
        <v>0</v>
      </c>
      <c r="H52" s="1324">
        <f>PRÉSTECS!BL21</f>
        <v>0</v>
      </c>
      <c r="I52" s="1481">
        <f t="shared" si="5"/>
        <v>0</v>
      </c>
    </row>
    <row r="53" spans="1:9" x14ac:dyDescent="0.25">
      <c r="A53" s="236">
        <v>174</v>
      </c>
      <c r="B53" s="1973" t="s">
        <v>568</v>
      </c>
      <c r="C53" s="1973"/>
      <c r="D53" s="1498"/>
      <c r="E53" s="1485">
        <f t="shared" si="3"/>
        <v>0</v>
      </c>
      <c r="F53" s="1498"/>
      <c r="G53" s="1485">
        <f t="shared" si="4"/>
        <v>0</v>
      </c>
      <c r="H53" s="1498"/>
      <c r="I53" s="1485">
        <f t="shared" si="5"/>
        <v>0</v>
      </c>
    </row>
    <row r="54" spans="1:9" ht="13" x14ac:dyDescent="0.25">
      <c r="A54" s="236"/>
      <c r="B54" s="1963" t="s">
        <v>724</v>
      </c>
      <c r="C54" s="1963"/>
      <c r="D54" s="1468">
        <f>SUM(D55:D58)+D59+D63+SUM(D66:D67)</f>
        <v>0</v>
      </c>
      <c r="E54" s="1479">
        <f t="shared" si="3"/>
        <v>0</v>
      </c>
      <c r="F54" s="1468">
        <f>SUM(F55:F58)+F59+F63+SUM(F66:F67)</f>
        <v>0</v>
      </c>
      <c r="G54" s="1479">
        <f t="shared" si="4"/>
        <v>0</v>
      </c>
      <c r="H54" s="1468">
        <f>SUM(H55:H58)+H59+H63+SUM(H66:H67)</f>
        <v>0</v>
      </c>
      <c r="I54" s="1479">
        <f t="shared" si="5"/>
        <v>0</v>
      </c>
    </row>
    <row r="55" spans="1:9" x14ac:dyDescent="0.25">
      <c r="A55" s="236">
        <v>400</v>
      </c>
      <c r="B55" s="1973" t="s">
        <v>570</v>
      </c>
      <c r="C55" s="1973"/>
      <c r="D55" s="1324">
        <f>AJUSTAMENTS!B21*(1+MERCADERIES!DO28)+AJUSTAMENTS!B22*(1+SERVEIS!CN27)</f>
        <v>0</v>
      </c>
      <c r="E55" s="1481">
        <f t="shared" si="3"/>
        <v>0</v>
      </c>
      <c r="F55" s="1324">
        <f>AJUSTAMENTS!B50*(1+MERCADERIES!DO96)+AJUSTAMENTS!B51*(1+SERVEIS!CN47)</f>
        <v>0</v>
      </c>
      <c r="G55" s="1481">
        <f t="shared" si="4"/>
        <v>0</v>
      </c>
      <c r="H55" s="1324">
        <f>AJUSTAMENTS!B79*(1+MERCADERIES!DO165)+AJUSTAMENTS!B80*(1+SERVEIS!CN67)</f>
        <v>0</v>
      </c>
      <c r="I55" s="1481">
        <f t="shared" si="5"/>
        <v>0</v>
      </c>
    </row>
    <row r="56" spans="1:9" x14ac:dyDescent="0.25">
      <c r="A56" s="236">
        <v>410</v>
      </c>
      <c r="B56" s="1973" t="s">
        <v>571</v>
      </c>
      <c r="C56" s="1973"/>
      <c r="D56" s="1499"/>
      <c r="E56" s="1483">
        <f t="shared" si="3"/>
        <v>0</v>
      </c>
      <c r="F56" s="1499"/>
      <c r="G56" s="1483">
        <f t="shared" si="4"/>
        <v>0</v>
      </c>
      <c r="H56" s="1499"/>
      <c r="I56" s="1483">
        <f t="shared" si="5"/>
        <v>0</v>
      </c>
    </row>
    <row r="57" spans="1:9" x14ac:dyDescent="0.25">
      <c r="A57" s="236">
        <v>438</v>
      </c>
      <c r="B57" s="1973" t="s">
        <v>572</v>
      </c>
      <c r="C57" s="1973"/>
      <c r="D57" s="1499"/>
      <c r="E57" s="1483">
        <f t="shared" si="3"/>
        <v>0</v>
      </c>
      <c r="F57" s="1499"/>
      <c r="G57" s="1483">
        <f t="shared" si="4"/>
        <v>0</v>
      </c>
      <c r="H57" s="1499"/>
      <c r="I57" s="1483">
        <f t="shared" si="5"/>
        <v>0</v>
      </c>
    </row>
    <row r="58" spans="1:9" x14ac:dyDescent="0.25">
      <c r="A58" s="236">
        <v>465</v>
      </c>
      <c r="B58" s="1973" t="s">
        <v>41</v>
      </c>
      <c r="C58" s="1973"/>
      <c r="D58" s="1494">
        <f>AJUSTAMENTS!B19</f>
        <v>0</v>
      </c>
      <c r="E58" s="1483">
        <f t="shared" si="3"/>
        <v>0</v>
      </c>
      <c r="F58" s="1494">
        <f>AJUSTAMENTS!B48</f>
        <v>0</v>
      </c>
      <c r="G58" s="1483">
        <f t="shared" si="4"/>
        <v>0</v>
      </c>
      <c r="H58" s="1494">
        <f>AJUSTAMENTS!B77</f>
        <v>0</v>
      </c>
      <c r="I58" s="1483">
        <f t="shared" si="5"/>
        <v>0</v>
      </c>
    </row>
    <row r="59" spans="1:9" x14ac:dyDescent="0.25">
      <c r="A59" s="236">
        <v>475</v>
      </c>
      <c r="B59" s="1973" t="s">
        <v>573</v>
      </c>
      <c r="C59" s="1973"/>
      <c r="D59" s="1482">
        <f>SUM(D60:D62)</f>
        <v>0</v>
      </c>
      <c r="E59" s="1483">
        <f t="shared" si="3"/>
        <v>0</v>
      </c>
      <c r="F59" s="1482">
        <f>SUM(F60:F62)</f>
        <v>0</v>
      </c>
      <c r="G59" s="1483">
        <f t="shared" si="4"/>
        <v>0</v>
      </c>
      <c r="H59" s="1482">
        <f>SUM(H60:H62)</f>
        <v>0</v>
      </c>
      <c r="I59" s="1483">
        <f t="shared" si="5"/>
        <v>0</v>
      </c>
    </row>
    <row r="60" spans="1:9" x14ac:dyDescent="0.25">
      <c r="A60" s="236"/>
      <c r="B60" s="1980" t="s">
        <v>574</v>
      </c>
      <c r="C60" s="1980"/>
      <c r="D60" s="1500">
        <f>+AJUSTAMENTS!B23</f>
        <v>0</v>
      </c>
      <c r="E60" s="1501">
        <f t="shared" si="3"/>
        <v>0</v>
      </c>
      <c r="F60" s="1500">
        <f>+AJUSTAMENTS!B52</f>
        <v>0</v>
      </c>
      <c r="G60" s="1501">
        <f t="shared" si="4"/>
        <v>0</v>
      </c>
      <c r="H60" s="1500">
        <f>+AJUSTAMENTS!B81</f>
        <v>0</v>
      </c>
      <c r="I60" s="1501">
        <f t="shared" si="5"/>
        <v>0</v>
      </c>
    </row>
    <row r="61" spans="1:9" x14ac:dyDescent="0.25">
      <c r="A61" s="236"/>
      <c r="B61" s="1981" t="s">
        <v>575</v>
      </c>
      <c r="C61" s="1981"/>
      <c r="D61" s="1500">
        <f>AJUSTAMENTS!B20</f>
        <v>0</v>
      </c>
      <c r="E61" s="1501">
        <f t="shared" si="3"/>
        <v>0</v>
      </c>
      <c r="F61" s="1500">
        <f>AJUSTAMENTS!B49</f>
        <v>0</v>
      </c>
      <c r="G61" s="1501">
        <f t="shared" si="4"/>
        <v>0</v>
      </c>
      <c r="H61" s="1500">
        <f>AJUSTAMENTS!B78</f>
        <v>0</v>
      </c>
      <c r="I61" s="1501">
        <f t="shared" si="5"/>
        <v>0</v>
      </c>
    </row>
    <row r="62" spans="1:9" x14ac:dyDescent="0.25">
      <c r="A62" s="236"/>
      <c r="B62" s="1980" t="s">
        <v>576</v>
      </c>
      <c r="C62" s="1980"/>
      <c r="D62" s="1500">
        <f>VARIABLES!N53</f>
        <v>0</v>
      </c>
      <c r="E62" s="1501">
        <f t="shared" si="3"/>
        <v>0</v>
      </c>
      <c r="F62" s="1500">
        <f>VARIABLES!N117</f>
        <v>0</v>
      </c>
      <c r="G62" s="1501">
        <f t="shared" si="4"/>
        <v>0</v>
      </c>
      <c r="H62" s="1500">
        <f>VARIABLES!N183</f>
        <v>0</v>
      </c>
      <c r="I62" s="1501">
        <f t="shared" si="5"/>
        <v>0</v>
      </c>
    </row>
    <row r="63" spans="1:9" x14ac:dyDescent="0.25">
      <c r="A63" s="236">
        <v>476</v>
      </c>
      <c r="B63" s="1973" t="s">
        <v>577</v>
      </c>
      <c r="C63" s="1973"/>
      <c r="D63" s="1482">
        <f>SUM(D64:D65)</f>
        <v>0</v>
      </c>
      <c r="E63" s="1483">
        <f t="shared" si="3"/>
        <v>0</v>
      </c>
      <c r="F63" s="1482">
        <f>SUM(F64:F65)</f>
        <v>0</v>
      </c>
      <c r="G63" s="1483">
        <f t="shared" si="4"/>
        <v>0</v>
      </c>
      <c r="H63" s="1482">
        <f>SUM(H64:H65)</f>
        <v>0</v>
      </c>
      <c r="I63" s="1483">
        <f t="shared" si="5"/>
        <v>0</v>
      </c>
    </row>
    <row r="64" spans="1:9" x14ac:dyDescent="0.25">
      <c r="A64" s="236"/>
      <c r="B64" s="1980" t="s">
        <v>76</v>
      </c>
      <c r="C64" s="1980"/>
      <c r="D64" s="1502">
        <f>PERSONAL!N64+PERSONAL!N70</f>
        <v>0</v>
      </c>
      <c r="E64" s="1501">
        <f t="shared" si="3"/>
        <v>0</v>
      </c>
      <c r="F64" s="1502">
        <f>PERSONAL!N161+PERSONAL!N167</f>
        <v>0</v>
      </c>
      <c r="G64" s="1501">
        <f t="shared" si="4"/>
        <v>0</v>
      </c>
      <c r="H64" s="1502">
        <f>PERSONAL!N258+PERSONAL!N264</f>
        <v>0</v>
      </c>
      <c r="I64" s="1501">
        <f t="shared" si="5"/>
        <v>0</v>
      </c>
    </row>
    <row r="65" spans="1:9" x14ac:dyDescent="0.25">
      <c r="A65" s="236"/>
      <c r="B65" s="1980" t="s">
        <v>75</v>
      </c>
      <c r="C65" s="1980"/>
      <c r="D65" s="1502">
        <f>PROMOTORS!N44</f>
        <v>0</v>
      </c>
      <c r="E65" s="1501">
        <f t="shared" si="3"/>
        <v>0</v>
      </c>
      <c r="F65" s="1502">
        <f>PROMOTORS!N145</f>
        <v>0</v>
      </c>
      <c r="G65" s="1501">
        <f t="shared" si="4"/>
        <v>0</v>
      </c>
      <c r="H65" s="1502">
        <f>PROMOTORS!N246</f>
        <v>0</v>
      </c>
      <c r="I65" s="1501">
        <f t="shared" si="5"/>
        <v>0</v>
      </c>
    </row>
    <row r="66" spans="1:9" x14ac:dyDescent="0.25">
      <c r="A66" s="236">
        <v>520</v>
      </c>
      <c r="B66" s="1973" t="s">
        <v>578</v>
      </c>
      <c r="C66" s="1973"/>
      <c r="D66" s="1482">
        <f>PRÉSTECS!AN7+TRESORERIA!O62</f>
        <v>0</v>
      </c>
      <c r="E66" s="1483">
        <f t="shared" si="3"/>
        <v>0</v>
      </c>
      <c r="F66" s="1482">
        <f>PRÉSTECS!AZ17+TRESORERIA!O158</f>
        <v>0</v>
      </c>
      <c r="G66" s="1483">
        <f t="shared" si="4"/>
        <v>0</v>
      </c>
      <c r="H66" s="1482">
        <f>PRÉSTECS!BL22+TRESORERIA!O243</f>
        <v>0</v>
      </c>
      <c r="I66" s="1483">
        <f t="shared" si="5"/>
        <v>0</v>
      </c>
    </row>
    <row r="67" spans="1:9" x14ac:dyDescent="0.25">
      <c r="A67" s="236">
        <v>551</v>
      </c>
      <c r="B67" s="1973" t="s">
        <v>555</v>
      </c>
      <c r="C67" s="1973"/>
      <c r="D67" s="1484">
        <f>FINANÇAMENT!B9+FINANÇAMENT!B11</f>
        <v>0</v>
      </c>
      <c r="E67" s="1485">
        <f t="shared" si="3"/>
        <v>0</v>
      </c>
      <c r="F67" s="1484">
        <f>D67+FINANÇAMENT!C9+FINANÇAMENT!C11</f>
        <v>0</v>
      </c>
      <c r="G67" s="1485">
        <f t="shared" si="4"/>
        <v>0</v>
      </c>
      <c r="H67" s="1484">
        <f>F67+FINANÇAMENT!D9+FINANÇAMENT!D11</f>
        <v>0</v>
      </c>
      <c r="I67" s="1485">
        <f t="shared" si="5"/>
        <v>0</v>
      </c>
    </row>
    <row r="68" spans="1:9" ht="13" x14ac:dyDescent="0.25">
      <c r="B68" s="1982" t="s">
        <v>579</v>
      </c>
      <c r="C68" s="1982"/>
      <c r="D68" s="1330">
        <f>D44+D51+D54</f>
        <v>0</v>
      </c>
      <c r="F68" s="1330">
        <f>F44+F51+F54</f>
        <v>0</v>
      </c>
      <c r="H68" s="1330">
        <f>H44+H51+H54</f>
        <v>0</v>
      </c>
    </row>
    <row r="70" spans="1:9" x14ac:dyDescent="0.25">
      <c r="E70" s="1331"/>
      <c r="G70" s="1331"/>
    </row>
    <row r="77" spans="1:9" x14ac:dyDescent="0.25">
      <c r="H77" s="935"/>
    </row>
  </sheetData>
  <sheetProtection password="CC2F" sheet="1" objects="1" scenarios="1"/>
  <mergeCells count="64">
    <mergeCell ref="B60:C60"/>
    <mergeCell ref="B61:C61"/>
    <mergeCell ref="B62:C62"/>
    <mergeCell ref="B67:C67"/>
    <mergeCell ref="B68:C68"/>
    <mergeCell ref="B63:C63"/>
    <mergeCell ref="B64:C64"/>
    <mergeCell ref="B65:C65"/>
    <mergeCell ref="B66:C66"/>
    <mergeCell ref="B55:C55"/>
    <mergeCell ref="B56:C56"/>
    <mergeCell ref="B57:C57"/>
    <mergeCell ref="B58:C58"/>
    <mergeCell ref="B59:C59"/>
    <mergeCell ref="B53:C53"/>
    <mergeCell ref="B54:C54"/>
    <mergeCell ref="B48:C48"/>
    <mergeCell ref="B49:C49"/>
    <mergeCell ref="B50:C50"/>
    <mergeCell ref="B51:C51"/>
    <mergeCell ref="B44:C44"/>
    <mergeCell ref="B45:C45"/>
    <mergeCell ref="B46:C46"/>
    <mergeCell ref="B47:C47"/>
    <mergeCell ref="B52:C52"/>
    <mergeCell ref="B36:C36"/>
    <mergeCell ref="B37:C37"/>
    <mergeCell ref="B38:C38"/>
    <mergeCell ref="B39:C39"/>
    <mergeCell ref="A42:B42"/>
    <mergeCell ref="B31:C31"/>
    <mergeCell ref="B32:C32"/>
    <mergeCell ref="B33:C33"/>
    <mergeCell ref="B34:C34"/>
    <mergeCell ref="B35:C35"/>
    <mergeCell ref="B26:C26"/>
    <mergeCell ref="B27:C27"/>
    <mergeCell ref="B28:C28"/>
    <mergeCell ref="B29:C29"/>
    <mergeCell ref="B30:C30"/>
    <mergeCell ref="B24:C24"/>
    <mergeCell ref="B19:C19"/>
    <mergeCell ref="B20:C20"/>
    <mergeCell ref="B21:C21"/>
    <mergeCell ref="B25:C25"/>
    <mergeCell ref="B16:C16"/>
    <mergeCell ref="B17:C17"/>
    <mergeCell ref="B18:C18"/>
    <mergeCell ref="B22:C22"/>
    <mergeCell ref="B23:C23"/>
    <mergeCell ref="B11:C11"/>
    <mergeCell ref="B12:C12"/>
    <mergeCell ref="B13:C13"/>
    <mergeCell ref="B14:C14"/>
    <mergeCell ref="B15:C15"/>
    <mergeCell ref="A1:B1"/>
    <mergeCell ref="B3:C3"/>
    <mergeCell ref="B8:C8"/>
    <mergeCell ref="B9:C9"/>
    <mergeCell ref="B10:C10"/>
    <mergeCell ref="B4:C4"/>
    <mergeCell ref="B5:C5"/>
    <mergeCell ref="B6:C6"/>
    <mergeCell ref="B7:C7"/>
  </mergeCells>
  <phoneticPr fontId="22" type="noConversion"/>
  <printOptions horizontalCentered="1"/>
  <pageMargins left="0.39374999999999999" right="0.39374999999999999" top="0.98402777777777772" bottom="0.78749999999999998" header="0.39374999999999999" footer="0.51180555555555562"/>
  <pageSetup paperSize="9" scale="80" firstPageNumber="0" orientation="portrait" horizontalDpi="300" verticalDpi="300" r:id="rId1"/>
  <headerFooter alignWithMargins="0">
    <oddHeader>&amp;L&amp;"Arial,Negrita"&amp;17&amp;A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Button 1">
              <controlPr defaultSize="0" autoFill="0" autoLine="0" autoPict="0">
                <anchor moveWithCells="1" sizeWithCells="1">
                  <from>
                    <xdr:col>9</xdr:col>
                    <xdr:colOff>114300</xdr:colOff>
                    <xdr:row>0</xdr:row>
                    <xdr:rowOff>12700</xdr:rowOff>
                  </from>
                  <to>
                    <xdr:col>10</xdr:col>
                    <xdr:colOff>393700</xdr:colOff>
                    <xdr:row>1</xdr:row>
                    <xdr:rowOff>12700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0"/>
  <dimension ref="A2:O41"/>
  <sheetViews>
    <sheetView workbookViewId="0">
      <selection activeCell="C200" sqref="C200"/>
    </sheetView>
  </sheetViews>
  <sheetFormatPr defaultColWidth="11.453125" defaultRowHeight="12.5" x14ac:dyDescent="0.25"/>
  <cols>
    <col min="1" max="1" width="27.453125" customWidth="1"/>
    <col min="2" max="2" width="14.81640625" customWidth="1"/>
    <col min="3" max="13" width="12.7265625" customWidth="1"/>
    <col min="14" max="14" width="13.7265625" customWidth="1"/>
  </cols>
  <sheetData>
    <row r="2" spans="1:15" x14ac:dyDescent="0.25">
      <c r="A2" s="12" t="s">
        <v>580</v>
      </c>
      <c r="B2" s="1503">
        <f>+'Anàlisi bàsica'!B18</f>
        <v>0</v>
      </c>
      <c r="C2" s="1504"/>
    </row>
    <row r="3" spans="1:15" x14ac:dyDescent="0.25">
      <c r="A3" s="12" t="s">
        <v>581</v>
      </c>
      <c r="B3" s="1503">
        <f>+'Punt d_equilibri'!B34*12</f>
        <v>0</v>
      </c>
      <c r="C3" s="1504"/>
    </row>
    <row r="4" spans="1:15" x14ac:dyDescent="0.25">
      <c r="A4" s="12" t="s">
        <v>582</v>
      </c>
      <c r="B4" s="1505">
        <f>+B2-B3</f>
        <v>0</v>
      </c>
      <c r="C4" s="1506" t="e">
        <f>+B4/B2</f>
        <v>#DIV/0!</v>
      </c>
    </row>
    <row r="5" spans="1:15" x14ac:dyDescent="0.25">
      <c r="A5" s="12" t="s">
        <v>583</v>
      </c>
      <c r="B5" s="1507">
        <f>+'Punt d_equilibri'!B36</f>
        <v>0</v>
      </c>
    </row>
    <row r="6" spans="1:15" x14ac:dyDescent="0.25">
      <c r="B6" s="875" t="str">
        <f>+'Introducció dades'!C33</f>
        <v>GENER</v>
      </c>
      <c r="C6" s="875" t="str">
        <f>+'Introducció dades'!D33</f>
        <v>FEBRER</v>
      </c>
      <c r="D6" s="875" t="str">
        <f>+'Introducció dades'!E33</f>
        <v>MARÇ</v>
      </c>
      <c r="E6" s="875" t="str">
        <f>+'Introducció dades'!F33</f>
        <v>ABRIL</v>
      </c>
      <c r="F6" s="875" t="str">
        <f>+'Introducció dades'!G33</f>
        <v>MAIG</v>
      </c>
      <c r="G6" s="875" t="str">
        <f>+'Introducció dades'!H33</f>
        <v>JUNY</v>
      </c>
      <c r="H6" s="875" t="str">
        <f>+'Introducció dades'!I33</f>
        <v>JULIOL</v>
      </c>
      <c r="I6" s="875" t="str">
        <f>+'Introducció dades'!J33</f>
        <v>AGOST</v>
      </c>
      <c r="J6" s="875" t="str">
        <f>+'Introducció dades'!K33</f>
        <v>SETEMBRE</v>
      </c>
      <c r="K6" s="875" t="str">
        <f>+'Introducció dades'!L33</f>
        <v>OCTUBRE</v>
      </c>
      <c r="L6" s="875" t="str">
        <f>+'Introducció dades'!M33</f>
        <v>NOVEMBRE</v>
      </c>
      <c r="M6" s="875" t="str">
        <f>+'Introducció dades'!N33</f>
        <v>DESEMBRE</v>
      </c>
    </row>
    <row r="7" spans="1:15" x14ac:dyDescent="0.25">
      <c r="A7" s="12" t="s">
        <v>584</v>
      </c>
      <c r="B7" s="1508">
        <f>+'Resultats per mesos'!C10</f>
        <v>0</v>
      </c>
      <c r="C7" s="1508">
        <f>+'Resultats per mesos'!D10</f>
        <v>0</v>
      </c>
      <c r="D7" s="1508">
        <f>+'Resultats per mesos'!E10</f>
        <v>0</v>
      </c>
      <c r="E7" s="1508">
        <f>+'Resultats per mesos'!F10</f>
        <v>0</v>
      </c>
      <c r="F7" s="1508">
        <f>+'Resultats per mesos'!G10</f>
        <v>0</v>
      </c>
      <c r="G7" s="1508">
        <f>+'Resultats per mesos'!H10</f>
        <v>0</v>
      </c>
      <c r="H7" s="1508">
        <f>+'Resultats per mesos'!C33</f>
        <v>0</v>
      </c>
      <c r="I7" s="1508">
        <f>+'Resultats per mesos'!D33</f>
        <v>0</v>
      </c>
      <c r="J7" s="1508">
        <f>+'Resultats per mesos'!E33</f>
        <v>0</v>
      </c>
      <c r="K7" s="1508">
        <f>+'Resultats per mesos'!F33</f>
        <v>0</v>
      </c>
      <c r="L7" s="1508">
        <f>+'Resultats per mesos'!G33</f>
        <v>0</v>
      </c>
      <c r="M7" s="1508">
        <f>+'Resultats per mesos'!H33</f>
        <v>0</v>
      </c>
      <c r="N7" s="1503">
        <f>+'Resultats per mesos'!I33</f>
        <v>0</v>
      </c>
      <c r="O7" s="12"/>
    </row>
    <row r="8" spans="1:15" x14ac:dyDescent="0.25">
      <c r="A8" s="12" t="s">
        <v>585</v>
      </c>
      <c r="B8" s="1503" t="e">
        <f>+B7*$C$4</f>
        <v>#DIV/0!</v>
      </c>
      <c r="C8" s="1503" t="e">
        <f t="shared" ref="C8:N8" si="0">+C7*$C$4</f>
        <v>#DIV/0!</v>
      </c>
      <c r="D8" s="1503" t="e">
        <f t="shared" si="0"/>
        <v>#DIV/0!</v>
      </c>
      <c r="E8" s="1503" t="e">
        <f t="shared" si="0"/>
        <v>#DIV/0!</v>
      </c>
      <c r="F8" s="1503" t="e">
        <f t="shared" si="0"/>
        <v>#DIV/0!</v>
      </c>
      <c r="G8" s="1503" t="e">
        <f t="shared" si="0"/>
        <v>#DIV/0!</v>
      </c>
      <c r="H8" s="1503" t="e">
        <f t="shared" si="0"/>
        <v>#DIV/0!</v>
      </c>
      <c r="I8" s="1503" t="e">
        <f t="shared" si="0"/>
        <v>#DIV/0!</v>
      </c>
      <c r="J8" s="1503" t="e">
        <f t="shared" si="0"/>
        <v>#DIV/0!</v>
      </c>
      <c r="K8" s="1503" t="e">
        <f t="shared" si="0"/>
        <v>#DIV/0!</v>
      </c>
      <c r="L8" s="1503" t="e">
        <f t="shared" si="0"/>
        <v>#DIV/0!</v>
      </c>
      <c r="M8" s="1503" t="e">
        <f t="shared" si="0"/>
        <v>#DIV/0!</v>
      </c>
      <c r="N8" s="1503" t="e">
        <f t="shared" si="0"/>
        <v>#DIV/0!</v>
      </c>
    </row>
    <row r="9" spans="1:15" x14ac:dyDescent="0.25">
      <c r="A9" s="12" t="s">
        <v>586</v>
      </c>
      <c r="B9" s="1503">
        <f>+'Punt d_equilibri'!B38</f>
        <v>0</v>
      </c>
      <c r="C9" s="1503">
        <f>+B9</f>
        <v>0</v>
      </c>
      <c r="D9" s="1503">
        <f t="shared" ref="D9:M9" si="1">+C9</f>
        <v>0</v>
      </c>
      <c r="E9" s="1503">
        <f t="shared" si="1"/>
        <v>0</v>
      </c>
      <c r="F9" s="1503">
        <f t="shared" si="1"/>
        <v>0</v>
      </c>
      <c r="G9" s="1503">
        <f t="shared" si="1"/>
        <v>0</v>
      </c>
      <c r="H9" s="1503">
        <f t="shared" si="1"/>
        <v>0</v>
      </c>
      <c r="I9" s="1503">
        <f t="shared" si="1"/>
        <v>0</v>
      </c>
      <c r="J9" s="1503">
        <f t="shared" si="1"/>
        <v>0</v>
      </c>
      <c r="K9" s="1503">
        <f t="shared" si="1"/>
        <v>0</v>
      </c>
      <c r="L9" s="1503">
        <f t="shared" si="1"/>
        <v>0</v>
      </c>
      <c r="M9" s="1503">
        <f t="shared" si="1"/>
        <v>0</v>
      </c>
      <c r="N9" s="1503">
        <f>SUM(B9:M9)</f>
        <v>0</v>
      </c>
    </row>
    <row r="11" spans="1:15" x14ac:dyDescent="0.25">
      <c r="B11" s="1503" t="str">
        <f>+B6</f>
        <v>GENER</v>
      </c>
      <c r="C11" s="1503" t="str">
        <f t="shared" ref="C11:M11" si="2">+C6</f>
        <v>FEBRER</v>
      </c>
      <c r="D11" s="1503" t="str">
        <f t="shared" si="2"/>
        <v>MARÇ</v>
      </c>
      <c r="E11" s="1503" t="str">
        <f t="shared" si="2"/>
        <v>ABRIL</v>
      </c>
      <c r="F11" s="1503" t="str">
        <f t="shared" si="2"/>
        <v>MAIG</v>
      </c>
      <c r="G11" s="1503" t="str">
        <f t="shared" si="2"/>
        <v>JUNY</v>
      </c>
      <c r="H11" s="1503" t="str">
        <f t="shared" si="2"/>
        <v>JULIOL</v>
      </c>
      <c r="I11" s="1503" t="str">
        <f t="shared" si="2"/>
        <v>AGOST</v>
      </c>
      <c r="J11" s="1503" t="str">
        <f t="shared" si="2"/>
        <v>SETEMBRE</v>
      </c>
      <c r="K11" s="1503" t="str">
        <f t="shared" si="2"/>
        <v>OCTUBRE</v>
      </c>
      <c r="L11" s="1503" t="str">
        <f t="shared" si="2"/>
        <v>NOVEMBRE</v>
      </c>
      <c r="M11" s="1503" t="str">
        <f t="shared" si="2"/>
        <v>DESEMBRE</v>
      </c>
      <c r="N11" s="1503"/>
    </row>
    <row r="12" spans="1:15" x14ac:dyDescent="0.25">
      <c r="A12" s="12" t="s">
        <v>587</v>
      </c>
      <c r="B12" s="1503">
        <f>+B7</f>
        <v>0</v>
      </c>
      <c r="C12" s="1503">
        <f>+B12+C7</f>
        <v>0</v>
      </c>
      <c r="D12" s="1503">
        <f t="shared" ref="D12:M12" si="3">+C12+D7</f>
        <v>0</v>
      </c>
      <c r="E12" s="1503">
        <f t="shared" si="3"/>
        <v>0</v>
      </c>
      <c r="F12" s="1503">
        <f t="shared" si="3"/>
        <v>0</v>
      </c>
      <c r="G12" s="1503">
        <f t="shared" si="3"/>
        <v>0</v>
      </c>
      <c r="H12" s="1503">
        <f t="shared" si="3"/>
        <v>0</v>
      </c>
      <c r="I12" s="1503">
        <f t="shared" si="3"/>
        <v>0</v>
      </c>
      <c r="J12" s="1503">
        <f t="shared" si="3"/>
        <v>0</v>
      </c>
      <c r="K12" s="1503">
        <f t="shared" si="3"/>
        <v>0</v>
      </c>
      <c r="L12" s="1503">
        <f t="shared" si="3"/>
        <v>0</v>
      </c>
      <c r="M12" s="1503">
        <f t="shared" si="3"/>
        <v>0</v>
      </c>
      <c r="N12" s="1503"/>
    </row>
    <row r="13" spans="1:15" x14ac:dyDescent="0.25">
      <c r="A13" s="12" t="s">
        <v>588</v>
      </c>
      <c r="B13" s="1503" t="e">
        <f>+B14+B8</f>
        <v>#DIV/0!</v>
      </c>
      <c r="C13" s="1503" t="e">
        <f>+B13+C8</f>
        <v>#DIV/0!</v>
      </c>
      <c r="D13" s="1503" t="e">
        <f t="shared" ref="D13:M13" si="4">+C13+D8</f>
        <v>#DIV/0!</v>
      </c>
      <c r="E13" s="1503" t="e">
        <f t="shared" si="4"/>
        <v>#DIV/0!</v>
      </c>
      <c r="F13" s="1503" t="e">
        <f t="shared" si="4"/>
        <v>#DIV/0!</v>
      </c>
      <c r="G13" s="1503" t="e">
        <f t="shared" si="4"/>
        <v>#DIV/0!</v>
      </c>
      <c r="H13" s="1503" t="e">
        <f t="shared" si="4"/>
        <v>#DIV/0!</v>
      </c>
      <c r="I13" s="1503" t="e">
        <f t="shared" si="4"/>
        <v>#DIV/0!</v>
      </c>
      <c r="J13" s="1503" t="e">
        <f t="shared" si="4"/>
        <v>#DIV/0!</v>
      </c>
      <c r="K13" s="1503" t="e">
        <f t="shared" si="4"/>
        <v>#DIV/0!</v>
      </c>
      <c r="L13" s="1503" t="e">
        <f t="shared" si="4"/>
        <v>#DIV/0!</v>
      </c>
      <c r="M13" s="1503" t="e">
        <f t="shared" si="4"/>
        <v>#DIV/0!</v>
      </c>
      <c r="N13" s="1503"/>
    </row>
    <row r="14" spans="1:15" x14ac:dyDescent="0.25">
      <c r="A14" s="12" t="s">
        <v>581</v>
      </c>
      <c r="B14" s="1503">
        <f>+B3</f>
        <v>0</v>
      </c>
      <c r="C14" s="1503">
        <f>+B14</f>
        <v>0</v>
      </c>
      <c r="D14" s="1503">
        <f t="shared" ref="D14:M14" si="5">+C14</f>
        <v>0</v>
      </c>
      <c r="E14" s="1503">
        <f t="shared" si="5"/>
        <v>0</v>
      </c>
      <c r="F14" s="1503">
        <f t="shared" si="5"/>
        <v>0</v>
      </c>
      <c r="G14" s="1503">
        <f t="shared" si="5"/>
        <v>0</v>
      </c>
      <c r="H14" s="1503">
        <f t="shared" si="5"/>
        <v>0</v>
      </c>
      <c r="I14" s="1503">
        <f t="shared" si="5"/>
        <v>0</v>
      </c>
      <c r="J14" s="1503">
        <f t="shared" si="5"/>
        <v>0</v>
      </c>
      <c r="K14" s="1503">
        <f t="shared" si="5"/>
        <v>0</v>
      </c>
      <c r="L14" s="1503">
        <f t="shared" si="5"/>
        <v>0</v>
      </c>
      <c r="M14" s="1503">
        <f t="shared" si="5"/>
        <v>0</v>
      </c>
      <c r="N14" s="1503"/>
    </row>
    <row r="15" spans="1:15" x14ac:dyDescent="0.25">
      <c r="A15" s="12" t="s">
        <v>589</v>
      </c>
      <c r="B15" s="1503">
        <f>+B2</f>
        <v>0</v>
      </c>
      <c r="C15" s="1503">
        <f>+B15</f>
        <v>0</v>
      </c>
      <c r="D15" s="1503">
        <f t="shared" ref="D15:M15" si="6">+C15</f>
        <v>0</v>
      </c>
      <c r="E15" s="1503">
        <f t="shared" si="6"/>
        <v>0</v>
      </c>
      <c r="F15" s="1503">
        <f t="shared" si="6"/>
        <v>0</v>
      </c>
      <c r="G15" s="1503">
        <f t="shared" si="6"/>
        <v>0</v>
      </c>
      <c r="H15" s="1503">
        <f t="shared" si="6"/>
        <v>0</v>
      </c>
      <c r="I15" s="1503">
        <f t="shared" si="6"/>
        <v>0</v>
      </c>
      <c r="J15" s="1503">
        <f t="shared" si="6"/>
        <v>0</v>
      </c>
      <c r="K15" s="1503">
        <f t="shared" si="6"/>
        <v>0</v>
      </c>
      <c r="L15" s="1503">
        <f t="shared" si="6"/>
        <v>0</v>
      </c>
      <c r="M15" s="1503">
        <f t="shared" si="6"/>
        <v>0</v>
      </c>
      <c r="N15" s="1503"/>
    </row>
    <row r="16" spans="1:15" x14ac:dyDescent="0.25">
      <c r="B16" s="1503"/>
      <c r="C16" s="1503"/>
      <c r="D16" s="1503"/>
      <c r="E16" s="1503"/>
      <c r="F16" s="1503"/>
      <c r="G16" s="1503"/>
      <c r="H16" s="1503"/>
      <c r="I16" s="1503"/>
      <c r="J16" s="1503"/>
      <c r="K16" s="1503"/>
      <c r="L16" s="1503"/>
      <c r="M16" s="1503"/>
      <c r="N16" s="1503"/>
    </row>
    <row r="17" spans="1:14" x14ac:dyDescent="0.25">
      <c r="B17" s="1503"/>
      <c r="C17" s="1503"/>
      <c r="D17" s="1503"/>
      <c r="E17" s="1503"/>
      <c r="F17" s="1503"/>
      <c r="G17" s="1503"/>
      <c r="H17" s="1503"/>
      <c r="I17" s="1503"/>
      <c r="J17" s="1503"/>
      <c r="K17" s="1503"/>
      <c r="L17" s="1503"/>
      <c r="M17" s="1503"/>
      <c r="N17" s="1503"/>
    </row>
    <row r="18" spans="1:14" x14ac:dyDescent="0.25">
      <c r="B18" s="1503"/>
      <c r="C18" s="1503"/>
      <c r="D18" s="1503"/>
      <c r="E18" s="1503"/>
      <c r="F18" s="1503"/>
      <c r="G18" s="1503"/>
      <c r="H18" s="1503"/>
      <c r="I18" s="1503"/>
      <c r="J18" s="1503"/>
      <c r="K18" s="1503"/>
      <c r="L18" s="1503"/>
      <c r="M18" s="1503"/>
      <c r="N18" s="1503"/>
    </row>
    <row r="19" spans="1:14" x14ac:dyDescent="0.25">
      <c r="B19" s="1503"/>
      <c r="C19" s="1503"/>
      <c r="D19" s="1503"/>
      <c r="E19" s="1503"/>
      <c r="F19" s="1503"/>
      <c r="G19" s="1503"/>
      <c r="H19" s="1503"/>
      <c r="I19" s="1503"/>
      <c r="J19" s="1503"/>
      <c r="K19" s="1503"/>
      <c r="L19" s="1503"/>
      <c r="M19" s="1503"/>
      <c r="N19" s="1503"/>
    </row>
    <row r="20" spans="1:14" x14ac:dyDescent="0.25">
      <c r="B20" s="1503"/>
      <c r="C20" s="1503"/>
      <c r="D20" s="1503"/>
      <c r="E20" s="1503"/>
      <c r="F20" s="1503"/>
      <c r="G20" s="1503"/>
      <c r="H20" s="1503"/>
      <c r="I20" s="1503"/>
      <c r="J20" s="1503"/>
      <c r="K20" s="1503"/>
      <c r="L20" s="1503"/>
      <c r="M20" s="1503"/>
      <c r="N20" s="1503"/>
    </row>
    <row r="21" spans="1:14" x14ac:dyDescent="0.25">
      <c r="B21" s="1503"/>
      <c r="C21" s="1503"/>
      <c r="D21" s="1503"/>
      <c r="E21" s="1503"/>
      <c r="F21" s="1503"/>
      <c r="G21" s="1503"/>
      <c r="H21" s="1503"/>
      <c r="I21" s="1503"/>
      <c r="J21" s="1503"/>
      <c r="K21" s="1503"/>
      <c r="L21" s="1503"/>
      <c r="M21" s="1503"/>
      <c r="N21" s="1503"/>
    </row>
    <row r="22" spans="1:14" x14ac:dyDescent="0.25">
      <c r="A22" s="21">
        <f>+'Introducció dades'!C154</f>
        <v>0</v>
      </c>
      <c r="B22" s="21">
        <f>+'Introducció dades'!D154</f>
        <v>0</v>
      </c>
      <c r="C22" s="1504">
        <f>+'Introducció dades'!E154</f>
        <v>1</v>
      </c>
      <c r="D22" s="1504" t="str">
        <f>IF(+A22&gt;0,+C22,"")</f>
        <v/>
      </c>
      <c r="E22" s="1503"/>
      <c r="F22" s="1503"/>
      <c r="G22" s="1503"/>
      <c r="H22" s="1503"/>
      <c r="I22" s="1503"/>
      <c r="J22" s="1503"/>
      <c r="K22" s="1503"/>
      <c r="L22" s="1503"/>
      <c r="M22" s="1503"/>
      <c r="N22" s="1503"/>
    </row>
    <row r="23" spans="1:14" x14ac:dyDescent="0.25">
      <c r="A23" s="21">
        <f>+'Introducció dades'!C155</f>
        <v>0</v>
      </c>
      <c r="B23" s="21">
        <f>+'Introducció dades'!D155</f>
        <v>0</v>
      </c>
      <c r="C23" s="1504">
        <f>+'Introducció dades'!E155</f>
        <v>1</v>
      </c>
      <c r="D23" s="1504" t="str">
        <f t="shared" ref="D23:D33" si="7">IF(+A23&gt;0,+C23,"")</f>
        <v/>
      </c>
      <c r="E23" s="1503"/>
      <c r="F23" s="1503"/>
      <c r="G23" s="1503"/>
      <c r="H23" s="1503"/>
      <c r="I23" s="1503"/>
      <c r="J23" s="1503"/>
      <c r="K23" s="1503"/>
      <c r="L23" s="1503"/>
      <c r="M23" s="1503"/>
      <c r="N23" s="1503"/>
    </row>
    <row r="24" spans="1:14" x14ac:dyDescent="0.25">
      <c r="A24" s="21">
        <f>+'Introducció dades'!C156</f>
        <v>0</v>
      </c>
      <c r="B24" s="21">
        <f>+'Introducció dades'!D156</f>
        <v>0</v>
      </c>
      <c r="C24" s="1504">
        <f>+'Introducció dades'!E156</f>
        <v>1</v>
      </c>
      <c r="D24" s="1504" t="str">
        <f t="shared" si="7"/>
        <v/>
      </c>
      <c r="E24" s="1503"/>
      <c r="F24" s="1503"/>
      <c r="G24" s="1503"/>
      <c r="H24" s="1503"/>
      <c r="I24" s="1503"/>
      <c r="J24" s="1503"/>
      <c r="K24" s="1503"/>
      <c r="L24" s="1503"/>
      <c r="M24" s="1503"/>
      <c r="N24" s="1503"/>
    </row>
    <row r="25" spans="1:14" x14ac:dyDescent="0.25">
      <c r="A25" s="21">
        <f>+'Introducció dades'!C157</f>
        <v>0</v>
      </c>
      <c r="B25" s="21">
        <f>+'Introducció dades'!D157</f>
        <v>0</v>
      </c>
      <c r="C25" s="1504">
        <f>+'Introducció dades'!E157</f>
        <v>1</v>
      </c>
      <c r="D25" s="1504" t="str">
        <f t="shared" si="7"/>
        <v/>
      </c>
      <c r="E25" s="1503"/>
      <c r="F25" s="1503"/>
      <c r="G25" s="1503"/>
      <c r="H25" s="1503"/>
      <c r="I25" s="1503"/>
      <c r="J25" s="1503"/>
      <c r="K25" s="1503"/>
      <c r="L25" s="1503"/>
      <c r="M25" s="1503"/>
      <c r="N25" s="1503"/>
    </row>
    <row r="26" spans="1:14" x14ac:dyDescent="0.25">
      <c r="A26" s="21">
        <f>+'Introducció dades'!C158</f>
        <v>0</v>
      </c>
      <c r="B26" s="21">
        <f>+'Introducció dades'!D158</f>
        <v>0</v>
      </c>
      <c r="C26" s="1504">
        <f>+'Introducció dades'!E158</f>
        <v>1</v>
      </c>
      <c r="D26" s="1504" t="str">
        <f t="shared" si="7"/>
        <v/>
      </c>
      <c r="E26" s="1503"/>
      <c r="F26" s="1503"/>
      <c r="G26" s="1503"/>
      <c r="H26" s="1503"/>
      <c r="I26" s="1503"/>
      <c r="J26" s="1503"/>
      <c r="K26" s="1503"/>
      <c r="L26" s="1503"/>
      <c r="M26" s="1503"/>
      <c r="N26" s="1503"/>
    </row>
    <row r="27" spans="1:14" x14ac:dyDescent="0.25">
      <c r="A27" s="21">
        <f>+'Introducció dades'!C159</f>
        <v>0</v>
      </c>
      <c r="B27" s="21">
        <f>+'Introducció dades'!D159</f>
        <v>0</v>
      </c>
      <c r="C27" s="1504">
        <f>+'Introducció dades'!E159</f>
        <v>1</v>
      </c>
      <c r="D27" s="1504" t="str">
        <f t="shared" si="7"/>
        <v/>
      </c>
    </row>
    <row r="28" spans="1:14" x14ac:dyDescent="0.25">
      <c r="A28" s="21">
        <f>+'Introducció dades'!C160</f>
        <v>0</v>
      </c>
      <c r="B28" s="21">
        <f>+'Introducció dades'!D160</f>
        <v>0</v>
      </c>
      <c r="C28" s="1504">
        <f>+'Introducció dades'!E160</f>
        <v>1</v>
      </c>
      <c r="D28" s="1504" t="str">
        <f t="shared" si="7"/>
        <v/>
      </c>
    </row>
    <row r="29" spans="1:14" x14ac:dyDescent="0.25">
      <c r="A29" s="21">
        <f>+'Introducció dades'!C161</f>
        <v>0</v>
      </c>
      <c r="B29" s="21">
        <f>+'Introducció dades'!D161</f>
        <v>0</v>
      </c>
      <c r="C29" s="1504">
        <f>+'Introducció dades'!E161</f>
        <v>1</v>
      </c>
      <c r="D29" s="1504" t="str">
        <f t="shared" si="7"/>
        <v/>
      </c>
    </row>
    <row r="30" spans="1:14" x14ac:dyDescent="0.25">
      <c r="A30" s="21">
        <f>+'Introducció dades'!C162</f>
        <v>0</v>
      </c>
      <c r="B30" s="21">
        <f>+'Introducció dades'!D162</f>
        <v>0</v>
      </c>
      <c r="C30" s="1504">
        <f>+'Introducció dades'!E162</f>
        <v>1</v>
      </c>
      <c r="D30" s="1504" t="str">
        <f t="shared" si="7"/>
        <v/>
      </c>
    </row>
    <row r="31" spans="1:14" x14ac:dyDescent="0.25">
      <c r="A31" s="21">
        <f>+'Introducció dades'!C163</f>
        <v>0</v>
      </c>
      <c r="B31" s="21">
        <f>+'Introducció dades'!D163</f>
        <v>0</v>
      </c>
      <c r="C31" s="1504">
        <f>+'Introducció dades'!E163</f>
        <v>1</v>
      </c>
      <c r="D31" s="1504" t="str">
        <f t="shared" si="7"/>
        <v/>
      </c>
    </row>
    <row r="32" spans="1:14" x14ac:dyDescent="0.25">
      <c r="A32" s="21">
        <f>+'Introducció dades'!C164</f>
        <v>0</v>
      </c>
      <c r="B32" s="21">
        <f>+'Introducció dades'!D164</f>
        <v>0</v>
      </c>
      <c r="C32" s="1504">
        <f>+'Introducció dades'!E164</f>
        <v>1</v>
      </c>
      <c r="D32" s="1504" t="str">
        <f t="shared" si="7"/>
        <v/>
      </c>
    </row>
    <row r="33" spans="1:4" x14ac:dyDescent="0.25">
      <c r="A33" s="21">
        <f>+'Introducció dades'!C165</f>
        <v>0</v>
      </c>
      <c r="B33" s="21">
        <f>+'Introducció dades'!D165</f>
        <v>0</v>
      </c>
      <c r="C33" s="1504">
        <f>+'Introducció dades'!E165</f>
        <v>1</v>
      </c>
      <c r="D33" s="1504" t="str">
        <f t="shared" si="7"/>
        <v/>
      </c>
    </row>
    <row r="34" spans="1:4" x14ac:dyDescent="0.25">
      <c r="A34" s="21"/>
      <c r="B34" s="21"/>
      <c r="C34" s="1504"/>
      <c r="D34" s="1504">
        <f>+'Punt d_equilibri'!B36</f>
        <v>0</v>
      </c>
    </row>
    <row r="35" spans="1:4" x14ac:dyDescent="0.25">
      <c r="A35" s="21"/>
      <c r="B35" s="21"/>
      <c r="C35" s="1504" t="s">
        <v>590</v>
      </c>
      <c r="D35" s="1509">
        <f>MAX(D22:D34)</f>
        <v>0</v>
      </c>
    </row>
    <row r="36" spans="1:4" x14ac:dyDescent="0.25">
      <c r="A36" s="21"/>
      <c r="C36" s="1509" t="s">
        <v>591</v>
      </c>
      <c r="D36" s="1509">
        <f>MIN(D22:D34)</f>
        <v>0</v>
      </c>
    </row>
    <row r="37" spans="1:4" x14ac:dyDescent="0.25">
      <c r="A37" s="21"/>
    </row>
    <row r="38" spans="1:4" x14ac:dyDescent="0.25">
      <c r="A38" s="21"/>
    </row>
    <row r="39" spans="1:4" x14ac:dyDescent="0.25">
      <c r="A39" s="21"/>
    </row>
    <row r="40" spans="1:4" x14ac:dyDescent="0.25">
      <c r="A40" s="21"/>
    </row>
    <row r="41" spans="1:4" x14ac:dyDescent="0.25">
      <c r="A41" s="21"/>
    </row>
  </sheetData>
  <sheetProtection sheet="1" objects="1" scenarios="1"/>
  <phoneticPr fontId="22" type="noConversion"/>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4"/>
  <dimension ref="A1:M222"/>
  <sheetViews>
    <sheetView topLeftCell="A144" workbookViewId="0">
      <selection activeCell="E169" sqref="E169"/>
    </sheetView>
  </sheetViews>
  <sheetFormatPr defaultColWidth="11.453125" defaultRowHeight="13" x14ac:dyDescent="0.3"/>
  <cols>
    <col min="1" max="1" width="53.7265625" customWidth="1"/>
    <col min="2" max="2" width="12.7265625" customWidth="1"/>
    <col min="3" max="3" width="12.7265625" style="1362" customWidth="1"/>
    <col min="4" max="4" width="12.7265625" style="7" customWidth="1"/>
    <col min="5" max="7" width="12.7265625" customWidth="1"/>
    <col min="8" max="8" width="11.1796875" customWidth="1"/>
    <col min="9" max="10" width="11.453125" hidden="1" customWidth="1"/>
    <col min="11" max="12" width="0" hidden="1" customWidth="1"/>
    <col min="13" max="13" width="12.26953125" hidden="1" customWidth="1"/>
    <col min="14" max="14" width="0" hidden="1" customWidth="1"/>
  </cols>
  <sheetData>
    <row r="1" spans="1:13" ht="25.5" customHeight="1" x14ac:dyDescent="0.3">
      <c r="A1" s="1510" t="s">
        <v>17</v>
      </c>
    </row>
    <row r="2" spans="1:13" x14ac:dyDescent="0.3">
      <c r="A2" s="26"/>
    </row>
    <row r="3" spans="1:13" x14ac:dyDescent="0.3">
      <c r="A3" s="26"/>
      <c r="B3" s="1511"/>
      <c r="C3"/>
      <c r="D3"/>
      <c r="I3" s="1014"/>
      <c r="J3" s="1983" t="s">
        <v>592</v>
      </c>
      <c r="L3" s="1014"/>
      <c r="M3" s="1983" t="s">
        <v>592</v>
      </c>
    </row>
    <row r="4" spans="1:13" ht="12.75" customHeight="1" x14ac:dyDescent="0.3">
      <c r="A4" s="1512"/>
      <c r="B4" s="26"/>
      <c r="C4"/>
      <c r="D4"/>
      <c r="I4" s="1513" t="s">
        <v>151</v>
      </c>
      <c r="J4" s="1983"/>
      <c r="L4" s="1513" t="s">
        <v>151</v>
      </c>
      <c r="M4" s="1983"/>
    </row>
    <row r="5" spans="1:13" ht="13.5" customHeight="1" x14ac:dyDescent="0.3">
      <c r="A5" s="1514" t="s">
        <v>354</v>
      </c>
      <c r="B5" s="1146">
        <f>'INGRESSOS _ COMPRES'!O2/12</f>
        <v>0</v>
      </c>
      <c r="C5"/>
      <c r="D5"/>
      <c r="E5" s="1055"/>
      <c r="F5" s="21"/>
      <c r="I5" s="878">
        <f>IF(B$7=0,0,B5/B$7)</f>
        <v>0</v>
      </c>
      <c r="J5" s="878">
        <f>IF(B5=0,0,('INGRESSOS _ COMPRES'!O2-'INGRESSOS _ COMPRES'!O34)/'INGRESSOS _ COMPRES'!O2)</f>
        <v>0</v>
      </c>
      <c r="L5" s="878">
        <f>IF(B$7=0,0,B5/B$7)</f>
        <v>0</v>
      </c>
      <c r="M5" s="878">
        <f>IF(B5=0,0,('INGRESSOS _ COMPRES'!O2-'INGRESSOS _ COMPRES'!O34)/'INGRESSOS _ COMPRES'!O2)</f>
        <v>0</v>
      </c>
    </row>
    <row r="6" spans="1:13" ht="14" x14ac:dyDescent="0.3">
      <c r="A6" s="1515" t="s">
        <v>593</v>
      </c>
      <c r="B6" s="1516">
        <f>'INGRESSOS _ COMPRES'!O17/12</f>
        <v>0</v>
      </c>
      <c r="C6"/>
      <c r="D6"/>
      <c r="E6" s="1055"/>
      <c r="F6" s="21"/>
      <c r="I6" s="878">
        <f>IF(B$7=0,0,B6/B$7)</f>
        <v>0</v>
      </c>
      <c r="J6" s="878">
        <f>IF(B6=0,0,('INGRESSOS _ COMPRES'!O17-'INGRESSOS _ COMPRES'!O49)/'INGRESSOS _ COMPRES'!O17)</f>
        <v>0</v>
      </c>
      <c r="L6" s="878">
        <f>IF(B$7=0,0,B6/B$7)</f>
        <v>0</v>
      </c>
      <c r="M6" s="878">
        <f>IF(B6=0,0,('INGRESSOS _ COMPRES'!O17-'INGRESSOS _ COMPRES'!O49)/'INGRESSOS _ COMPRES'!O17)</f>
        <v>0</v>
      </c>
    </row>
    <row r="7" spans="1:13" hidden="1" x14ac:dyDescent="0.3">
      <c r="A7" s="1513" t="s">
        <v>77</v>
      </c>
      <c r="B7" s="15">
        <f>SUM(B5:B6)</f>
        <v>0</v>
      </c>
      <c r="C7"/>
      <c r="D7"/>
      <c r="E7" s="1517"/>
      <c r="F7" s="21"/>
      <c r="I7" s="878">
        <f>IF(B$7=0,0,B7/B$7)</f>
        <v>0</v>
      </c>
      <c r="J7" s="878">
        <f>J5*I5+J6*I6</f>
        <v>0</v>
      </c>
      <c r="L7" s="878">
        <f>IF(E$7=0,0,E7/E$7)</f>
        <v>0</v>
      </c>
      <c r="M7" s="878">
        <f>M5*L5+M6*L6</f>
        <v>0</v>
      </c>
    </row>
    <row r="8" spans="1:13" ht="15" customHeight="1" x14ac:dyDescent="0.3">
      <c r="A8" s="26"/>
      <c r="B8" s="9"/>
      <c r="C8"/>
      <c r="D8"/>
      <c r="E8" s="1517"/>
      <c r="F8" s="21"/>
      <c r="I8" s="1037"/>
      <c r="J8" s="1037"/>
      <c r="L8" s="1037"/>
      <c r="M8" s="1037"/>
    </row>
    <row r="9" spans="1:13" ht="15" customHeight="1" x14ac:dyDescent="0.35">
      <c r="B9" s="1518"/>
      <c r="E9" s="21"/>
      <c r="F9" s="21"/>
      <c r="I9" s="1518"/>
      <c r="J9" s="7"/>
      <c r="L9" s="1518"/>
      <c r="M9" s="7"/>
    </row>
    <row r="10" spans="1:13" s="1521" customFormat="1" ht="14" x14ac:dyDescent="0.3">
      <c r="A10" s="1519" t="s">
        <v>594</v>
      </c>
      <c r="B10" s="1520"/>
      <c r="G10" s="1522"/>
      <c r="I10" s="1523" t="s">
        <v>595</v>
      </c>
      <c r="J10" s="1524" t="s">
        <v>334</v>
      </c>
      <c r="L10" s="1523" t="s">
        <v>595</v>
      </c>
      <c r="M10" s="1524" t="s">
        <v>334</v>
      </c>
    </row>
    <row r="11" spans="1:13" x14ac:dyDescent="0.3">
      <c r="A11" s="1396" t="s">
        <v>174</v>
      </c>
      <c r="B11" s="1710">
        <f>VARIABLES!N16/12</f>
        <v>0</v>
      </c>
      <c r="G11" s="21"/>
      <c r="I11" s="794">
        <f t="shared" ref="I11:I33" si="0">B11*I$5</f>
        <v>0</v>
      </c>
      <c r="J11" s="1525">
        <f t="shared" ref="J11:J33" si="1">B11*I$6</f>
        <v>0</v>
      </c>
      <c r="L11" s="794">
        <f>B11*L$5</f>
        <v>0</v>
      </c>
      <c r="M11" s="1525">
        <f>B11*L$6</f>
        <v>0</v>
      </c>
    </row>
    <row r="12" spans="1:13" x14ac:dyDescent="0.3">
      <c r="A12" s="1396" t="s">
        <v>717</v>
      </c>
      <c r="B12" s="1710">
        <f>+VARIABLES!N17/12</f>
        <v>0</v>
      </c>
      <c r="G12" s="21"/>
      <c r="I12" s="794">
        <f t="shared" si="0"/>
        <v>0</v>
      </c>
      <c r="J12" s="1525">
        <f t="shared" si="1"/>
        <v>0</v>
      </c>
      <c r="L12" s="794">
        <f t="shared" ref="L12:L32" si="2">B12*L$5</f>
        <v>0</v>
      </c>
      <c r="M12" s="1525">
        <f t="shared" ref="M12:M31" si="3">B12*L$6</f>
        <v>0</v>
      </c>
    </row>
    <row r="13" spans="1:13" x14ac:dyDescent="0.3">
      <c r="A13" s="1396" t="s">
        <v>175</v>
      </c>
      <c r="B13" s="1710">
        <f>VARIABLES!N18/12</f>
        <v>0</v>
      </c>
      <c r="G13" s="21"/>
      <c r="I13" s="794">
        <f t="shared" si="0"/>
        <v>0</v>
      </c>
      <c r="J13" s="1525">
        <f t="shared" si="1"/>
        <v>0</v>
      </c>
      <c r="L13" s="794">
        <f t="shared" si="2"/>
        <v>0</v>
      </c>
      <c r="M13" s="1525">
        <f t="shared" si="3"/>
        <v>0</v>
      </c>
    </row>
    <row r="14" spans="1:13" x14ac:dyDescent="0.3">
      <c r="A14" s="1396" t="s">
        <v>399</v>
      </c>
      <c r="B14" s="1710">
        <f>VARIABLES!N19/12</f>
        <v>0</v>
      </c>
      <c r="G14" s="21"/>
      <c r="I14" s="794">
        <f t="shared" si="0"/>
        <v>0</v>
      </c>
      <c r="J14" s="1525">
        <f t="shared" si="1"/>
        <v>0</v>
      </c>
      <c r="L14" s="794">
        <f t="shared" si="2"/>
        <v>0</v>
      </c>
      <c r="M14" s="1525">
        <f t="shared" si="3"/>
        <v>0</v>
      </c>
    </row>
    <row r="15" spans="1:13" x14ac:dyDescent="0.3">
      <c r="A15" s="1396" t="s">
        <v>177</v>
      </c>
      <c r="B15" s="1710">
        <f>VARIABLES!N21/12</f>
        <v>0</v>
      </c>
      <c r="G15" s="21"/>
      <c r="I15" s="794">
        <f t="shared" si="0"/>
        <v>0</v>
      </c>
      <c r="J15" s="1525">
        <f t="shared" si="1"/>
        <v>0</v>
      </c>
      <c r="L15" s="794">
        <f t="shared" si="2"/>
        <v>0</v>
      </c>
      <c r="M15" s="1525">
        <f t="shared" si="3"/>
        <v>0</v>
      </c>
    </row>
    <row r="16" spans="1:13" x14ac:dyDescent="0.3">
      <c r="A16" s="1396" t="s">
        <v>178</v>
      </c>
      <c r="B16" s="1710">
        <f>VARIABLES!N22/12</f>
        <v>0</v>
      </c>
      <c r="G16" s="21"/>
      <c r="I16" s="794">
        <f t="shared" si="0"/>
        <v>0</v>
      </c>
      <c r="J16" s="1525">
        <f t="shared" si="1"/>
        <v>0</v>
      </c>
      <c r="L16" s="794">
        <f t="shared" si="2"/>
        <v>0</v>
      </c>
      <c r="M16" s="1525">
        <f t="shared" si="3"/>
        <v>0</v>
      </c>
    </row>
    <row r="17" spans="1:13" x14ac:dyDescent="0.3">
      <c r="A17" s="1396" t="s">
        <v>170</v>
      </c>
      <c r="B17" s="1710">
        <f>VARIABLES!N24/12-(B6*'Introducció dades'!C229)</f>
        <v>0</v>
      </c>
      <c r="G17" s="21"/>
      <c r="I17" s="794">
        <f t="shared" si="0"/>
        <v>0</v>
      </c>
      <c r="J17" s="1525">
        <f t="shared" si="1"/>
        <v>0</v>
      </c>
      <c r="L17" s="794">
        <f t="shared" si="2"/>
        <v>0</v>
      </c>
      <c r="M17" s="1525">
        <f t="shared" si="3"/>
        <v>0</v>
      </c>
    </row>
    <row r="18" spans="1:13" x14ac:dyDescent="0.3">
      <c r="A18" s="1526" t="s">
        <v>179</v>
      </c>
      <c r="B18" s="1710">
        <f>SUM(B19:B23)</f>
        <v>0</v>
      </c>
      <c r="G18" s="21"/>
      <c r="I18" s="796">
        <f t="shared" si="0"/>
        <v>0</v>
      </c>
      <c r="J18" s="1527">
        <f t="shared" si="1"/>
        <v>0</v>
      </c>
      <c r="L18" s="794">
        <f t="shared" si="2"/>
        <v>0</v>
      </c>
      <c r="M18" s="1525">
        <f t="shared" si="3"/>
        <v>0</v>
      </c>
    </row>
    <row r="19" spans="1:13" x14ac:dyDescent="0.3">
      <c r="A19" s="1369" t="s">
        <v>180</v>
      </c>
      <c r="B19" s="1711">
        <f>VARIABLES!N26/12</f>
        <v>0</v>
      </c>
      <c r="G19" s="21"/>
      <c r="I19" s="1384">
        <f t="shared" si="0"/>
        <v>0</v>
      </c>
      <c r="J19" s="1528">
        <f t="shared" si="1"/>
        <v>0</v>
      </c>
      <c r="L19" s="794">
        <f t="shared" si="2"/>
        <v>0</v>
      </c>
      <c r="M19" s="1525">
        <f t="shared" si="3"/>
        <v>0</v>
      </c>
    </row>
    <row r="20" spans="1:13" x14ac:dyDescent="0.3">
      <c r="A20" s="1369" t="s">
        <v>181</v>
      </c>
      <c r="B20" s="1712">
        <f>VARIABLES!N27/12</f>
        <v>0</v>
      </c>
      <c r="G20" s="21"/>
      <c r="I20" s="1384">
        <f t="shared" si="0"/>
        <v>0</v>
      </c>
      <c r="J20" s="1528">
        <f t="shared" si="1"/>
        <v>0</v>
      </c>
      <c r="L20" s="794">
        <f t="shared" si="2"/>
        <v>0</v>
      </c>
      <c r="M20" s="1525">
        <f t="shared" si="3"/>
        <v>0</v>
      </c>
    </row>
    <row r="21" spans="1:13" x14ac:dyDescent="0.3">
      <c r="A21" s="1369" t="s">
        <v>182</v>
      </c>
      <c r="B21" s="1712">
        <f>VARIABLES!N28/12</f>
        <v>0</v>
      </c>
      <c r="G21" s="21"/>
      <c r="I21" s="1384">
        <f t="shared" si="0"/>
        <v>0</v>
      </c>
      <c r="J21" s="1528">
        <f t="shared" si="1"/>
        <v>0</v>
      </c>
      <c r="L21" s="794">
        <f t="shared" si="2"/>
        <v>0</v>
      </c>
      <c r="M21" s="1525">
        <f t="shared" si="3"/>
        <v>0</v>
      </c>
    </row>
    <row r="22" spans="1:13" x14ac:dyDescent="0.3">
      <c r="A22" s="1369" t="s">
        <v>183</v>
      </c>
      <c r="B22" s="1712">
        <f>VARIABLES!N29/12</f>
        <v>0</v>
      </c>
      <c r="G22" s="21"/>
      <c r="I22" s="1384">
        <f t="shared" si="0"/>
        <v>0</v>
      </c>
      <c r="J22" s="1528">
        <f t="shared" si="1"/>
        <v>0</v>
      </c>
      <c r="L22" s="794">
        <f t="shared" si="2"/>
        <v>0</v>
      </c>
      <c r="M22" s="1525">
        <f t="shared" si="3"/>
        <v>0</v>
      </c>
    </row>
    <row r="23" spans="1:13" x14ac:dyDescent="0.3">
      <c r="A23" s="1529" t="s">
        <v>184</v>
      </c>
      <c r="B23" s="1713">
        <f>VARIABLES!N30/12</f>
        <v>0</v>
      </c>
      <c r="G23" s="21"/>
      <c r="I23" s="793">
        <f t="shared" si="0"/>
        <v>0</v>
      </c>
      <c r="J23" s="1530">
        <f t="shared" si="1"/>
        <v>0</v>
      </c>
      <c r="L23" s="794">
        <f t="shared" si="2"/>
        <v>0</v>
      </c>
      <c r="M23" s="1525">
        <f t="shared" si="3"/>
        <v>0</v>
      </c>
    </row>
    <row r="24" spans="1:13" x14ac:dyDescent="0.3">
      <c r="A24" s="1531" t="s">
        <v>185</v>
      </c>
      <c r="B24" s="1710">
        <f>SUM(B25:B28)</f>
        <v>0</v>
      </c>
      <c r="G24" s="21"/>
      <c r="I24" s="1384">
        <f t="shared" si="0"/>
        <v>0</v>
      </c>
      <c r="J24" s="1527">
        <f t="shared" si="1"/>
        <v>0</v>
      </c>
      <c r="L24" s="794">
        <f t="shared" si="2"/>
        <v>0</v>
      </c>
      <c r="M24" s="1525">
        <f t="shared" si="3"/>
        <v>0</v>
      </c>
    </row>
    <row r="25" spans="1:13" x14ac:dyDescent="0.3">
      <c r="A25" s="1369" t="s">
        <v>186</v>
      </c>
      <c r="B25" s="1711">
        <f>VARIABLES!N32/12</f>
        <v>0</v>
      </c>
      <c r="G25" s="21"/>
      <c r="I25" s="1384">
        <f t="shared" si="0"/>
        <v>0</v>
      </c>
      <c r="J25" s="1528">
        <f t="shared" si="1"/>
        <v>0</v>
      </c>
      <c r="L25" s="794">
        <f t="shared" si="2"/>
        <v>0</v>
      </c>
      <c r="M25" s="1525">
        <f t="shared" si="3"/>
        <v>0</v>
      </c>
    </row>
    <row r="26" spans="1:13" x14ac:dyDescent="0.3">
      <c r="A26" s="1369" t="s">
        <v>187</v>
      </c>
      <c r="B26" s="1712">
        <f>VARIABLES!N33/12</f>
        <v>0</v>
      </c>
      <c r="G26" s="21"/>
      <c r="I26" s="1384">
        <f t="shared" si="0"/>
        <v>0</v>
      </c>
      <c r="J26" s="1528">
        <f t="shared" si="1"/>
        <v>0</v>
      </c>
      <c r="L26" s="794">
        <f t="shared" si="2"/>
        <v>0</v>
      </c>
      <c r="M26" s="1525">
        <f t="shared" si="3"/>
        <v>0</v>
      </c>
    </row>
    <row r="27" spans="1:13" x14ac:dyDescent="0.3">
      <c r="A27" s="1369" t="s">
        <v>188</v>
      </c>
      <c r="B27" s="1714">
        <f>VARIABLES!N34/12</f>
        <v>0</v>
      </c>
      <c r="G27" s="21"/>
      <c r="I27" s="1384">
        <f t="shared" si="0"/>
        <v>0</v>
      </c>
      <c r="J27" s="1528">
        <f t="shared" si="1"/>
        <v>0</v>
      </c>
      <c r="L27" s="794">
        <f t="shared" si="2"/>
        <v>0</v>
      </c>
      <c r="M27" s="1525">
        <f t="shared" si="3"/>
        <v>0</v>
      </c>
    </row>
    <row r="28" spans="1:13" x14ac:dyDescent="0.3">
      <c r="A28" s="1529" t="s">
        <v>189</v>
      </c>
      <c r="B28" s="1714">
        <f>VARIABLES!N35/12</f>
        <v>0</v>
      </c>
      <c r="G28" s="21"/>
      <c r="I28" s="793">
        <f t="shared" si="0"/>
        <v>0</v>
      </c>
      <c r="J28" s="1530">
        <f t="shared" si="1"/>
        <v>0</v>
      </c>
      <c r="L28" s="794">
        <f t="shared" si="2"/>
        <v>0</v>
      </c>
      <c r="M28" s="1525">
        <f t="shared" si="3"/>
        <v>0</v>
      </c>
    </row>
    <row r="29" spans="1:13" x14ac:dyDescent="0.3">
      <c r="A29" s="1532" t="s">
        <v>718</v>
      </c>
      <c r="B29" s="1710">
        <f>+INVERSIONS!H10/12</f>
        <v>0</v>
      </c>
      <c r="G29" s="21"/>
      <c r="I29" s="793">
        <f t="shared" si="0"/>
        <v>0</v>
      </c>
      <c r="J29" s="1530">
        <f t="shared" si="1"/>
        <v>0</v>
      </c>
      <c r="L29" s="794">
        <f t="shared" si="2"/>
        <v>0</v>
      </c>
      <c r="M29" s="1525">
        <f t="shared" si="3"/>
        <v>0</v>
      </c>
    </row>
    <row r="30" spans="1:13" x14ac:dyDescent="0.3">
      <c r="A30" s="1532" t="s">
        <v>596</v>
      </c>
      <c r="B30" s="1710">
        <f>'Resultats per mesos'!I46/12</f>
        <v>0</v>
      </c>
      <c r="G30" s="21"/>
      <c r="I30" s="794">
        <f t="shared" si="0"/>
        <v>0</v>
      </c>
      <c r="J30" s="1436">
        <f t="shared" si="1"/>
        <v>0</v>
      </c>
      <c r="L30" s="794">
        <f t="shared" si="2"/>
        <v>0</v>
      </c>
      <c r="M30" s="1525">
        <f t="shared" si="3"/>
        <v>0</v>
      </c>
    </row>
    <row r="31" spans="1:13" x14ac:dyDescent="0.3">
      <c r="A31" s="1396" t="s">
        <v>207</v>
      </c>
      <c r="B31" s="1710">
        <f>(PERSONAL!O34+PERSONAL!O40+PERSONAL!O64+PROMOTORS!O22+PROMOTORS!O44)/12</f>
        <v>0</v>
      </c>
      <c r="G31" s="21"/>
      <c r="I31" s="794">
        <f t="shared" si="0"/>
        <v>0</v>
      </c>
      <c r="J31" s="1525">
        <f t="shared" si="1"/>
        <v>0</v>
      </c>
      <c r="L31" s="794">
        <f t="shared" si="2"/>
        <v>0</v>
      </c>
      <c r="M31" s="1525">
        <f t="shared" si="3"/>
        <v>0</v>
      </c>
    </row>
    <row r="32" spans="1:13" x14ac:dyDescent="0.3">
      <c r="A32" s="1532" t="s">
        <v>597</v>
      </c>
      <c r="B32" s="1715">
        <f>'Resultats per mesos'!I44/12</f>
        <v>0</v>
      </c>
      <c r="C32" s="1692"/>
      <c r="D32" s="1693"/>
      <c r="G32" s="21"/>
      <c r="I32" s="794">
        <f t="shared" si="0"/>
        <v>0</v>
      </c>
      <c r="J32" s="1436">
        <f t="shared" si="1"/>
        <v>0</v>
      </c>
      <c r="L32" s="794">
        <f t="shared" si="2"/>
        <v>0</v>
      </c>
      <c r="M32" s="1525">
        <f>B32*L$6</f>
        <v>0</v>
      </c>
    </row>
    <row r="33" spans="1:13" x14ac:dyDescent="0.3">
      <c r="A33" s="1396" t="s">
        <v>256</v>
      </c>
      <c r="B33" s="1716">
        <f>'Resultats per mesos'!I41/12</f>
        <v>0</v>
      </c>
      <c r="C33" s="1692"/>
      <c r="D33" s="1693"/>
      <c r="G33" s="21"/>
      <c r="I33" s="794">
        <f t="shared" si="0"/>
        <v>0</v>
      </c>
      <c r="J33" s="1525">
        <f t="shared" si="1"/>
        <v>0</v>
      </c>
      <c r="L33" s="794">
        <f>+'Tresoreria per mesos'!O43/12*L$5</f>
        <v>0</v>
      </c>
      <c r="M33" s="1525">
        <f>(+'Tresoreria per mesos'!O43/12)*L$6</f>
        <v>0</v>
      </c>
    </row>
    <row r="34" spans="1:13" ht="15.5" x14ac:dyDescent="0.35">
      <c r="A34" s="1697" t="s">
        <v>598</v>
      </c>
      <c r="B34" s="1717">
        <f>(B29+B31+B32+B33)+B24+SUM(B11:B18)</f>
        <v>0</v>
      </c>
      <c r="C34" s="1692"/>
      <c r="D34" s="1693"/>
      <c r="E34" s="21"/>
      <c r="G34" s="21"/>
      <c r="I34" s="1534">
        <f>SUM(I30:I33)+I24+SUM(I11:I18)</f>
        <v>0</v>
      </c>
      <c r="J34" s="1534">
        <f>SUM(J30:J33)+J24+SUM(J11:J18)</f>
        <v>0</v>
      </c>
      <c r="L34" s="1534">
        <f>SUM(L30:L33)+L24+SUM(L11:L18)</f>
        <v>0</v>
      </c>
      <c r="M34" s="1534">
        <f>SUM(M30:M33)+M24+SUM(M11:M18)</f>
        <v>0</v>
      </c>
    </row>
    <row r="35" spans="1:13" x14ac:dyDescent="0.3">
      <c r="B35" s="875"/>
      <c r="C35" s="1694" t="s">
        <v>599</v>
      </c>
      <c r="D35" s="1694" t="s">
        <v>600</v>
      </c>
      <c r="G35" s="21"/>
      <c r="I35" s="1362"/>
      <c r="J35" s="7"/>
      <c r="L35" s="1362"/>
      <c r="M35" s="7"/>
    </row>
    <row r="36" spans="1:13" ht="15.5" x14ac:dyDescent="0.35">
      <c r="A36" s="1698" t="s">
        <v>601</v>
      </c>
      <c r="B36" s="1718">
        <f>IF(B38=0,0,B34/B38)</f>
        <v>0</v>
      </c>
      <c r="C36" s="1695">
        <f>+'Càlcul del punt d_equilibri'!D36</f>
        <v>0</v>
      </c>
      <c r="D36" s="1695">
        <f>+'Càlcul del punt d_equilibri'!D35</f>
        <v>0</v>
      </c>
      <c r="E36" s="1537"/>
      <c r="F36" s="1537"/>
      <c r="G36" s="1538"/>
      <c r="I36" s="1539">
        <f>$J5-(VARIABLES!$B4*VARIABLES!$C4+VARIABLES!$B5*VARIABLES!$C5+VARIABLES!$B9+VARIABLES!$B10+PROMOTORS!$M14+PERSONAL!$H16)*I5</f>
        <v>0</v>
      </c>
      <c r="J36" s="1539">
        <f>$J6-(VARIABLES!$B4*VARIABLES!$C4+VARIABLES!$B5*VARIABLES!$C5+VARIABLES!$B9+VARIABLES!$B10+PROMOTORS!$M14+PERSONAL!$H16)*I6</f>
        <v>0</v>
      </c>
      <c r="L36" s="1539">
        <f>$M5-(VARIABLES!$B4*VARIABLES!$C4+VARIABLES!$B5*VARIABLES!$C5+VARIABLES!$B9+VARIABLES!$B10+PROMOTORS!$M14+PERSONAL!$H16)*L5</f>
        <v>0</v>
      </c>
      <c r="M36" s="1539">
        <f>$M6-(VARIABLES!$B4*VARIABLES!$C4+VARIABLES!$B5*VARIABLES!$C5+VARIABLES!$B9+VARIABLES!$B10+PROMOTORS!$M14+PERSONAL!$H16)*L6</f>
        <v>0</v>
      </c>
    </row>
    <row r="37" spans="1:13" ht="16" thickBot="1" x14ac:dyDescent="0.4">
      <c r="A37" s="1540"/>
      <c r="B37" s="1541"/>
      <c r="C37" s="1694" t="s">
        <v>600</v>
      </c>
      <c r="D37" s="1694" t="s">
        <v>599</v>
      </c>
      <c r="E37" s="1542"/>
      <c r="F37" s="1537"/>
      <c r="G37" s="1538"/>
      <c r="I37" s="1543">
        <f>IF(I36&gt;0,I34/I36,I34)</f>
        <v>0</v>
      </c>
      <c r="J37" s="1543">
        <f>IF(J36&gt;0,J34/J36,0)</f>
        <v>0</v>
      </c>
      <c r="L37" s="1543">
        <f>IF(L36&gt;0,L34/L36,L34)</f>
        <v>0</v>
      </c>
      <c r="M37" s="1543">
        <f>IF(M36&gt;0,M34/M36,0)</f>
        <v>0</v>
      </c>
    </row>
    <row r="38" spans="1:13" ht="16" thickBot="1" x14ac:dyDescent="0.4">
      <c r="A38" s="1700" t="s">
        <v>602</v>
      </c>
      <c r="B38" s="1705">
        <f>SUM(I37:J37)</f>
        <v>0</v>
      </c>
      <c r="C38" s="1696" t="e">
        <f>+B34/'Càlcul del punt d_equilibri'!D36</f>
        <v>#DIV/0!</v>
      </c>
      <c r="D38" s="1696" t="e">
        <f>+B34/'Càlcul del punt d_equilibri'!D35</f>
        <v>#DIV/0!</v>
      </c>
      <c r="E38" s="1538"/>
      <c r="F38" s="1537"/>
      <c r="G38" s="1538"/>
      <c r="I38" s="1545"/>
      <c r="J38" s="1546"/>
      <c r="L38" s="1545"/>
      <c r="M38" s="1546"/>
    </row>
    <row r="39" spans="1:13" ht="16" thickBot="1" x14ac:dyDescent="0.4">
      <c r="A39" s="1700" t="s">
        <v>733</v>
      </c>
      <c r="B39" s="1706">
        <f>SUM(L37:M37)</f>
        <v>0</v>
      </c>
      <c r="C39" s="1699"/>
      <c r="D39" s="1699"/>
      <c r="E39" s="1538"/>
      <c r="F39" s="1537"/>
      <c r="G39" s="1538"/>
      <c r="I39" s="1545"/>
      <c r="J39" s="1546"/>
      <c r="L39" s="1545"/>
      <c r="M39" s="1546"/>
    </row>
    <row r="40" spans="1:13" ht="15.5" x14ac:dyDescent="0.35">
      <c r="A40" s="1540"/>
      <c r="B40" s="1547"/>
      <c r="E40" s="1538"/>
      <c r="F40" s="1537"/>
      <c r="G40" s="1538"/>
      <c r="I40" s="1539">
        <f>IF(B5=0,0,I37/('INGRESSOS _ COMPRES'!O2/12))</f>
        <v>0</v>
      </c>
      <c r="J40" s="1539">
        <f>IF(B6=0,0,J37/('INGRESSOS _ COMPRES'!O17/12))</f>
        <v>0</v>
      </c>
      <c r="L40" s="1539">
        <f>IF(B5=0,0,I37/('INGRESSOS _ COMPRES'!O2/12))</f>
        <v>0</v>
      </c>
      <c r="M40" s="1539">
        <f>IF(B6=0,0,J37/('INGRESSOS _ COMPRES'!O17/12))</f>
        <v>0</v>
      </c>
    </row>
    <row r="41" spans="1:13" ht="15.5" x14ac:dyDescent="0.35">
      <c r="A41" s="1535" t="s">
        <v>603</v>
      </c>
      <c r="B41" s="1536">
        <f>IF(B7=0,0,B38/('INGRESSOS _ COMPRES'!O32/12))</f>
        <v>0</v>
      </c>
      <c r="E41" s="1537"/>
      <c r="F41" s="1537"/>
      <c r="G41" s="1538"/>
    </row>
    <row r="42" spans="1:13" x14ac:dyDescent="0.3">
      <c r="G42" s="21"/>
    </row>
    <row r="43" spans="1:13" x14ac:dyDescent="0.3">
      <c r="G43" s="21"/>
    </row>
    <row r="44" spans="1:13" hidden="1" x14ac:dyDescent="0.3">
      <c r="A44" s="1548" t="s">
        <v>604</v>
      </c>
      <c r="B44" s="21"/>
      <c r="D44" s="9"/>
      <c r="E44" s="21"/>
      <c r="F44" s="21"/>
      <c r="G44" s="21"/>
    </row>
    <row r="45" spans="1:13" ht="12.5" x14ac:dyDescent="0.25">
      <c r="B45" s="1984" t="s">
        <v>232</v>
      </c>
      <c r="C45" s="1985" t="s">
        <v>228</v>
      </c>
      <c r="D45" s="1985"/>
      <c r="E45" s="1985"/>
      <c r="F45" s="1986" t="s">
        <v>605</v>
      </c>
      <c r="G45" s="1986"/>
    </row>
    <row r="46" spans="1:13" ht="12.5" x14ac:dyDescent="0.25">
      <c r="B46" s="1984"/>
      <c r="C46" s="1549" t="s">
        <v>231</v>
      </c>
      <c r="D46" s="1427" t="s">
        <v>295</v>
      </c>
      <c r="E46" s="1427" t="s">
        <v>151</v>
      </c>
      <c r="F46" s="1550" t="s">
        <v>231</v>
      </c>
      <c r="G46" s="1550" t="s">
        <v>295</v>
      </c>
    </row>
    <row r="47" spans="1:13" hidden="1" x14ac:dyDescent="0.3">
      <c r="A47" s="1551" t="str">
        <f>IF(C47="","",MERCADERIES!A3)</f>
        <v/>
      </c>
      <c r="B47" s="1552" t="str">
        <f>IF(C47="","",MERCADERIES!D3)</f>
        <v/>
      </c>
      <c r="C47" s="1553" t="str">
        <f>IF(MERCADERIES!C3=0,"",MERCADERIES!C3)</f>
        <v/>
      </c>
      <c r="D47" s="15" t="str">
        <f t="shared" ref="D47:D58" si="4">IF(C47="","",C47*B47)</f>
        <v/>
      </c>
      <c r="E47" s="1554" t="str">
        <f t="shared" ref="E47:E58" si="5">IF(D47="","",D47/D$59)</f>
        <v/>
      </c>
      <c r="F47" s="1555" t="str">
        <f t="shared" ref="F47:F58" si="6">IF(B47="","",G47/B47)</f>
        <v/>
      </c>
      <c r="G47" s="1556" t="str">
        <f t="shared" ref="G47:G58" si="7">IF(C47="","",E47*I$37)</f>
        <v/>
      </c>
    </row>
    <row r="48" spans="1:13" hidden="1" x14ac:dyDescent="0.3">
      <c r="A48" s="1551" t="str">
        <f>IF(C48="","",MERCADERIES!A4)</f>
        <v/>
      </c>
      <c r="B48" s="1552" t="str">
        <f>IF(C48="","",MERCADERIES!D4)</f>
        <v/>
      </c>
      <c r="C48" s="1553" t="str">
        <f>IF(MERCADERIES!C4=0,"",MERCADERIES!C4)</f>
        <v/>
      </c>
      <c r="D48" s="15" t="str">
        <f t="shared" si="4"/>
        <v/>
      </c>
      <c r="E48" s="1554" t="str">
        <f t="shared" si="5"/>
        <v/>
      </c>
      <c r="F48" s="1555" t="str">
        <f t="shared" si="6"/>
        <v/>
      </c>
      <c r="G48" s="1556" t="str">
        <f t="shared" si="7"/>
        <v/>
      </c>
    </row>
    <row r="49" spans="1:7" hidden="1" x14ac:dyDescent="0.3">
      <c r="A49" s="1551" t="str">
        <f>IF(C49="","",MERCADERIES!A5)</f>
        <v/>
      </c>
      <c r="B49" s="1552" t="str">
        <f>IF(C49="","",MERCADERIES!D5)</f>
        <v/>
      </c>
      <c r="C49" s="1553" t="str">
        <f>IF(MERCADERIES!C5=0,"",MERCADERIES!C5)</f>
        <v/>
      </c>
      <c r="D49" s="15" t="str">
        <f t="shared" si="4"/>
        <v/>
      </c>
      <c r="E49" s="1554" t="str">
        <f t="shared" si="5"/>
        <v/>
      </c>
      <c r="F49" s="1555" t="str">
        <f t="shared" si="6"/>
        <v/>
      </c>
      <c r="G49" s="1556" t="str">
        <f t="shared" si="7"/>
        <v/>
      </c>
    </row>
    <row r="50" spans="1:7" hidden="1" x14ac:dyDescent="0.3">
      <c r="A50" s="1551" t="str">
        <f>IF(C50="","",MERCADERIES!A6)</f>
        <v/>
      </c>
      <c r="B50" s="1552" t="str">
        <f>IF(C50="","",MERCADERIES!D6)</f>
        <v/>
      </c>
      <c r="C50" s="1553" t="str">
        <f>IF(MERCADERIES!C6=0,"",MERCADERIES!C6)</f>
        <v/>
      </c>
      <c r="D50" s="15" t="str">
        <f t="shared" si="4"/>
        <v/>
      </c>
      <c r="E50" s="1554" t="str">
        <f t="shared" si="5"/>
        <v/>
      </c>
      <c r="F50" s="1555" t="str">
        <f t="shared" si="6"/>
        <v/>
      </c>
      <c r="G50" s="1556" t="str">
        <f t="shared" si="7"/>
        <v/>
      </c>
    </row>
    <row r="51" spans="1:7" hidden="1" x14ac:dyDescent="0.3">
      <c r="A51" s="1551" t="str">
        <f>IF(C51="","",MERCADERIES!A7)</f>
        <v/>
      </c>
      <c r="B51" s="1552" t="str">
        <f>IF(C51="","",MERCADERIES!D7)</f>
        <v/>
      </c>
      <c r="C51" s="1553" t="str">
        <f>IF(MERCADERIES!C7=0,"",MERCADERIES!C7)</f>
        <v/>
      </c>
      <c r="D51" s="15" t="str">
        <f t="shared" si="4"/>
        <v/>
      </c>
      <c r="E51" s="1554" t="str">
        <f t="shared" si="5"/>
        <v/>
      </c>
      <c r="F51" s="1555" t="str">
        <f t="shared" si="6"/>
        <v/>
      </c>
      <c r="G51" s="1556" t="str">
        <f t="shared" si="7"/>
        <v/>
      </c>
    </row>
    <row r="52" spans="1:7" hidden="1" x14ac:dyDescent="0.3">
      <c r="A52" s="1551" t="str">
        <f>IF(C52="","",MERCADERIES!A8)</f>
        <v/>
      </c>
      <c r="B52" s="1552" t="str">
        <f>IF(C52="","",MERCADERIES!D8)</f>
        <v/>
      </c>
      <c r="C52" s="1553" t="str">
        <f>IF(MERCADERIES!C8=0,"",MERCADERIES!C8)</f>
        <v/>
      </c>
      <c r="D52" s="15" t="str">
        <f t="shared" si="4"/>
        <v/>
      </c>
      <c r="E52" s="1554" t="str">
        <f t="shared" si="5"/>
        <v/>
      </c>
      <c r="F52" s="1555" t="str">
        <f t="shared" si="6"/>
        <v/>
      </c>
      <c r="G52" s="1556" t="str">
        <f t="shared" si="7"/>
        <v/>
      </c>
    </row>
    <row r="53" spans="1:7" hidden="1" x14ac:dyDescent="0.3">
      <c r="A53" s="1551" t="str">
        <f>IF(C53="","",MERCADERIES!A9)</f>
        <v/>
      </c>
      <c r="B53" s="1552" t="str">
        <f>IF(C53="","",MERCADERIES!D9)</f>
        <v/>
      </c>
      <c r="C53" s="1553" t="str">
        <f>IF(MERCADERIES!C9=0,"",MERCADERIES!C9)</f>
        <v/>
      </c>
      <c r="D53" s="15" t="str">
        <f t="shared" si="4"/>
        <v/>
      </c>
      <c r="E53" s="1554" t="str">
        <f t="shared" si="5"/>
        <v/>
      </c>
      <c r="F53" s="1555" t="str">
        <f t="shared" si="6"/>
        <v/>
      </c>
      <c r="G53" s="1556" t="str">
        <f t="shared" si="7"/>
        <v/>
      </c>
    </row>
    <row r="54" spans="1:7" hidden="1" x14ac:dyDescent="0.3">
      <c r="A54" s="1551" t="str">
        <f>IF(C54="","",MERCADERIES!A10)</f>
        <v/>
      </c>
      <c r="B54" s="1552" t="str">
        <f>IF(C54="","",MERCADERIES!D10)</f>
        <v/>
      </c>
      <c r="C54" s="1553" t="str">
        <f>IF(MERCADERIES!C10=0,"",MERCADERIES!C10)</f>
        <v/>
      </c>
      <c r="D54" s="15" t="str">
        <f t="shared" si="4"/>
        <v/>
      </c>
      <c r="E54" s="1554" t="str">
        <f t="shared" si="5"/>
        <v/>
      </c>
      <c r="F54" s="1555" t="str">
        <f t="shared" si="6"/>
        <v/>
      </c>
      <c r="G54" s="1556" t="str">
        <f t="shared" si="7"/>
        <v/>
      </c>
    </row>
    <row r="55" spans="1:7" hidden="1" x14ac:dyDescent="0.3">
      <c r="A55" s="1551" t="str">
        <f>IF(C55="","",MERCADERIES!A11)</f>
        <v/>
      </c>
      <c r="B55" s="1552" t="str">
        <f>IF(C55="","",MERCADERIES!D11)</f>
        <v/>
      </c>
      <c r="C55" s="1553" t="str">
        <f>IF(MERCADERIES!C11=0,"",MERCADERIES!C11)</f>
        <v/>
      </c>
      <c r="D55" s="15" t="str">
        <f t="shared" si="4"/>
        <v/>
      </c>
      <c r="E55" s="1554" t="str">
        <f t="shared" si="5"/>
        <v/>
      </c>
      <c r="F55" s="1555" t="str">
        <f t="shared" si="6"/>
        <v/>
      </c>
      <c r="G55" s="1556" t="str">
        <f t="shared" si="7"/>
        <v/>
      </c>
    </row>
    <row r="56" spans="1:7" hidden="1" x14ac:dyDescent="0.3">
      <c r="A56" s="1551" t="str">
        <f>IF(C56="","",MERCADERIES!A12)</f>
        <v/>
      </c>
      <c r="B56" s="1552" t="str">
        <f>IF(C56="","",MERCADERIES!D12)</f>
        <v/>
      </c>
      <c r="C56" s="1553" t="str">
        <f>IF(MERCADERIES!C12=0,"",MERCADERIES!C12)</f>
        <v/>
      </c>
      <c r="D56" s="15" t="str">
        <f t="shared" si="4"/>
        <v/>
      </c>
      <c r="E56" s="1554" t="str">
        <f t="shared" si="5"/>
        <v/>
      </c>
      <c r="F56" s="1555" t="str">
        <f t="shared" si="6"/>
        <v/>
      </c>
      <c r="G56" s="1556" t="str">
        <f t="shared" si="7"/>
        <v/>
      </c>
    </row>
    <row r="57" spans="1:7" hidden="1" x14ac:dyDescent="0.3">
      <c r="A57" s="1551" t="str">
        <f>IF(C57="","",MERCADERIES!A13)</f>
        <v/>
      </c>
      <c r="B57" s="1552" t="str">
        <f>IF(C57="","",MERCADERIES!D13)</f>
        <v/>
      </c>
      <c r="C57" s="1553" t="str">
        <f>IF(MERCADERIES!C13=0,"",MERCADERIES!C13)</f>
        <v/>
      </c>
      <c r="D57" s="15" t="str">
        <f t="shared" si="4"/>
        <v/>
      </c>
      <c r="E57" s="1554" t="str">
        <f t="shared" si="5"/>
        <v/>
      </c>
      <c r="F57" s="1555" t="str">
        <f t="shared" si="6"/>
        <v/>
      </c>
      <c r="G57" s="1556" t="str">
        <f t="shared" si="7"/>
        <v/>
      </c>
    </row>
    <row r="58" spans="1:7" hidden="1" x14ac:dyDescent="0.3">
      <c r="A58" s="1551" t="str">
        <f>IF(C58="","",MERCADERIES!A14)</f>
        <v/>
      </c>
      <c r="B58" s="1552" t="str">
        <f>IF(C58="","",MERCADERIES!D14)</f>
        <v/>
      </c>
      <c r="C58" s="1553" t="str">
        <f>IF(MERCADERIES!C14=0,"",MERCADERIES!C14)</f>
        <v/>
      </c>
      <c r="D58" s="15" t="str">
        <f t="shared" si="4"/>
        <v/>
      </c>
      <c r="E58" s="1554" t="str">
        <f t="shared" si="5"/>
        <v/>
      </c>
      <c r="F58" s="1555" t="str">
        <f t="shared" si="6"/>
        <v/>
      </c>
      <c r="G58" s="1556" t="str">
        <f t="shared" si="7"/>
        <v/>
      </c>
    </row>
    <row r="59" spans="1:7" hidden="1" x14ac:dyDescent="0.3">
      <c r="A59" s="22" t="s">
        <v>606</v>
      </c>
      <c r="B59" s="1557"/>
      <c r="C59" s="1558"/>
      <c r="D59" s="1072">
        <f>SUM(D47:D58)</f>
        <v>0</v>
      </c>
      <c r="E59" s="1559">
        <f>SUM(E47:E58)</f>
        <v>0</v>
      </c>
      <c r="F59" s="1558"/>
      <c r="G59" s="1556">
        <f>SUM(G47:G58)</f>
        <v>0</v>
      </c>
    </row>
    <row r="60" spans="1:7" x14ac:dyDescent="0.3">
      <c r="A60" s="1560" t="s">
        <v>607</v>
      </c>
      <c r="B60" s="1561"/>
      <c r="C60" s="1562"/>
      <c r="D60" s="1563"/>
      <c r="E60" s="1563"/>
      <c r="F60" s="1563"/>
      <c r="G60" s="1563"/>
    </row>
    <row r="61" spans="1:7" x14ac:dyDescent="0.3">
      <c r="A61" s="1551" t="str">
        <f>IF(C61="","",SERVEIS!A3)</f>
        <v/>
      </c>
      <c r="B61" s="1552" t="str">
        <f>IF(C61="","",SERVEIS!D3)</f>
        <v/>
      </c>
      <c r="C61" s="1553" t="str">
        <f>IF(+'Introducció dades'!X156=0,"",SERVEIS!$C$3)</f>
        <v/>
      </c>
      <c r="D61" s="15" t="str">
        <f t="shared" ref="D61:D72" si="8">IF(C61="","",C61*B61)</f>
        <v/>
      </c>
      <c r="E61" s="1554" t="str">
        <f t="shared" ref="E61:E72" si="9">IF(D61="","",D61/D$73)</f>
        <v/>
      </c>
      <c r="F61" s="1555" t="str">
        <f t="shared" ref="F61:F72" si="10">IF(B61="","",G61/B61)</f>
        <v/>
      </c>
      <c r="G61" s="1564" t="str">
        <f t="shared" ref="G61:G72" si="11">IF(C61="","",E61*J$37)</f>
        <v/>
      </c>
    </row>
    <row r="62" spans="1:7" x14ac:dyDescent="0.3">
      <c r="A62" s="1551" t="str">
        <f>IF(C62="","",SERVEIS!A4)</f>
        <v/>
      </c>
      <c r="B62" s="1552" t="str">
        <f>IF(C62="","",SERVEIS!D4)</f>
        <v/>
      </c>
      <c r="C62" s="1553" t="str">
        <f>IF(+'Introducció dades'!X157=0,"",SERVEIS!$C$4)</f>
        <v/>
      </c>
      <c r="D62" s="15" t="str">
        <f t="shared" si="8"/>
        <v/>
      </c>
      <c r="E62" s="1554" t="str">
        <f t="shared" si="9"/>
        <v/>
      </c>
      <c r="F62" s="1555" t="str">
        <f t="shared" si="10"/>
        <v/>
      </c>
      <c r="G62" s="1564" t="str">
        <f t="shared" si="11"/>
        <v/>
      </c>
    </row>
    <row r="63" spans="1:7" x14ac:dyDescent="0.3">
      <c r="A63" s="1551" t="str">
        <f>IF(C63="","",SERVEIS!A5)</f>
        <v/>
      </c>
      <c r="B63" s="1552" t="str">
        <f>IF(C63="","",SERVEIS!D5)</f>
        <v/>
      </c>
      <c r="C63" s="1553" t="str">
        <f>IF(+'Introducció dades'!X158=0,"",SERVEIS!$C$5)</f>
        <v/>
      </c>
      <c r="D63" s="15" t="str">
        <f t="shared" si="8"/>
        <v/>
      </c>
      <c r="E63" s="1554" t="str">
        <f t="shared" si="9"/>
        <v/>
      </c>
      <c r="F63" s="1555" t="str">
        <f t="shared" si="10"/>
        <v/>
      </c>
      <c r="G63" s="1564" t="str">
        <f t="shared" si="11"/>
        <v/>
      </c>
    </row>
    <row r="64" spans="1:7" x14ac:dyDescent="0.3">
      <c r="A64" s="1551" t="str">
        <f>IF(C64="","",SERVEIS!A6)</f>
        <v/>
      </c>
      <c r="B64" s="1552" t="str">
        <f>IF(C64="","",SERVEIS!D6)</f>
        <v/>
      </c>
      <c r="C64" s="1553" t="str">
        <f>IF(+'Introducció dades'!X159=0,"",SERVEIS!$C$6)</f>
        <v/>
      </c>
      <c r="D64" s="15" t="str">
        <f t="shared" si="8"/>
        <v/>
      </c>
      <c r="E64" s="1554" t="str">
        <f t="shared" si="9"/>
        <v/>
      </c>
      <c r="F64" s="1555" t="str">
        <f t="shared" si="10"/>
        <v/>
      </c>
      <c r="G64" s="1564" t="str">
        <f t="shared" si="11"/>
        <v/>
      </c>
    </row>
    <row r="65" spans="1:13" x14ac:dyDescent="0.3">
      <c r="A65" s="1551" t="str">
        <f>IF(C65="","",SERVEIS!A7)</f>
        <v/>
      </c>
      <c r="B65" s="1552" t="str">
        <f>IF(C65="","",SERVEIS!D7)</f>
        <v/>
      </c>
      <c r="C65" s="1553" t="str">
        <f>IF(+'Introducció dades'!X160=0,"",SERVEIS!$C$7)</f>
        <v/>
      </c>
      <c r="D65" s="15" t="str">
        <f t="shared" si="8"/>
        <v/>
      </c>
      <c r="E65" s="1554" t="str">
        <f t="shared" si="9"/>
        <v/>
      </c>
      <c r="F65" s="1555" t="str">
        <f t="shared" si="10"/>
        <v/>
      </c>
      <c r="G65" s="1564" t="str">
        <f t="shared" si="11"/>
        <v/>
      </c>
    </row>
    <row r="66" spans="1:13" x14ac:dyDescent="0.3">
      <c r="A66" s="1551" t="str">
        <f>IF(C66="","",SERVEIS!A8)</f>
        <v/>
      </c>
      <c r="B66" s="1552" t="str">
        <f>IF(C66="","",SERVEIS!D8)</f>
        <v/>
      </c>
      <c r="C66" s="1553" t="str">
        <f>IF(+'Introducció dades'!X161=0,"",SERVEIS!$C$8)</f>
        <v/>
      </c>
      <c r="D66" s="15" t="str">
        <f t="shared" si="8"/>
        <v/>
      </c>
      <c r="E66" s="1554" t="str">
        <f t="shared" si="9"/>
        <v/>
      </c>
      <c r="F66" s="1555" t="str">
        <f t="shared" si="10"/>
        <v/>
      </c>
      <c r="G66" s="1564" t="str">
        <f t="shared" si="11"/>
        <v/>
      </c>
    </row>
    <row r="67" spans="1:13" x14ac:dyDescent="0.3">
      <c r="A67" s="1551" t="str">
        <f>IF(C67="","",SERVEIS!A9)</f>
        <v/>
      </c>
      <c r="B67" s="1552" t="str">
        <f>IF(C67="","",SERVEIS!D9)</f>
        <v/>
      </c>
      <c r="C67" s="1553" t="str">
        <f>IF(+'Introducció dades'!X162=0,"",SERVEIS!$C$9)</f>
        <v/>
      </c>
      <c r="D67" s="15" t="str">
        <f t="shared" si="8"/>
        <v/>
      </c>
      <c r="E67" s="1554" t="str">
        <f t="shared" si="9"/>
        <v/>
      </c>
      <c r="F67" s="1555" t="str">
        <f t="shared" si="10"/>
        <v/>
      </c>
      <c r="G67" s="1564" t="str">
        <f t="shared" si="11"/>
        <v/>
      </c>
    </row>
    <row r="68" spans="1:13" x14ac:dyDescent="0.3">
      <c r="A68" s="1551" t="str">
        <f>IF(C68="","",SERVEIS!A10)</f>
        <v/>
      </c>
      <c r="B68" s="1552" t="str">
        <f>IF(C68="","",SERVEIS!D10)</f>
        <v/>
      </c>
      <c r="C68" s="1553" t="str">
        <f>IF(+'Introducció dades'!X163=0,"",SERVEIS!$C$10)</f>
        <v/>
      </c>
      <c r="D68" s="15" t="str">
        <f t="shared" si="8"/>
        <v/>
      </c>
      <c r="E68" s="1554" t="str">
        <f t="shared" si="9"/>
        <v/>
      </c>
      <c r="F68" s="1555" t="str">
        <f t="shared" si="10"/>
        <v/>
      </c>
      <c r="G68" s="1564" t="str">
        <f t="shared" si="11"/>
        <v/>
      </c>
    </row>
    <row r="69" spans="1:13" x14ac:dyDescent="0.3">
      <c r="A69" s="1551" t="str">
        <f>IF(C69="","",SERVEIS!A11)</f>
        <v/>
      </c>
      <c r="B69" s="1552" t="str">
        <f>IF(C69="","",SERVEIS!D11)</f>
        <v/>
      </c>
      <c r="C69" s="1553" t="str">
        <f>IF(+'Introducció dades'!X164=0,"",SERVEIS!$C$11)</f>
        <v/>
      </c>
      <c r="D69" s="15" t="str">
        <f t="shared" si="8"/>
        <v/>
      </c>
      <c r="E69" s="1554" t="str">
        <f t="shared" si="9"/>
        <v/>
      </c>
      <c r="F69" s="1555" t="str">
        <f t="shared" si="10"/>
        <v/>
      </c>
      <c r="G69" s="1564" t="str">
        <f t="shared" si="11"/>
        <v/>
      </c>
    </row>
    <row r="70" spans="1:13" x14ac:dyDescent="0.3">
      <c r="A70" s="1551" t="str">
        <f>IF(C70="","",SERVEIS!A12)</f>
        <v/>
      </c>
      <c r="B70" s="1552" t="str">
        <f>IF(C70="","",SERVEIS!D12)</f>
        <v/>
      </c>
      <c r="C70" s="1553" t="str">
        <f>IF(+'Introducció dades'!X165=0,"",SERVEIS!$C$12)</f>
        <v/>
      </c>
      <c r="D70" s="15" t="str">
        <f t="shared" si="8"/>
        <v/>
      </c>
      <c r="E70" s="1554" t="str">
        <f t="shared" si="9"/>
        <v/>
      </c>
      <c r="F70" s="1555" t="str">
        <f t="shared" si="10"/>
        <v/>
      </c>
      <c r="G70" s="1564" t="str">
        <f t="shared" si="11"/>
        <v/>
      </c>
    </row>
    <row r="71" spans="1:13" x14ac:dyDescent="0.3">
      <c r="A71" s="1551" t="str">
        <f>IF(C71="","",SERVEIS!A13)</f>
        <v/>
      </c>
      <c r="B71" s="1552" t="str">
        <f>IF(C71="","",SERVEIS!D13)</f>
        <v/>
      </c>
      <c r="C71" s="1553" t="str">
        <f>IF(+'Introducció dades'!X166=0,"",SERVEIS!$C$13)</f>
        <v/>
      </c>
      <c r="D71" s="15" t="str">
        <f t="shared" si="8"/>
        <v/>
      </c>
      <c r="E71" s="1554" t="str">
        <f t="shared" si="9"/>
        <v/>
      </c>
      <c r="F71" s="1555" t="str">
        <f t="shared" si="10"/>
        <v/>
      </c>
      <c r="G71" s="1564" t="str">
        <f t="shared" si="11"/>
        <v/>
      </c>
    </row>
    <row r="72" spans="1:13" x14ac:dyDescent="0.3">
      <c r="A72" s="1565" t="str">
        <f>IF(C72="","",SERVEIS!A14)</f>
        <v/>
      </c>
      <c r="B72" s="1566" t="str">
        <f>IF(C72="","",SERVEIS!D14)</f>
        <v/>
      </c>
      <c r="C72" s="1553" t="str">
        <f>IF(+'Introducció dades'!X167=0,"",SERVEIS!$C$14)</f>
        <v/>
      </c>
      <c r="D72" s="1140" t="str">
        <f t="shared" si="8"/>
        <v/>
      </c>
      <c r="E72" s="1567" t="str">
        <f t="shared" si="9"/>
        <v/>
      </c>
      <c r="F72" s="1568" t="str">
        <f t="shared" si="10"/>
        <v/>
      </c>
      <c r="G72" s="1569" t="str">
        <f t="shared" si="11"/>
        <v/>
      </c>
    </row>
    <row r="73" spans="1:13" x14ac:dyDescent="0.3">
      <c r="A73" s="1570" t="s">
        <v>608</v>
      </c>
      <c r="B73" s="1571"/>
      <c r="C73" s="1572"/>
      <c r="D73" s="1237">
        <f>SUM(D61:D72)</f>
        <v>0</v>
      </c>
      <c r="E73" s="1573">
        <f>SUM(E61:E72)</f>
        <v>0</v>
      </c>
      <c r="F73" s="1572"/>
      <c r="G73" s="1574">
        <f>SUM(G61:G72)</f>
        <v>0</v>
      </c>
    </row>
    <row r="74" spans="1:13" x14ac:dyDescent="0.3">
      <c r="A74" s="1220"/>
      <c r="B74" s="478"/>
      <c r="C74" s="1575"/>
      <c r="D74" s="1576"/>
      <c r="E74" s="1577"/>
      <c r="F74" s="1575"/>
      <c r="G74" s="1578"/>
    </row>
    <row r="75" spans="1:13" ht="276.75" customHeight="1" x14ac:dyDescent="0.3"/>
    <row r="76" spans="1:13" ht="120.75" customHeight="1" x14ac:dyDescent="0.3"/>
    <row r="77" spans="1:13" ht="25.5" customHeight="1" x14ac:dyDescent="0.3">
      <c r="A77" s="210" t="s">
        <v>47</v>
      </c>
    </row>
    <row r="78" spans="1:13" x14ac:dyDescent="0.3">
      <c r="A78" s="26"/>
    </row>
    <row r="79" spans="1:13" x14ac:dyDescent="0.3">
      <c r="A79" s="26"/>
      <c r="C79"/>
      <c r="D79"/>
      <c r="I79" s="1014"/>
      <c r="J79" s="1835" t="s">
        <v>592</v>
      </c>
      <c r="L79" s="1014"/>
      <c r="M79" s="1835" t="s">
        <v>592</v>
      </c>
    </row>
    <row r="80" spans="1:13" x14ac:dyDescent="0.3">
      <c r="C80"/>
      <c r="D80"/>
      <c r="I80" s="1513" t="s">
        <v>151</v>
      </c>
      <c r="J80" s="1835"/>
      <c r="L80" s="1513" t="s">
        <v>151</v>
      </c>
      <c r="M80" s="1835"/>
    </row>
    <row r="81" spans="1:13" hidden="1" x14ac:dyDescent="0.3">
      <c r="A81" s="1514" t="s">
        <v>354</v>
      </c>
      <c r="B81" s="15">
        <f>'INGRESSOS _ COMPRES'!O68/12</f>
        <v>0</v>
      </c>
      <c r="C81"/>
      <c r="D81"/>
      <c r="I81" s="878">
        <f>IF(B$83=0,0,B81/B$83)</f>
        <v>0</v>
      </c>
      <c r="J81" s="878">
        <f>IF(B81=0,0,('INGRESSOS _ COMPRES'!O68-'INGRESSOS _ COMPRES'!O100)/'INGRESSOS _ COMPRES'!O68)</f>
        <v>0</v>
      </c>
      <c r="L81" s="878">
        <f>IF(E$83=0,0,E81/E$83)</f>
        <v>0</v>
      </c>
      <c r="M81" s="878">
        <f>IF(E81=0,0,('INGRESSOS _ COMPRES'!R68-'INGRESSOS _ COMPRES'!R100)/'INGRESSOS _ COMPRES'!R68)</f>
        <v>0</v>
      </c>
    </row>
    <row r="82" spans="1:13" ht="14" x14ac:dyDescent="0.3">
      <c r="A82" s="1579" t="str">
        <f>+A6</f>
        <v>INGRESSOS MENSUALS</v>
      </c>
      <c r="B82" s="1516">
        <f>'INGRESSOS _ COMPRES'!O83/12</f>
        <v>0</v>
      </c>
      <c r="C82"/>
      <c r="D82"/>
      <c r="I82" s="878">
        <f>IF(B$83=0,0,B82/B$83)</f>
        <v>0</v>
      </c>
      <c r="J82" s="878">
        <f>IF(B82=0,0,('INGRESSOS _ COMPRES'!O83-'INGRESSOS _ COMPRES'!O115)/'INGRESSOS _ COMPRES'!O83)</f>
        <v>0</v>
      </c>
      <c r="L82" s="878">
        <f>IF(B$83=0,0,B82/B$83)</f>
        <v>0</v>
      </c>
      <c r="M82" s="878">
        <f>IF(B82=0,0,('INGRESSOS _ COMPRES'!O83-'INGRESSOS _ COMPRES'!O115)/'INGRESSOS _ COMPRES'!O83)</f>
        <v>0</v>
      </c>
    </row>
    <row r="83" spans="1:13" hidden="1" x14ac:dyDescent="0.3">
      <c r="A83" s="1513" t="s">
        <v>77</v>
      </c>
      <c r="B83" s="15">
        <f>SUM(B81:B82)</f>
        <v>0</v>
      </c>
      <c r="C83"/>
      <c r="D83"/>
      <c r="I83" s="878">
        <f>IF(B$83=0,0,B83/B$83)</f>
        <v>0</v>
      </c>
      <c r="J83" s="878">
        <f>J81*I81+J82*I82</f>
        <v>0</v>
      </c>
      <c r="L83" s="878">
        <f>IF(E$83=0,0,E83/E$83)</f>
        <v>0</v>
      </c>
      <c r="M83" s="878">
        <f>M81*L81+M82*L82</f>
        <v>0</v>
      </c>
    </row>
    <row r="84" spans="1:13" ht="15" customHeight="1" x14ac:dyDescent="0.3">
      <c r="I84" s="1362"/>
      <c r="J84" s="7"/>
      <c r="L84" s="1362"/>
      <c r="M84" s="7"/>
    </row>
    <row r="85" spans="1:13" ht="15" customHeight="1" x14ac:dyDescent="0.35">
      <c r="B85" s="1580"/>
      <c r="I85" s="1580"/>
      <c r="J85" s="7"/>
      <c r="L85" s="1580"/>
      <c r="M85" s="7"/>
    </row>
    <row r="86" spans="1:13" ht="14" x14ac:dyDescent="0.3">
      <c r="A86" s="1581" t="str">
        <f>+A10</f>
        <v>COSTOS FIXOS MENSUALS</v>
      </c>
      <c r="B86" s="1520"/>
      <c r="I86" s="1523" t="s">
        <v>311</v>
      </c>
      <c r="J86" s="1524" t="s">
        <v>334</v>
      </c>
      <c r="L86" s="1523" t="s">
        <v>311</v>
      </c>
      <c r="M86" s="1524" t="s">
        <v>334</v>
      </c>
    </row>
    <row r="87" spans="1:13" x14ac:dyDescent="0.3">
      <c r="A87" s="1391" t="str">
        <f>+A11</f>
        <v>LLOGUERS</v>
      </c>
      <c r="B87" s="1710">
        <f>VARIABLES!N78/12</f>
        <v>0</v>
      </c>
      <c r="I87" s="794">
        <f t="shared" ref="I87:I108" si="12">B87*I$81</f>
        <v>0</v>
      </c>
      <c r="J87" s="794">
        <f t="shared" ref="J87:J108" si="13">B87*I$82</f>
        <v>0</v>
      </c>
      <c r="L87" s="794">
        <f>B87*L$81</f>
        <v>0</v>
      </c>
      <c r="M87" s="794">
        <f>B87*L$82</f>
        <v>0</v>
      </c>
    </row>
    <row r="88" spans="1:13" x14ac:dyDescent="0.3">
      <c r="A88" s="1391" t="s">
        <v>717</v>
      </c>
      <c r="B88" s="1710">
        <f>+VARIABLES!N79/12</f>
        <v>0</v>
      </c>
      <c r="I88" s="794">
        <f t="shared" si="12"/>
        <v>0</v>
      </c>
      <c r="J88" s="794">
        <f t="shared" si="13"/>
        <v>0</v>
      </c>
      <c r="L88" s="794">
        <f t="shared" ref="L88:L107" si="14">B88*L$81</f>
        <v>0</v>
      </c>
      <c r="M88" s="794">
        <f t="shared" ref="M88:M107" si="15">B88*L$82</f>
        <v>0</v>
      </c>
    </row>
    <row r="89" spans="1:13" x14ac:dyDescent="0.3">
      <c r="A89" s="1391" t="str">
        <f t="shared" ref="A89:A104" si="16">+A13</f>
        <v>REPARACIONS</v>
      </c>
      <c r="B89" s="1710">
        <f>VARIABLES!N80/12</f>
        <v>0</v>
      </c>
      <c r="I89" s="794">
        <f t="shared" si="12"/>
        <v>0</v>
      </c>
      <c r="J89" s="1525">
        <f t="shared" si="13"/>
        <v>0</v>
      </c>
      <c r="L89" s="794">
        <f t="shared" si="14"/>
        <v>0</v>
      </c>
      <c r="M89" s="794">
        <f t="shared" si="15"/>
        <v>0</v>
      </c>
    </row>
    <row r="90" spans="1:13" x14ac:dyDescent="0.3">
      <c r="A90" s="1391" t="str">
        <f t="shared" si="16"/>
        <v>SERV. PROF. IND.</v>
      </c>
      <c r="B90" s="1710">
        <f>VARIABLES!N81/12</f>
        <v>0</v>
      </c>
      <c r="I90" s="794">
        <f t="shared" si="12"/>
        <v>0</v>
      </c>
      <c r="J90" s="1525">
        <f t="shared" si="13"/>
        <v>0</v>
      </c>
      <c r="L90" s="794">
        <f t="shared" si="14"/>
        <v>0</v>
      </c>
      <c r="M90" s="794">
        <f t="shared" si="15"/>
        <v>0</v>
      </c>
    </row>
    <row r="91" spans="1:13" x14ac:dyDescent="0.3">
      <c r="A91" s="1391" t="str">
        <f t="shared" si="16"/>
        <v>TRANSPORTS</v>
      </c>
      <c r="B91" s="1710">
        <f>VARIABLES!N83/12</f>
        <v>0</v>
      </c>
      <c r="I91" s="794">
        <f t="shared" si="12"/>
        <v>0</v>
      </c>
      <c r="J91" s="1525">
        <f t="shared" si="13"/>
        <v>0</v>
      </c>
      <c r="L91" s="794">
        <f t="shared" si="14"/>
        <v>0</v>
      </c>
      <c r="M91" s="794">
        <f t="shared" si="15"/>
        <v>0</v>
      </c>
    </row>
    <row r="92" spans="1:13" x14ac:dyDescent="0.3">
      <c r="A92" s="1391" t="str">
        <f t="shared" si="16"/>
        <v>PRIMES D'ASSEGURANCES</v>
      </c>
      <c r="B92" s="1710">
        <f>VARIABLES!N84/12</f>
        <v>0</v>
      </c>
      <c r="I92" s="794">
        <f t="shared" si="12"/>
        <v>0</v>
      </c>
      <c r="J92" s="1525">
        <f t="shared" si="13"/>
        <v>0</v>
      </c>
      <c r="L92" s="794">
        <f t="shared" si="14"/>
        <v>0</v>
      </c>
      <c r="M92" s="794">
        <f t="shared" si="15"/>
        <v>0</v>
      </c>
    </row>
    <row r="93" spans="1:13" x14ac:dyDescent="0.3">
      <c r="A93" s="1391" t="str">
        <f t="shared" si="16"/>
        <v>PUBLICITAT</v>
      </c>
      <c r="B93" s="1710">
        <f>VARIABLES!N86/12-(B82*'Introducció dades'!E229)</f>
        <v>0</v>
      </c>
      <c r="I93" s="794">
        <f t="shared" si="12"/>
        <v>0</v>
      </c>
      <c r="J93" s="1525">
        <f t="shared" si="13"/>
        <v>0</v>
      </c>
      <c r="L93" s="794">
        <f t="shared" si="14"/>
        <v>0</v>
      </c>
      <c r="M93" s="794">
        <f t="shared" si="15"/>
        <v>0</v>
      </c>
    </row>
    <row r="94" spans="1:13" x14ac:dyDescent="0.3">
      <c r="A94" s="1582" t="str">
        <f t="shared" si="16"/>
        <v>SUBMINISTRAMENTS</v>
      </c>
      <c r="B94" s="1710">
        <f>SUM(B95:B99)</f>
        <v>0</v>
      </c>
      <c r="I94" s="796">
        <f t="shared" si="12"/>
        <v>0</v>
      </c>
      <c r="J94" s="1527">
        <f t="shared" si="13"/>
        <v>0</v>
      </c>
      <c r="L94" s="794">
        <f t="shared" si="14"/>
        <v>0</v>
      </c>
      <c r="M94" s="794">
        <f t="shared" si="15"/>
        <v>0</v>
      </c>
    </row>
    <row r="95" spans="1:13" x14ac:dyDescent="0.3">
      <c r="A95" s="1019" t="str">
        <f t="shared" si="16"/>
        <v>Aigua</v>
      </c>
      <c r="B95" s="1711">
        <f>VARIABLES!N88/12</f>
        <v>0</v>
      </c>
      <c r="I95" s="1384">
        <f t="shared" si="12"/>
        <v>0</v>
      </c>
      <c r="J95" s="1528">
        <f t="shared" si="13"/>
        <v>0</v>
      </c>
      <c r="L95" s="794">
        <f t="shared" si="14"/>
        <v>0</v>
      </c>
      <c r="M95" s="794">
        <f t="shared" si="15"/>
        <v>0</v>
      </c>
    </row>
    <row r="96" spans="1:13" x14ac:dyDescent="0.3">
      <c r="A96" s="1019" t="str">
        <f t="shared" si="16"/>
        <v>Gas</v>
      </c>
      <c r="B96" s="1712">
        <f>VARIABLES!N89/12</f>
        <v>0</v>
      </c>
      <c r="I96" s="1384">
        <f t="shared" si="12"/>
        <v>0</v>
      </c>
      <c r="J96" s="1528">
        <f t="shared" si="13"/>
        <v>0</v>
      </c>
      <c r="L96" s="794">
        <f t="shared" si="14"/>
        <v>0</v>
      </c>
      <c r="M96" s="794">
        <f t="shared" si="15"/>
        <v>0</v>
      </c>
    </row>
    <row r="97" spans="1:13" x14ac:dyDescent="0.3">
      <c r="A97" s="1019" t="str">
        <f t="shared" si="16"/>
        <v>Electricitat</v>
      </c>
      <c r="B97" s="1712">
        <f>VARIABLES!N90/12</f>
        <v>0</v>
      </c>
      <c r="I97" s="1384">
        <f t="shared" si="12"/>
        <v>0</v>
      </c>
      <c r="J97" s="1528">
        <f t="shared" si="13"/>
        <v>0</v>
      </c>
      <c r="L97" s="794">
        <f t="shared" si="14"/>
        <v>0</v>
      </c>
      <c r="M97" s="794">
        <f t="shared" si="15"/>
        <v>0</v>
      </c>
    </row>
    <row r="98" spans="1:13" x14ac:dyDescent="0.3">
      <c r="A98" s="1019" t="str">
        <f t="shared" si="16"/>
        <v>Combustible</v>
      </c>
      <c r="B98" s="1712">
        <f>VARIABLES!N91/12</f>
        <v>0</v>
      </c>
      <c r="I98" s="1384">
        <f t="shared" si="12"/>
        <v>0</v>
      </c>
      <c r="J98" s="1528">
        <f t="shared" si="13"/>
        <v>0</v>
      </c>
      <c r="L98" s="794">
        <f t="shared" si="14"/>
        <v>0</v>
      </c>
      <c r="M98" s="794">
        <f t="shared" si="15"/>
        <v>0</v>
      </c>
    </row>
    <row r="99" spans="1:13" x14ac:dyDescent="0.3">
      <c r="A99" s="1583" t="str">
        <f t="shared" si="16"/>
        <v>Telèfon, fax i internet</v>
      </c>
      <c r="B99" s="1713">
        <f>VARIABLES!N92/12</f>
        <v>0</v>
      </c>
      <c r="I99" s="793">
        <f t="shared" si="12"/>
        <v>0</v>
      </c>
      <c r="J99" s="1530">
        <f t="shared" si="13"/>
        <v>0</v>
      </c>
      <c r="L99" s="794">
        <f t="shared" si="14"/>
        <v>0</v>
      </c>
      <c r="M99" s="794">
        <f t="shared" si="15"/>
        <v>0</v>
      </c>
    </row>
    <row r="100" spans="1:13" x14ac:dyDescent="0.3">
      <c r="A100" s="1584" t="str">
        <f t="shared" si="16"/>
        <v>DESPESES DIVERSES</v>
      </c>
      <c r="B100" s="1710">
        <f>SUM(B101:B104)</f>
        <v>0</v>
      </c>
      <c r="I100" s="1384">
        <f t="shared" si="12"/>
        <v>0</v>
      </c>
      <c r="J100" s="1527">
        <f t="shared" si="13"/>
        <v>0</v>
      </c>
      <c r="L100" s="794">
        <f t="shared" si="14"/>
        <v>0</v>
      </c>
      <c r="M100" s="794">
        <f t="shared" si="15"/>
        <v>0</v>
      </c>
    </row>
    <row r="101" spans="1:13" x14ac:dyDescent="0.3">
      <c r="A101" s="1019" t="str">
        <f t="shared" si="16"/>
        <v>Gestoria</v>
      </c>
      <c r="B101" s="1711">
        <f>VARIABLES!N94/12</f>
        <v>0</v>
      </c>
      <c r="I101" s="1384">
        <f t="shared" si="12"/>
        <v>0</v>
      </c>
      <c r="J101" s="1528">
        <f t="shared" si="13"/>
        <v>0</v>
      </c>
      <c r="L101" s="794">
        <f t="shared" si="14"/>
        <v>0</v>
      </c>
      <c r="M101" s="794">
        <f t="shared" si="15"/>
        <v>0</v>
      </c>
    </row>
    <row r="102" spans="1:13" x14ac:dyDescent="0.3">
      <c r="A102" s="1019" t="str">
        <f t="shared" si="16"/>
        <v>Oficina</v>
      </c>
      <c r="B102" s="1712">
        <f>VARIABLES!N95/12</f>
        <v>0</v>
      </c>
      <c r="I102" s="1384">
        <f t="shared" si="12"/>
        <v>0</v>
      </c>
      <c r="J102" s="1528">
        <f t="shared" si="13"/>
        <v>0</v>
      </c>
      <c r="L102" s="794">
        <f t="shared" si="14"/>
        <v>0</v>
      </c>
      <c r="M102" s="794">
        <f t="shared" si="15"/>
        <v>0</v>
      </c>
    </row>
    <row r="103" spans="1:13" x14ac:dyDescent="0.3">
      <c r="A103" s="1019" t="str">
        <f t="shared" si="16"/>
        <v>Manutenció</v>
      </c>
      <c r="B103" s="1714">
        <f>VARIABLES!N96/12</f>
        <v>0</v>
      </c>
      <c r="I103" s="1384">
        <f t="shared" si="12"/>
        <v>0</v>
      </c>
      <c r="J103" s="1528">
        <f t="shared" si="13"/>
        <v>0</v>
      </c>
      <c r="L103" s="794">
        <f t="shared" si="14"/>
        <v>0</v>
      </c>
      <c r="M103" s="794">
        <f t="shared" si="15"/>
        <v>0</v>
      </c>
    </row>
    <row r="104" spans="1:13" x14ac:dyDescent="0.3">
      <c r="A104" s="1583" t="str">
        <f t="shared" si="16"/>
        <v>Varis</v>
      </c>
      <c r="B104" s="1714">
        <f>VARIABLES!N97/12</f>
        <v>0</v>
      </c>
      <c r="I104" s="793">
        <f t="shared" si="12"/>
        <v>0</v>
      </c>
      <c r="J104" s="1530">
        <f t="shared" si="13"/>
        <v>0</v>
      </c>
      <c r="L104" s="794">
        <f t="shared" si="14"/>
        <v>0</v>
      </c>
      <c r="M104" s="794">
        <f t="shared" si="15"/>
        <v>0</v>
      </c>
    </row>
    <row r="105" spans="1:13" x14ac:dyDescent="0.3">
      <c r="A105" s="1658" t="str">
        <f>+A30</f>
        <v>TRIBUTS</v>
      </c>
      <c r="B105" s="1721">
        <f>'Resultats per mesos'!I93/12</f>
        <v>0</v>
      </c>
      <c r="I105" s="794">
        <f t="shared" si="12"/>
        <v>0</v>
      </c>
      <c r="J105" s="1436">
        <f t="shared" si="13"/>
        <v>0</v>
      </c>
      <c r="L105" s="794">
        <f t="shared" si="14"/>
        <v>0</v>
      </c>
      <c r="M105" s="794">
        <f t="shared" si="15"/>
        <v>0</v>
      </c>
    </row>
    <row r="106" spans="1:13" x14ac:dyDescent="0.3">
      <c r="A106" s="1391" t="str">
        <f>+A31</f>
        <v>PERSONAL</v>
      </c>
      <c r="B106" s="1719">
        <f>(PERSONAL!O131+PERSONAL!O137+PERSONAL!O161+PROMOTORS!O123+PROMOTORS!O145)/12</f>
        <v>0</v>
      </c>
      <c r="I106" s="794">
        <f t="shared" si="12"/>
        <v>0</v>
      </c>
      <c r="J106" s="1525">
        <f t="shared" si="13"/>
        <v>0</v>
      </c>
      <c r="L106" s="794">
        <f t="shared" si="14"/>
        <v>0</v>
      </c>
      <c r="M106" s="794">
        <f t="shared" si="15"/>
        <v>0</v>
      </c>
    </row>
    <row r="107" spans="1:13" x14ac:dyDescent="0.3">
      <c r="A107" s="1585" t="str">
        <f>+A32</f>
        <v>DESPESES FINANCERES</v>
      </c>
      <c r="B107" s="1719">
        <f>'Resultats per mesos'!I91/12</f>
        <v>0</v>
      </c>
      <c r="I107" s="794">
        <f t="shared" si="12"/>
        <v>0</v>
      </c>
      <c r="J107" s="1436">
        <f t="shared" si="13"/>
        <v>0</v>
      </c>
      <c r="L107" s="794">
        <f t="shared" si="14"/>
        <v>0</v>
      </c>
      <c r="M107" s="794">
        <f t="shared" si="15"/>
        <v>0</v>
      </c>
    </row>
    <row r="108" spans="1:13" x14ac:dyDescent="0.3">
      <c r="A108" s="1391" t="str">
        <f>+A33</f>
        <v>AMORTITZACIONS</v>
      </c>
      <c r="B108" s="1710">
        <f>'Resultats per mesos'!I88/12</f>
        <v>0</v>
      </c>
      <c r="I108" s="794">
        <f t="shared" si="12"/>
        <v>0</v>
      </c>
      <c r="J108" s="1525">
        <f t="shared" si="13"/>
        <v>0</v>
      </c>
      <c r="L108" s="794">
        <f>('Tresoreria per mesos'!O97/12*L$81)</f>
        <v>0</v>
      </c>
      <c r="M108" s="1525">
        <f>('Tresoreria per mesos'!O97/12)*L$82</f>
        <v>0</v>
      </c>
    </row>
    <row r="109" spans="1:13" ht="15.5" x14ac:dyDescent="0.35">
      <c r="A109" s="1586" t="str">
        <f>+A34</f>
        <v>TOTAL COSTOS FIXOS</v>
      </c>
      <c r="B109" s="1533">
        <f>(B106+B107+B108)+B100+SUM(B87:B94)</f>
        <v>0</v>
      </c>
      <c r="E109" s="1587"/>
      <c r="I109" s="1534">
        <f>SUM(I105:I108)+I100+SUM(I87:I94)</f>
        <v>0</v>
      </c>
      <c r="J109" s="1534">
        <f>SUM(J105:J108)+J100+SUM(J87:J94)</f>
        <v>0</v>
      </c>
      <c r="L109" s="1534">
        <f>SUM(L105:L108)+L100+SUM(L87:L94)</f>
        <v>0</v>
      </c>
      <c r="M109" s="1534">
        <f>SUM(M105:M108)+M100+SUM(M87:M94)</f>
        <v>0</v>
      </c>
    </row>
    <row r="110" spans="1:13" x14ac:dyDescent="0.3">
      <c r="B110" s="21"/>
      <c r="I110" s="1362"/>
      <c r="J110" s="7"/>
      <c r="L110" s="1362"/>
      <c r="M110" s="7"/>
    </row>
    <row r="111" spans="1:13" ht="15.5" x14ac:dyDescent="0.35">
      <c r="A111" s="1588" t="str">
        <f>+A36</f>
        <v>MARGE COMERCIAL</v>
      </c>
      <c r="B111" s="1536">
        <f>IF(B113=0,0,B109/B113)</f>
        <v>0</v>
      </c>
      <c r="E111" s="1537"/>
      <c r="I111" s="1539">
        <f>J81-(VARIABLES!C66*VARIABLES!D66+VARIABLES!C67*VARIABLES!D67+VARIABLES!C71+VARIABLES!C72+PROMOTORS!N115+PERSONAL!I112)*I81</f>
        <v>0</v>
      </c>
      <c r="J111" s="1539">
        <f>J82-(VARIABLES!C66*VARIABLES!D66+VARIABLES!C67*VARIABLES!D67+VARIABLES!C71+VARIABLES!C72+PROMOTORS!N115+PERSONAL!I112)*I82</f>
        <v>0</v>
      </c>
      <c r="L111" s="1539">
        <f>M81-(VARIABLES!C66*VARIABLES!D66+VARIABLES!C67*VARIABLES!D67+VARIABLES!C71+VARIABLES!C72+PROMOTORS!N115+PERSONAL!I112)*L81</f>
        <v>0</v>
      </c>
      <c r="M111" s="1539">
        <f>M82-(VARIABLES!C66*VARIABLES!D66+VARIABLES!C67*VARIABLES!D67+VARIABLES!C71+VARIABLES!C72+PROMOTORS!N115+PERSONAL!I112)*L82</f>
        <v>0</v>
      </c>
    </row>
    <row r="112" spans="1:13" ht="16" thickBot="1" x14ac:dyDescent="0.4">
      <c r="A112" s="1540"/>
      <c r="B112" s="1541"/>
      <c r="E112" s="1537"/>
      <c r="I112" s="1545"/>
      <c r="J112" s="1546"/>
      <c r="L112" s="1545"/>
      <c r="M112" s="1546"/>
    </row>
    <row r="113" spans="1:13" ht="16" thickBot="1" x14ac:dyDescent="0.4">
      <c r="A113" s="1702" t="str">
        <f>+A38</f>
        <v>PUNT D'EQUILIBRI</v>
      </c>
      <c r="B113" s="1544">
        <f>SUM(I113:J113)</f>
        <v>0</v>
      </c>
      <c r="E113" s="1537"/>
      <c r="I113" s="1543">
        <f>IF(I111&gt;0,I109/I111,I109)</f>
        <v>0</v>
      </c>
      <c r="J113" s="1543">
        <f>IF(J111&gt;0,J109/J111,0)</f>
        <v>0</v>
      </c>
      <c r="L113" s="1543">
        <f>IF(L111&gt;0,L109/L111,L109)</f>
        <v>0</v>
      </c>
      <c r="M113" s="1543">
        <f>IF(M111&gt;0,M109/M111,0)</f>
        <v>0</v>
      </c>
    </row>
    <row r="114" spans="1:13" ht="16" thickBot="1" x14ac:dyDescent="0.4">
      <c r="A114" s="1707" t="str">
        <f>+A39</f>
        <v>PUNT DE SUPERVIVÈNCIA</v>
      </c>
      <c r="B114" s="1708">
        <f>SUM(L113:M113)</f>
        <v>0</v>
      </c>
      <c r="E114" s="1537"/>
      <c r="I114" s="1691"/>
      <c r="J114" s="1691"/>
      <c r="L114" s="1691"/>
      <c r="M114" s="1691"/>
    </row>
    <row r="115" spans="1:13" ht="15.5" x14ac:dyDescent="0.35">
      <c r="A115" s="1540"/>
      <c r="B115" s="1547"/>
      <c r="E115" s="1537"/>
      <c r="I115" s="1545"/>
      <c r="J115" s="1546"/>
      <c r="L115" s="1545"/>
      <c r="M115" s="1546"/>
    </row>
    <row r="116" spans="1:13" ht="15.5" x14ac:dyDescent="0.35">
      <c r="A116" s="1588" t="str">
        <f>+A41</f>
        <v>PUNT D'EQUILIBRI/INGRESSOS PREVISTOS</v>
      </c>
      <c r="B116" s="1536">
        <f>IF(B83=0,0,B113/('INGRESSOS _ COMPRES'!O98/12))</f>
        <v>0</v>
      </c>
      <c r="E116" s="1537"/>
      <c r="I116" s="1539">
        <f>IF(B81=0,0,I113/('INGRESSOS _ COMPRES'!O68/12))</f>
        <v>0</v>
      </c>
      <c r="J116" s="1539">
        <f>IF(I82=0,0,J113/('INGRESSOS _ COMPRES'!O83/12))</f>
        <v>0</v>
      </c>
      <c r="L116" s="1539">
        <f>IF(B81=0,0,I113/('INGRESSOS _ COMPRES'!O68/12))</f>
        <v>0</v>
      </c>
      <c r="M116" s="1539">
        <f>IF(I82=0,0,J113/('INGRESSOS _ COMPRES'!O83/12))</f>
        <v>0</v>
      </c>
    </row>
    <row r="117" spans="1:13" x14ac:dyDescent="0.3">
      <c r="G117" s="21"/>
    </row>
    <row r="118" spans="1:13" x14ac:dyDescent="0.3">
      <c r="G118" s="21"/>
    </row>
    <row r="119" spans="1:13" hidden="1" x14ac:dyDescent="0.3">
      <c r="A119" s="1548" t="s">
        <v>604</v>
      </c>
      <c r="B119" s="21"/>
      <c r="D119" s="9"/>
      <c r="E119" s="21"/>
      <c r="F119" s="21"/>
      <c r="G119" s="21"/>
    </row>
    <row r="120" spans="1:13" ht="12.5" x14ac:dyDescent="0.25">
      <c r="B120" s="1984" t="s">
        <v>232</v>
      </c>
      <c r="C120" s="1985" t="s">
        <v>228</v>
      </c>
      <c r="D120" s="1985"/>
      <c r="E120" s="1985"/>
      <c r="F120" s="1986" t="s">
        <v>605</v>
      </c>
      <c r="G120" s="1986"/>
    </row>
    <row r="121" spans="1:13" ht="12.5" x14ac:dyDescent="0.25">
      <c r="B121" s="1984"/>
      <c r="C121" s="1549" t="s">
        <v>231</v>
      </c>
      <c r="D121" s="1427" t="s">
        <v>295</v>
      </c>
      <c r="E121" s="1427" t="s">
        <v>151</v>
      </c>
      <c r="F121" s="1550" t="s">
        <v>231</v>
      </c>
      <c r="G121" s="1550" t="s">
        <v>295</v>
      </c>
    </row>
    <row r="122" spans="1:13" hidden="1" x14ac:dyDescent="0.3">
      <c r="A122" s="1551" t="str">
        <f>IF(C122="","",MERCADERIES!A75)</f>
        <v/>
      </c>
      <c r="B122" s="1552" t="str">
        <f>IF(C122="","",MERCADERIES!D75)</f>
        <v/>
      </c>
      <c r="C122" s="1553" t="str">
        <f>IF(MERCADERIES!C75=0,"",MERCADERIES!C75)</f>
        <v/>
      </c>
      <c r="D122" s="15" t="str">
        <f t="shared" ref="D122:D133" si="17">IF(C122="","",C122*B122)</f>
        <v/>
      </c>
      <c r="E122" s="1554" t="str">
        <f t="shared" ref="E122:E133" si="18">IF(D122="","",D122/D$59)</f>
        <v/>
      </c>
      <c r="F122" s="1555" t="str">
        <f t="shared" ref="F122:F133" si="19">IF(B122="","",G122/B122)</f>
        <v/>
      </c>
      <c r="G122" s="1556" t="str">
        <f t="shared" ref="G122:G133" si="20">IF(C122="","",E122*I$37)</f>
        <v/>
      </c>
    </row>
    <row r="123" spans="1:13" hidden="1" x14ac:dyDescent="0.3">
      <c r="A123" s="1551" t="str">
        <f>IF(C123="","",MERCADERIES!A76)</f>
        <v/>
      </c>
      <c r="B123" s="1552" t="str">
        <f>IF(C123="","",MERCADERIES!D76)</f>
        <v/>
      </c>
      <c r="C123" s="1553" t="str">
        <f>IF(MERCADERIES!C76=0,"",MERCADERIES!C76)</f>
        <v/>
      </c>
      <c r="D123" s="15" t="str">
        <f t="shared" si="17"/>
        <v/>
      </c>
      <c r="E123" s="1554" t="str">
        <f t="shared" si="18"/>
        <v/>
      </c>
      <c r="F123" s="1555" t="str">
        <f t="shared" si="19"/>
        <v/>
      </c>
      <c r="G123" s="1556" t="str">
        <f t="shared" si="20"/>
        <v/>
      </c>
    </row>
    <row r="124" spans="1:13" hidden="1" x14ac:dyDescent="0.3">
      <c r="A124" s="1551" t="str">
        <f>IF(C124="","",MERCADERIES!A77)</f>
        <v/>
      </c>
      <c r="B124" s="1552" t="str">
        <f>IF(C124="","",MERCADERIES!D77)</f>
        <v/>
      </c>
      <c r="C124" s="1553" t="str">
        <f>IF(MERCADERIES!C77=0,"",MERCADERIES!C77)</f>
        <v/>
      </c>
      <c r="D124" s="15" t="str">
        <f t="shared" si="17"/>
        <v/>
      </c>
      <c r="E124" s="1554" t="str">
        <f t="shared" si="18"/>
        <v/>
      </c>
      <c r="F124" s="1555" t="str">
        <f t="shared" si="19"/>
        <v/>
      </c>
      <c r="G124" s="1556" t="str">
        <f t="shared" si="20"/>
        <v/>
      </c>
    </row>
    <row r="125" spans="1:13" hidden="1" x14ac:dyDescent="0.3">
      <c r="A125" s="1551" t="str">
        <f>IF(C125="","",MERCADERIES!A78)</f>
        <v/>
      </c>
      <c r="B125" s="1552" t="str">
        <f>IF(C125="","",MERCADERIES!D78)</f>
        <v/>
      </c>
      <c r="C125" s="1553" t="str">
        <f>IF(MERCADERIES!C78=0,"",MERCADERIES!C78)</f>
        <v/>
      </c>
      <c r="D125" s="15" t="str">
        <f t="shared" si="17"/>
        <v/>
      </c>
      <c r="E125" s="1554" t="str">
        <f t="shared" si="18"/>
        <v/>
      </c>
      <c r="F125" s="1555" t="str">
        <f t="shared" si="19"/>
        <v/>
      </c>
      <c r="G125" s="1556" t="str">
        <f t="shared" si="20"/>
        <v/>
      </c>
    </row>
    <row r="126" spans="1:13" hidden="1" x14ac:dyDescent="0.3">
      <c r="A126" s="1551" t="str">
        <f>IF(C126="","",MERCADERIES!A79)</f>
        <v/>
      </c>
      <c r="B126" s="1552" t="str">
        <f>IF(C126="","",MERCADERIES!D79)</f>
        <v/>
      </c>
      <c r="C126" s="1553" t="str">
        <f>IF(MERCADERIES!C79=0,"",MERCADERIES!C79)</f>
        <v/>
      </c>
      <c r="D126" s="15" t="str">
        <f t="shared" si="17"/>
        <v/>
      </c>
      <c r="E126" s="1554" t="str">
        <f t="shared" si="18"/>
        <v/>
      </c>
      <c r="F126" s="1555" t="str">
        <f t="shared" si="19"/>
        <v/>
      </c>
      <c r="G126" s="1556" t="str">
        <f t="shared" si="20"/>
        <v/>
      </c>
    </row>
    <row r="127" spans="1:13" hidden="1" x14ac:dyDescent="0.3">
      <c r="A127" s="1551" t="str">
        <f>IF(C127="","",MERCADERIES!A80)</f>
        <v/>
      </c>
      <c r="B127" s="1552" t="str">
        <f>IF(C127="","",MERCADERIES!D80)</f>
        <v/>
      </c>
      <c r="C127" s="1553" t="str">
        <f>IF(MERCADERIES!C80=0,"",MERCADERIES!C80)</f>
        <v/>
      </c>
      <c r="D127" s="15" t="str">
        <f t="shared" si="17"/>
        <v/>
      </c>
      <c r="E127" s="1554" t="str">
        <f t="shared" si="18"/>
        <v/>
      </c>
      <c r="F127" s="1555" t="str">
        <f t="shared" si="19"/>
        <v/>
      </c>
      <c r="G127" s="1556" t="str">
        <f t="shared" si="20"/>
        <v/>
      </c>
    </row>
    <row r="128" spans="1:13" hidden="1" x14ac:dyDescent="0.3">
      <c r="A128" s="1551" t="str">
        <f>IF(C128="","",MERCADERIES!A81)</f>
        <v/>
      </c>
      <c r="B128" s="1552" t="str">
        <f>IF(C128="","",MERCADERIES!D81)</f>
        <v/>
      </c>
      <c r="C128" s="1553" t="str">
        <f>IF(MERCADERIES!C81=0,"",MERCADERIES!C81)</f>
        <v/>
      </c>
      <c r="D128" s="15" t="str">
        <f t="shared" si="17"/>
        <v/>
      </c>
      <c r="E128" s="1554" t="str">
        <f t="shared" si="18"/>
        <v/>
      </c>
      <c r="F128" s="1555" t="str">
        <f t="shared" si="19"/>
        <v/>
      </c>
      <c r="G128" s="1556" t="str">
        <f t="shared" si="20"/>
        <v/>
      </c>
    </row>
    <row r="129" spans="1:7" hidden="1" x14ac:dyDescent="0.3">
      <c r="A129" s="1551" t="str">
        <f>IF(C129="","",MERCADERIES!A82)</f>
        <v/>
      </c>
      <c r="B129" s="1552" t="str">
        <f>IF(C129="","",MERCADERIES!D82)</f>
        <v/>
      </c>
      <c r="C129" s="1553" t="str">
        <f>IF(MERCADERIES!C82=0,"",MERCADERIES!C82)</f>
        <v/>
      </c>
      <c r="D129" s="15" t="str">
        <f t="shared" si="17"/>
        <v/>
      </c>
      <c r="E129" s="1554" t="str">
        <f t="shared" si="18"/>
        <v/>
      </c>
      <c r="F129" s="1555" t="str">
        <f t="shared" si="19"/>
        <v/>
      </c>
      <c r="G129" s="1556" t="str">
        <f t="shared" si="20"/>
        <v/>
      </c>
    </row>
    <row r="130" spans="1:7" hidden="1" x14ac:dyDescent="0.3">
      <c r="A130" s="1551" t="str">
        <f>IF(C130="","",MERCADERIES!A83)</f>
        <v/>
      </c>
      <c r="B130" s="1552" t="str">
        <f>IF(C130="","",MERCADERIES!D83)</f>
        <v/>
      </c>
      <c r="C130" s="1553" t="str">
        <f>IF(MERCADERIES!C83=0,"",MERCADERIES!C83)</f>
        <v/>
      </c>
      <c r="D130" s="15" t="str">
        <f t="shared" si="17"/>
        <v/>
      </c>
      <c r="E130" s="1554" t="str">
        <f t="shared" si="18"/>
        <v/>
      </c>
      <c r="F130" s="1555" t="str">
        <f t="shared" si="19"/>
        <v/>
      </c>
      <c r="G130" s="1556" t="str">
        <f t="shared" si="20"/>
        <v/>
      </c>
    </row>
    <row r="131" spans="1:7" hidden="1" x14ac:dyDescent="0.3">
      <c r="A131" s="1551" t="str">
        <f>IF(C131="","",MERCADERIES!A84)</f>
        <v/>
      </c>
      <c r="B131" s="1552" t="str">
        <f>IF(C131="","",MERCADERIES!D84)</f>
        <v/>
      </c>
      <c r="C131" s="1553" t="str">
        <f>IF(MERCADERIES!C84=0,"",MERCADERIES!C84)</f>
        <v/>
      </c>
      <c r="D131" s="15" t="str">
        <f t="shared" si="17"/>
        <v/>
      </c>
      <c r="E131" s="1554" t="str">
        <f t="shared" si="18"/>
        <v/>
      </c>
      <c r="F131" s="1555" t="str">
        <f t="shared" si="19"/>
        <v/>
      </c>
      <c r="G131" s="1556" t="str">
        <f t="shared" si="20"/>
        <v/>
      </c>
    </row>
    <row r="132" spans="1:7" hidden="1" x14ac:dyDescent="0.3">
      <c r="A132" s="1551">
        <f>IF(C132="","",MERCADERIES!A85)</f>
        <v>0</v>
      </c>
      <c r="B132" s="1552">
        <f>IF(C132="","",MERCADERIES!D85)</f>
        <v>0</v>
      </c>
      <c r="C132" s="1553" t="str">
        <f>IF(MERCADERIES!C85=0,"",MERCADERIES!C85)</f>
        <v>A</v>
      </c>
      <c r="D132" s="15" t="e">
        <f t="shared" si="17"/>
        <v>#VALUE!</v>
      </c>
      <c r="E132" s="1554" t="e">
        <f t="shared" si="18"/>
        <v>#VALUE!</v>
      </c>
      <c r="F132" s="1555" t="e">
        <f t="shared" si="19"/>
        <v>#VALUE!</v>
      </c>
      <c r="G132" s="1556" t="e">
        <f t="shared" si="20"/>
        <v>#VALUE!</v>
      </c>
    </row>
    <row r="133" spans="1:7" hidden="1" x14ac:dyDescent="0.3">
      <c r="A133" s="1551">
        <f>IF(C133="","",MERCADERIES!A86)</f>
        <v>0</v>
      </c>
      <c r="B133" s="1552" t="str">
        <f>IF(C133="","",MERCADERIES!D86)</f>
        <v>PREU UNITARI</v>
      </c>
      <c r="C133" s="1553" t="str">
        <f>IF(MERCADERIES!C86=0,"",MERCADERIES!C86)</f>
        <v>COMPRES (unitats)</v>
      </c>
      <c r="D133" s="15" t="e">
        <f t="shared" si="17"/>
        <v>#VALUE!</v>
      </c>
      <c r="E133" s="1554" t="e">
        <f t="shared" si="18"/>
        <v>#VALUE!</v>
      </c>
      <c r="F133" s="1555" t="e">
        <f t="shared" si="19"/>
        <v>#VALUE!</v>
      </c>
      <c r="G133" s="1556" t="e">
        <f t="shared" si="20"/>
        <v>#VALUE!</v>
      </c>
    </row>
    <row r="134" spans="1:7" hidden="1" x14ac:dyDescent="0.3">
      <c r="A134" s="22" t="s">
        <v>606</v>
      </c>
      <c r="B134" s="1557"/>
      <c r="C134" s="1558"/>
      <c r="D134" s="1072" t="e">
        <f>SUM(D122:D133)</f>
        <v>#VALUE!</v>
      </c>
      <c r="E134" s="1559" t="e">
        <f>SUM(E122:E133)</f>
        <v>#VALUE!</v>
      </c>
      <c r="F134" s="1558"/>
      <c r="G134" s="1556" t="e">
        <f>SUM(G122:G133)</f>
        <v>#VALUE!</v>
      </c>
    </row>
    <row r="135" spans="1:7" x14ac:dyDescent="0.3">
      <c r="A135" s="1560" t="s">
        <v>607</v>
      </c>
      <c r="B135" s="1561"/>
      <c r="C135" s="1562"/>
      <c r="D135" s="1563"/>
      <c r="E135" s="1563"/>
      <c r="F135" s="1563"/>
      <c r="G135" s="1563"/>
    </row>
    <row r="136" spans="1:7" x14ac:dyDescent="0.3">
      <c r="A136" s="1551" t="str">
        <f>IF(B136="","",SERVEIS!A3)</f>
        <v/>
      </c>
      <c r="B136" s="1552" t="str">
        <f>IF(C136="","",SERVEIS!D3)</f>
        <v/>
      </c>
      <c r="C136" s="1553" t="str">
        <f>IF(+'Introducció dades'!Y156=0,"",SERVEIS!C3)</f>
        <v/>
      </c>
      <c r="D136" s="15" t="str">
        <f t="shared" ref="D136:D147" si="21">IF(B136="","",C136*B136)</f>
        <v/>
      </c>
      <c r="E136" s="1554" t="str">
        <f>IF(D136="","",D136/D$148)</f>
        <v/>
      </c>
      <c r="F136" s="1555" t="str">
        <f t="shared" ref="F136:F147" si="22">IF(B136="","",G136/B136)</f>
        <v/>
      </c>
      <c r="G136" s="1564" t="str">
        <f t="shared" ref="G136:G147" si="23">IF(C136="","",E136*J$113)</f>
        <v/>
      </c>
    </row>
    <row r="137" spans="1:7" x14ac:dyDescent="0.3">
      <c r="A137" s="1551" t="str">
        <f>IF(B137="","",SERVEIS!A4)</f>
        <v/>
      </c>
      <c r="B137" s="1552" t="str">
        <f>IF(C137="","",SERVEIS!D4)</f>
        <v/>
      </c>
      <c r="C137" s="1553" t="str">
        <f>IF(+'Introducció dades'!Y157=0,"",SERVEIS!C4)</f>
        <v/>
      </c>
      <c r="D137" s="15" t="str">
        <f t="shared" si="21"/>
        <v/>
      </c>
      <c r="E137" s="1554" t="str">
        <f t="shared" ref="E137:E147" si="24">IF(D137="","",D137/D$148)</f>
        <v/>
      </c>
      <c r="F137" s="1555" t="str">
        <f t="shared" si="22"/>
        <v/>
      </c>
      <c r="G137" s="1564" t="str">
        <f t="shared" si="23"/>
        <v/>
      </c>
    </row>
    <row r="138" spans="1:7" x14ac:dyDescent="0.3">
      <c r="A138" s="1551" t="str">
        <f>IF(B138="","",SERVEIS!A5)</f>
        <v/>
      </c>
      <c r="B138" s="1552" t="str">
        <f>IF(C138="","",SERVEIS!D5)</f>
        <v/>
      </c>
      <c r="C138" s="1553" t="str">
        <f>IF(+'Introducció dades'!Y158=0,"",SERVEIS!C5)</f>
        <v/>
      </c>
      <c r="D138" s="15" t="str">
        <f t="shared" si="21"/>
        <v/>
      </c>
      <c r="E138" s="1554" t="str">
        <f t="shared" si="24"/>
        <v/>
      </c>
      <c r="F138" s="1555" t="str">
        <f t="shared" si="22"/>
        <v/>
      </c>
      <c r="G138" s="1564" t="str">
        <f t="shared" si="23"/>
        <v/>
      </c>
    </row>
    <row r="139" spans="1:7" x14ac:dyDescent="0.3">
      <c r="A139" s="1551" t="str">
        <f>IF(B139="","",SERVEIS!A6)</f>
        <v/>
      </c>
      <c r="B139" s="1552" t="str">
        <f>IF(C139="","",SERVEIS!D6)</f>
        <v/>
      </c>
      <c r="C139" s="1553" t="str">
        <f>IF(+'Introducció dades'!Y159=0,"",SERVEIS!C6)</f>
        <v/>
      </c>
      <c r="D139" s="15" t="str">
        <f t="shared" si="21"/>
        <v/>
      </c>
      <c r="E139" s="1554" t="str">
        <f t="shared" si="24"/>
        <v/>
      </c>
      <c r="F139" s="1555" t="str">
        <f t="shared" si="22"/>
        <v/>
      </c>
      <c r="G139" s="1564" t="str">
        <f t="shared" si="23"/>
        <v/>
      </c>
    </row>
    <row r="140" spans="1:7" x14ac:dyDescent="0.3">
      <c r="A140" s="1551" t="str">
        <f>IF(B140="","",SERVEIS!A7)</f>
        <v/>
      </c>
      <c r="B140" s="1552" t="str">
        <f>IF(C140="","",SERVEIS!D7)</f>
        <v/>
      </c>
      <c r="C140" s="1553" t="str">
        <f>IF(+'Introducció dades'!Y160=0,"",SERVEIS!C7)</f>
        <v/>
      </c>
      <c r="D140" s="15" t="str">
        <f t="shared" si="21"/>
        <v/>
      </c>
      <c r="E140" s="1554" t="str">
        <f t="shared" si="24"/>
        <v/>
      </c>
      <c r="F140" s="1555" t="str">
        <f t="shared" si="22"/>
        <v/>
      </c>
      <c r="G140" s="1564" t="str">
        <f t="shared" si="23"/>
        <v/>
      </c>
    </row>
    <row r="141" spans="1:7" x14ac:dyDescent="0.3">
      <c r="A141" s="1551" t="str">
        <f>IF(B141="","",SERVEIS!A8)</f>
        <v/>
      </c>
      <c r="B141" s="1552" t="str">
        <f>IF(C141="","",SERVEIS!D8)</f>
        <v/>
      </c>
      <c r="C141" s="1553" t="str">
        <f>IF(+'Introducció dades'!Y161=0,"",SERVEIS!C8)</f>
        <v/>
      </c>
      <c r="D141" s="15" t="str">
        <f t="shared" si="21"/>
        <v/>
      </c>
      <c r="E141" s="1554" t="str">
        <f t="shared" si="24"/>
        <v/>
      </c>
      <c r="F141" s="1555" t="str">
        <f t="shared" si="22"/>
        <v/>
      </c>
      <c r="G141" s="1564" t="str">
        <f t="shared" si="23"/>
        <v/>
      </c>
    </row>
    <row r="142" spans="1:7" x14ac:dyDescent="0.3">
      <c r="A142" s="1551" t="str">
        <f>IF(B142="","",SERVEIS!A9)</f>
        <v/>
      </c>
      <c r="B142" s="1552" t="str">
        <f>IF(C142="","",SERVEIS!D9)</f>
        <v/>
      </c>
      <c r="C142" s="1553" t="str">
        <f>IF(+'Introducció dades'!Y162=0,"",SERVEIS!C9)</f>
        <v/>
      </c>
      <c r="D142" s="15" t="str">
        <f t="shared" si="21"/>
        <v/>
      </c>
      <c r="E142" s="1554" t="str">
        <f t="shared" si="24"/>
        <v/>
      </c>
      <c r="F142" s="1555" t="str">
        <f t="shared" si="22"/>
        <v/>
      </c>
      <c r="G142" s="1564" t="str">
        <f t="shared" si="23"/>
        <v/>
      </c>
    </row>
    <row r="143" spans="1:7" x14ac:dyDescent="0.3">
      <c r="A143" s="1551" t="str">
        <f>IF(B143="","",SERVEIS!A10)</f>
        <v/>
      </c>
      <c r="B143" s="1552" t="str">
        <f>IF(C143="","",SERVEIS!D10)</f>
        <v/>
      </c>
      <c r="C143" s="1553" t="str">
        <f>IF(+'Introducció dades'!Y163=0,"",SERVEIS!C10)</f>
        <v/>
      </c>
      <c r="D143" s="15" t="str">
        <f t="shared" si="21"/>
        <v/>
      </c>
      <c r="E143" s="1554" t="str">
        <f t="shared" si="24"/>
        <v/>
      </c>
      <c r="F143" s="1555" t="str">
        <f t="shared" si="22"/>
        <v/>
      </c>
      <c r="G143" s="1564" t="str">
        <f t="shared" si="23"/>
        <v/>
      </c>
    </row>
    <row r="144" spans="1:7" x14ac:dyDescent="0.3">
      <c r="A144" s="1551" t="str">
        <f>IF(B144="","",SERVEIS!A11)</f>
        <v/>
      </c>
      <c r="B144" s="1552" t="str">
        <f>IF(C144="","",SERVEIS!D11)</f>
        <v/>
      </c>
      <c r="C144" s="1553" t="str">
        <f>IF(+'Introducció dades'!Y164=0,"",SERVEIS!C11)</f>
        <v/>
      </c>
      <c r="D144" s="15" t="str">
        <f t="shared" si="21"/>
        <v/>
      </c>
      <c r="E144" s="1554" t="str">
        <f t="shared" si="24"/>
        <v/>
      </c>
      <c r="F144" s="1555" t="str">
        <f t="shared" si="22"/>
        <v/>
      </c>
      <c r="G144" s="1564" t="str">
        <f t="shared" si="23"/>
        <v/>
      </c>
    </row>
    <row r="145" spans="1:13" x14ac:dyDescent="0.3">
      <c r="A145" s="1551" t="str">
        <f>IF(B145="","",SERVEIS!A12)</f>
        <v/>
      </c>
      <c r="B145" s="1552" t="str">
        <f>IF(C145="","",SERVEIS!D12)</f>
        <v/>
      </c>
      <c r="C145" s="1553" t="str">
        <f>IF(+'Introducció dades'!Y165=0,"",SERVEIS!C12)</f>
        <v/>
      </c>
      <c r="D145" s="15" t="str">
        <f t="shared" si="21"/>
        <v/>
      </c>
      <c r="E145" s="1554" t="str">
        <f t="shared" si="24"/>
        <v/>
      </c>
      <c r="F145" s="1555" t="str">
        <f t="shared" si="22"/>
        <v/>
      </c>
      <c r="G145" s="1564" t="str">
        <f t="shared" si="23"/>
        <v/>
      </c>
    </row>
    <row r="146" spans="1:13" x14ac:dyDescent="0.3">
      <c r="A146" s="1551" t="str">
        <f>IF(B146="","",SERVEIS!A13)</f>
        <v/>
      </c>
      <c r="B146" s="1552" t="str">
        <f>IF(C146="","",SERVEIS!D13)</f>
        <v/>
      </c>
      <c r="C146" s="1553" t="str">
        <f>IF(+'Introducció dades'!Y166=0,"",SERVEIS!C13)</f>
        <v/>
      </c>
      <c r="D146" s="15" t="str">
        <f t="shared" si="21"/>
        <v/>
      </c>
      <c r="E146" s="1554" t="str">
        <f t="shared" si="24"/>
        <v/>
      </c>
      <c r="F146" s="1555" t="str">
        <f t="shared" si="22"/>
        <v/>
      </c>
      <c r="G146" s="1564" t="str">
        <f t="shared" si="23"/>
        <v/>
      </c>
    </row>
    <row r="147" spans="1:13" x14ac:dyDescent="0.3">
      <c r="A147" s="1551" t="str">
        <f>IF(B147="","",SERVEIS!A14)</f>
        <v/>
      </c>
      <c r="B147" s="1552" t="str">
        <f>IF(C147="","",SERVEIS!D14)</f>
        <v/>
      </c>
      <c r="C147" s="1553" t="str">
        <f>IF(+'Introducció dades'!Y167=0,"",SERVEIS!C14)</f>
        <v/>
      </c>
      <c r="D147" s="1140" t="str">
        <f t="shared" si="21"/>
        <v/>
      </c>
      <c r="E147" s="1554" t="str">
        <f t="shared" si="24"/>
        <v/>
      </c>
      <c r="F147" s="1568" t="str">
        <f t="shared" si="22"/>
        <v/>
      </c>
      <c r="G147" s="1569" t="str">
        <f t="shared" si="23"/>
        <v/>
      </c>
    </row>
    <row r="148" spans="1:13" x14ac:dyDescent="0.3">
      <c r="A148" s="1570" t="s">
        <v>608</v>
      </c>
      <c r="B148" s="1571"/>
      <c r="C148" s="1572"/>
      <c r="D148" s="1237">
        <f>SUM(D136:D147)</f>
        <v>0</v>
      </c>
      <c r="E148" s="1573">
        <f>SUM(E136:E147)</f>
        <v>0</v>
      </c>
      <c r="F148" s="1572"/>
      <c r="G148" s="1574">
        <f>SUM(G136:G147)</f>
        <v>0</v>
      </c>
    </row>
    <row r="151" spans="1:13" ht="25.5" customHeight="1" x14ac:dyDescent="0.3">
      <c r="A151" s="210" t="s">
        <v>57</v>
      </c>
    </row>
    <row r="152" spans="1:13" x14ac:dyDescent="0.3">
      <c r="A152" s="26"/>
    </row>
    <row r="153" spans="1:13" x14ac:dyDescent="0.3">
      <c r="A153" s="26"/>
      <c r="C153"/>
      <c r="D153"/>
      <c r="I153" s="1014"/>
      <c r="J153" s="1835" t="s">
        <v>592</v>
      </c>
      <c r="L153" s="1014"/>
      <c r="M153" s="1835" t="s">
        <v>592</v>
      </c>
    </row>
    <row r="154" spans="1:13" x14ac:dyDescent="0.3">
      <c r="C154"/>
      <c r="D154"/>
      <c r="I154" s="1513" t="s">
        <v>151</v>
      </c>
      <c r="J154" s="1835"/>
      <c r="L154" s="1513" t="s">
        <v>151</v>
      </c>
      <c r="M154" s="1835"/>
    </row>
    <row r="155" spans="1:13" hidden="1" x14ac:dyDescent="0.3">
      <c r="A155" s="1514" t="s">
        <v>354</v>
      </c>
      <c r="B155" s="15">
        <f>'INGRESSOS _ COMPRES'!O134/12</f>
        <v>0</v>
      </c>
      <c r="C155"/>
      <c r="D155"/>
      <c r="I155" s="878">
        <f>IF(B$157=0,0,B155/B$157)</f>
        <v>0</v>
      </c>
      <c r="J155" s="878">
        <f>IF(B155=0,0,('INGRESSOS _ COMPRES'!O134-'INGRESSOS _ COMPRES'!O166)/'INGRESSOS _ COMPRES'!O134)</f>
        <v>0</v>
      </c>
      <c r="L155" s="878">
        <f>IF(E$157=0,0,E155/E$157)</f>
        <v>0</v>
      </c>
      <c r="M155" s="878">
        <f>IF(E155=0,0,('INGRESSOS _ COMPRES'!R134-'INGRESSOS _ COMPRES'!R166)/'INGRESSOS _ COMPRES'!R134)</f>
        <v>0</v>
      </c>
    </row>
    <row r="156" spans="1:13" ht="14" x14ac:dyDescent="0.3">
      <c r="A156" s="1579" t="str">
        <f>+A6</f>
        <v>INGRESSOS MENSUALS</v>
      </c>
      <c r="B156" s="1516">
        <f>'INGRESSOS _ COMPRES'!O149/12</f>
        <v>0</v>
      </c>
      <c r="C156"/>
      <c r="D156"/>
      <c r="I156" s="878">
        <f>IF(B$157=0,0,B156/B$157)</f>
        <v>0</v>
      </c>
      <c r="J156" s="878">
        <f>IF(B156=0,0,('INGRESSOS _ COMPRES'!O149-'INGRESSOS _ COMPRES'!O181)/'INGRESSOS _ COMPRES'!O149)</f>
        <v>0</v>
      </c>
      <c r="L156" s="878">
        <f>IF(B$157=0,0,B156/B$157)</f>
        <v>0</v>
      </c>
      <c r="M156" s="878">
        <f>IF(B156=0,0,('INGRESSOS _ COMPRES'!O149-'INGRESSOS _ COMPRES'!O181)/'INGRESSOS _ COMPRES'!O149)</f>
        <v>0</v>
      </c>
    </row>
    <row r="157" spans="1:13" hidden="1" x14ac:dyDescent="0.3">
      <c r="A157" s="1513" t="s">
        <v>77</v>
      </c>
      <c r="B157" s="15">
        <f>SUM(B155:B156)</f>
        <v>0</v>
      </c>
      <c r="C157"/>
      <c r="D157"/>
      <c r="I157" s="878">
        <f>IF(B$157=0,0,B157/B$157)</f>
        <v>0</v>
      </c>
      <c r="J157" s="878">
        <f>J155*I155+J156*I156</f>
        <v>0</v>
      </c>
      <c r="L157" s="878">
        <f>IF(E$157=0,0,E157/E$157)</f>
        <v>0</v>
      </c>
      <c r="M157" s="878">
        <f>M155*L155+M156*L156</f>
        <v>0</v>
      </c>
    </row>
    <row r="158" spans="1:13" ht="15" customHeight="1" x14ac:dyDescent="0.3">
      <c r="I158" s="1362"/>
      <c r="J158" s="7"/>
      <c r="L158" s="1362"/>
      <c r="M158" s="7"/>
    </row>
    <row r="159" spans="1:13" ht="15" customHeight="1" x14ac:dyDescent="0.35">
      <c r="B159" s="1580"/>
      <c r="I159" s="1580"/>
      <c r="J159" s="7"/>
      <c r="L159" s="1580"/>
      <c r="M159" s="7"/>
    </row>
    <row r="160" spans="1:13" ht="14" x14ac:dyDescent="0.3">
      <c r="A160" s="1581" t="str">
        <f>+A10</f>
        <v>COSTOS FIXOS MENSUALS</v>
      </c>
      <c r="B160" s="1520"/>
      <c r="G160" s="21"/>
      <c r="I160" s="1523" t="s">
        <v>311</v>
      </c>
      <c r="J160" s="1524" t="s">
        <v>334</v>
      </c>
      <c r="L160" s="1523" t="s">
        <v>311</v>
      </c>
      <c r="M160" s="1524" t="s">
        <v>334</v>
      </c>
    </row>
    <row r="161" spans="1:13" x14ac:dyDescent="0.3">
      <c r="A161" s="1391" t="str">
        <f>+A11</f>
        <v>LLOGUERS</v>
      </c>
      <c r="B161" s="1710">
        <f>VARIABLES!N144/12</f>
        <v>0</v>
      </c>
      <c r="G161" s="21"/>
      <c r="I161" s="794">
        <f t="shared" ref="I161:I182" si="25">B161*I$155</f>
        <v>0</v>
      </c>
      <c r="J161" s="794">
        <f t="shared" ref="J161:J182" si="26">B161*I$156</f>
        <v>0</v>
      </c>
      <c r="L161" s="794">
        <f>B161*L$155</f>
        <v>0</v>
      </c>
      <c r="M161" s="794">
        <f>B161*L$156</f>
        <v>0</v>
      </c>
    </row>
    <row r="162" spans="1:13" x14ac:dyDescent="0.3">
      <c r="A162" s="1391" t="str">
        <f>+A88</f>
        <v>LEASING</v>
      </c>
      <c r="B162" s="1710">
        <f>VARIABLES!N145/12</f>
        <v>0</v>
      </c>
      <c r="G162" s="21"/>
      <c r="I162" s="794">
        <f t="shared" si="25"/>
        <v>0</v>
      </c>
      <c r="J162" s="794">
        <f t="shared" si="26"/>
        <v>0</v>
      </c>
      <c r="L162" s="794">
        <f t="shared" ref="L162:L181" si="27">B162*L$155</f>
        <v>0</v>
      </c>
      <c r="M162" s="794">
        <f t="shared" ref="M162:M181" si="28">B162*L$156</f>
        <v>0</v>
      </c>
    </row>
    <row r="163" spans="1:13" x14ac:dyDescent="0.3">
      <c r="A163" s="1391" t="str">
        <f t="shared" ref="A163:A178" si="29">+A13</f>
        <v>REPARACIONS</v>
      </c>
      <c r="B163" s="1710">
        <f>VARIABLES!N146/12</f>
        <v>0</v>
      </c>
      <c r="G163" s="21"/>
      <c r="I163" s="794">
        <f t="shared" si="25"/>
        <v>0</v>
      </c>
      <c r="J163" s="1525">
        <f t="shared" si="26"/>
        <v>0</v>
      </c>
      <c r="L163" s="794">
        <f t="shared" si="27"/>
        <v>0</v>
      </c>
      <c r="M163" s="794">
        <f t="shared" si="28"/>
        <v>0</v>
      </c>
    </row>
    <row r="164" spans="1:13" x14ac:dyDescent="0.3">
      <c r="A164" s="1391" t="str">
        <f t="shared" si="29"/>
        <v>SERV. PROF. IND.</v>
      </c>
      <c r="B164" s="1710">
        <f>VARIABLES!N147/12</f>
        <v>0</v>
      </c>
      <c r="G164" s="21"/>
      <c r="I164" s="794">
        <f t="shared" si="25"/>
        <v>0</v>
      </c>
      <c r="J164" s="1525">
        <f t="shared" si="26"/>
        <v>0</v>
      </c>
      <c r="L164" s="794">
        <f t="shared" si="27"/>
        <v>0</v>
      </c>
      <c r="M164" s="794">
        <f t="shared" si="28"/>
        <v>0</v>
      </c>
    </row>
    <row r="165" spans="1:13" x14ac:dyDescent="0.3">
      <c r="A165" s="1391" t="str">
        <f t="shared" si="29"/>
        <v>TRANSPORTS</v>
      </c>
      <c r="B165" s="1710">
        <f>VARIABLES!N149/12</f>
        <v>0</v>
      </c>
      <c r="G165" s="21"/>
      <c r="I165" s="794">
        <f t="shared" si="25"/>
        <v>0</v>
      </c>
      <c r="J165" s="1525">
        <f t="shared" si="26"/>
        <v>0</v>
      </c>
      <c r="L165" s="794">
        <f t="shared" si="27"/>
        <v>0</v>
      </c>
      <c r="M165" s="794">
        <f t="shared" si="28"/>
        <v>0</v>
      </c>
    </row>
    <row r="166" spans="1:13" x14ac:dyDescent="0.3">
      <c r="A166" s="1391" t="str">
        <f t="shared" si="29"/>
        <v>PRIMES D'ASSEGURANCES</v>
      </c>
      <c r="B166" s="1710">
        <f>VARIABLES!N150/12</f>
        <v>0</v>
      </c>
      <c r="G166" s="21"/>
      <c r="I166" s="794">
        <f t="shared" si="25"/>
        <v>0</v>
      </c>
      <c r="J166" s="1525">
        <f t="shared" si="26"/>
        <v>0</v>
      </c>
      <c r="L166" s="794">
        <f t="shared" si="27"/>
        <v>0</v>
      </c>
      <c r="M166" s="794">
        <f t="shared" si="28"/>
        <v>0</v>
      </c>
    </row>
    <row r="167" spans="1:13" x14ac:dyDescent="0.3">
      <c r="A167" s="1391" t="str">
        <f t="shared" si="29"/>
        <v>PUBLICITAT</v>
      </c>
      <c r="B167" s="1710">
        <f>VARIABLES!N152/12-(B156*'Introducció dades'!G229)</f>
        <v>0</v>
      </c>
      <c r="G167" s="21"/>
      <c r="I167" s="794">
        <f t="shared" si="25"/>
        <v>0</v>
      </c>
      <c r="J167" s="1525">
        <f t="shared" si="26"/>
        <v>0</v>
      </c>
      <c r="L167" s="794">
        <f t="shared" si="27"/>
        <v>0</v>
      </c>
      <c r="M167" s="794">
        <f t="shared" si="28"/>
        <v>0</v>
      </c>
    </row>
    <row r="168" spans="1:13" x14ac:dyDescent="0.3">
      <c r="A168" s="1582" t="str">
        <f t="shared" si="29"/>
        <v>SUBMINISTRAMENTS</v>
      </c>
      <c r="B168" s="1710">
        <f>SUM(B169:B173)</f>
        <v>0</v>
      </c>
      <c r="G168" s="21"/>
      <c r="I168" s="796">
        <f t="shared" si="25"/>
        <v>0</v>
      </c>
      <c r="J168" s="1527">
        <f t="shared" si="26"/>
        <v>0</v>
      </c>
      <c r="L168" s="794">
        <f t="shared" si="27"/>
        <v>0</v>
      </c>
      <c r="M168" s="794">
        <f t="shared" si="28"/>
        <v>0</v>
      </c>
    </row>
    <row r="169" spans="1:13" x14ac:dyDescent="0.3">
      <c r="A169" s="1019" t="str">
        <f t="shared" si="29"/>
        <v>Aigua</v>
      </c>
      <c r="B169" s="1711">
        <f>VARIABLES!N154/12</f>
        <v>0</v>
      </c>
      <c r="G169" s="21"/>
      <c r="I169" s="1384">
        <f t="shared" si="25"/>
        <v>0</v>
      </c>
      <c r="J169" s="1528">
        <f t="shared" si="26"/>
        <v>0</v>
      </c>
      <c r="L169" s="794">
        <f t="shared" si="27"/>
        <v>0</v>
      </c>
      <c r="M169" s="794">
        <f t="shared" si="28"/>
        <v>0</v>
      </c>
    </row>
    <row r="170" spans="1:13" x14ac:dyDescent="0.3">
      <c r="A170" s="1019" t="str">
        <f t="shared" si="29"/>
        <v>Gas</v>
      </c>
      <c r="B170" s="1712">
        <f>VARIABLES!N155/12</f>
        <v>0</v>
      </c>
      <c r="G170" s="21"/>
      <c r="I170" s="1384">
        <f t="shared" si="25"/>
        <v>0</v>
      </c>
      <c r="J170" s="1528">
        <f t="shared" si="26"/>
        <v>0</v>
      </c>
      <c r="L170" s="794">
        <f t="shared" si="27"/>
        <v>0</v>
      </c>
      <c r="M170" s="794">
        <f t="shared" si="28"/>
        <v>0</v>
      </c>
    </row>
    <row r="171" spans="1:13" x14ac:dyDescent="0.3">
      <c r="A171" s="1019" t="str">
        <f t="shared" si="29"/>
        <v>Electricitat</v>
      </c>
      <c r="B171" s="1712">
        <f>VARIABLES!N156/12</f>
        <v>0</v>
      </c>
      <c r="G171" s="21"/>
      <c r="I171" s="1384">
        <f t="shared" si="25"/>
        <v>0</v>
      </c>
      <c r="J171" s="1528">
        <f t="shared" si="26"/>
        <v>0</v>
      </c>
      <c r="L171" s="794">
        <f t="shared" si="27"/>
        <v>0</v>
      </c>
      <c r="M171" s="794">
        <f t="shared" si="28"/>
        <v>0</v>
      </c>
    </row>
    <row r="172" spans="1:13" x14ac:dyDescent="0.3">
      <c r="A172" s="1019" t="str">
        <f t="shared" si="29"/>
        <v>Combustible</v>
      </c>
      <c r="B172" s="1712">
        <f>VARIABLES!N157/12</f>
        <v>0</v>
      </c>
      <c r="G172" s="21"/>
      <c r="I172" s="1384">
        <f t="shared" si="25"/>
        <v>0</v>
      </c>
      <c r="J172" s="1528">
        <f t="shared" si="26"/>
        <v>0</v>
      </c>
      <c r="L172" s="794">
        <f t="shared" si="27"/>
        <v>0</v>
      </c>
      <c r="M172" s="794">
        <f t="shared" si="28"/>
        <v>0</v>
      </c>
    </row>
    <row r="173" spans="1:13" x14ac:dyDescent="0.3">
      <c r="A173" s="1583" t="str">
        <f t="shared" si="29"/>
        <v>Telèfon, fax i internet</v>
      </c>
      <c r="B173" s="1713">
        <f>VARIABLES!N158/12</f>
        <v>0</v>
      </c>
      <c r="G173" s="21"/>
      <c r="I173" s="793">
        <f t="shared" si="25"/>
        <v>0</v>
      </c>
      <c r="J173" s="1530">
        <f t="shared" si="26"/>
        <v>0</v>
      </c>
      <c r="L173" s="794">
        <f t="shared" si="27"/>
        <v>0</v>
      </c>
      <c r="M173" s="794">
        <f t="shared" si="28"/>
        <v>0</v>
      </c>
    </row>
    <row r="174" spans="1:13" x14ac:dyDescent="0.3">
      <c r="A174" s="1584" t="str">
        <f t="shared" si="29"/>
        <v>DESPESES DIVERSES</v>
      </c>
      <c r="B174" s="1710">
        <f>SUM(B175:B178)</f>
        <v>0</v>
      </c>
      <c r="G174" s="21"/>
      <c r="I174" s="1384">
        <f t="shared" si="25"/>
        <v>0</v>
      </c>
      <c r="J174" s="1527">
        <f t="shared" si="26"/>
        <v>0</v>
      </c>
      <c r="L174" s="794">
        <f t="shared" si="27"/>
        <v>0</v>
      </c>
      <c r="M174" s="794">
        <f t="shared" si="28"/>
        <v>0</v>
      </c>
    </row>
    <row r="175" spans="1:13" x14ac:dyDescent="0.3">
      <c r="A175" s="1019" t="str">
        <f t="shared" si="29"/>
        <v>Gestoria</v>
      </c>
      <c r="B175" s="1711">
        <f>VARIABLES!N160/12</f>
        <v>0</v>
      </c>
      <c r="G175" s="21"/>
      <c r="I175" s="1384">
        <f t="shared" si="25"/>
        <v>0</v>
      </c>
      <c r="J175" s="1528">
        <f t="shared" si="26"/>
        <v>0</v>
      </c>
      <c r="L175" s="794">
        <f t="shared" si="27"/>
        <v>0</v>
      </c>
      <c r="M175" s="794">
        <f t="shared" si="28"/>
        <v>0</v>
      </c>
    </row>
    <row r="176" spans="1:13" x14ac:dyDescent="0.3">
      <c r="A176" s="1019" t="str">
        <f t="shared" si="29"/>
        <v>Oficina</v>
      </c>
      <c r="B176" s="1712">
        <f>VARIABLES!N161/12</f>
        <v>0</v>
      </c>
      <c r="G176" s="21"/>
      <c r="I176" s="1384">
        <f t="shared" si="25"/>
        <v>0</v>
      </c>
      <c r="J176" s="1528">
        <f t="shared" si="26"/>
        <v>0</v>
      </c>
      <c r="L176" s="794">
        <f t="shared" si="27"/>
        <v>0</v>
      </c>
      <c r="M176" s="794">
        <f t="shared" si="28"/>
        <v>0</v>
      </c>
    </row>
    <row r="177" spans="1:13" x14ac:dyDescent="0.3">
      <c r="A177" s="1019" t="str">
        <f t="shared" si="29"/>
        <v>Manutenció</v>
      </c>
      <c r="B177" s="1714">
        <f>VARIABLES!N162/12</f>
        <v>0</v>
      </c>
      <c r="G177" s="21"/>
      <c r="I177" s="1384">
        <f t="shared" si="25"/>
        <v>0</v>
      </c>
      <c r="J177" s="1528">
        <f t="shared" si="26"/>
        <v>0</v>
      </c>
      <c r="L177" s="794">
        <f t="shared" si="27"/>
        <v>0</v>
      </c>
      <c r="M177" s="794">
        <f t="shared" si="28"/>
        <v>0</v>
      </c>
    </row>
    <row r="178" spans="1:13" x14ac:dyDescent="0.3">
      <c r="A178" s="1583" t="str">
        <f t="shared" si="29"/>
        <v>Varis</v>
      </c>
      <c r="B178" s="1714">
        <f>VARIABLES!N163/12</f>
        <v>0</v>
      </c>
      <c r="G178" s="21"/>
      <c r="I178" s="793">
        <f t="shared" si="25"/>
        <v>0</v>
      </c>
      <c r="J178" s="1530">
        <f t="shared" si="26"/>
        <v>0</v>
      </c>
      <c r="L178" s="794">
        <f t="shared" si="27"/>
        <v>0</v>
      </c>
      <c r="M178" s="794">
        <f t="shared" si="28"/>
        <v>0</v>
      </c>
    </row>
    <row r="179" spans="1:13" x14ac:dyDescent="0.3">
      <c r="A179" s="1585" t="str">
        <f>+A30</f>
        <v>TRIBUTS</v>
      </c>
      <c r="B179" s="1710">
        <f>'Resultats per mesos'!I140/12</f>
        <v>0</v>
      </c>
      <c r="G179" s="21"/>
      <c r="I179" s="794">
        <f t="shared" si="25"/>
        <v>0</v>
      </c>
      <c r="J179" s="1436">
        <f t="shared" si="26"/>
        <v>0</v>
      </c>
      <c r="L179" s="794">
        <f t="shared" si="27"/>
        <v>0</v>
      </c>
      <c r="M179" s="794">
        <f t="shared" si="28"/>
        <v>0</v>
      </c>
    </row>
    <row r="180" spans="1:13" x14ac:dyDescent="0.3">
      <c r="A180" s="1391" t="str">
        <f>+A31</f>
        <v>PERSONAL</v>
      </c>
      <c r="B180" s="1710">
        <f>(PERSONAL!O228+PERSONAL!O234+PERSONAL!O258+PROMOTORS!O224+PROMOTORS!O246)/12</f>
        <v>0</v>
      </c>
      <c r="G180" s="21"/>
      <c r="I180" s="794">
        <f t="shared" si="25"/>
        <v>0</v>
      </c>
      <c r="J180" s="1525">
        <f t="shared" si="26"/>
        <v>0</v>
      </c>
      <c r="L180" s="794">
        <f t="shared" si="27"/>
        <v>0</v>
      </c>
      <c r="M180" s="794">
        <f t="shared" si="28"/>
        <v>0</v>
      </c>
    </row>
    <row r="181" spans="1:13" x14ac:dyDescent="0.3">
      <c r="A181" s="1585" t="str">
        <f>+A32</f>
        <v>DESPESES FINANCERES</v>
      </c>
      <c r="B181" s="1719">
        <f>'Resultats per mesos'!I138/12</f>
        <v>0</v>
      </c>
      <c r="G181" s="21"/>
      <c r="I181" s="794">
        <f t="shared" si="25"/>
        <v>0</v>
      </c>
      <c r="J181" s="1436">
        <f t="shared" si="26"/>
        <v>0</v>
      </c>
      <c r="L181" s="794">
        <f t="shared" si="27"/>
        <v>0</v>
      </c>
      <c r="M181" s="794">
        <f t="shared" si="28"/>
        <v>0</v>
      </c>
    </row>
    <row r="182" spans="1:13" x14ac:dyDescent="0.3">
      <c r="A182" s="1391" t="str">
        <f>+A33</f>
        <v>AMORTITZACIONS</v>
      </c>
      <c r="B182" s="1710">
        <f>'Resultats per mesos'!I135/12</f>
        <v>0</v>
      </c>
      <c r="G182" s="21"/>
      <c r="I182" s="794">
        <f t="shared" si="25"/>
        <v>0</v>
      </c>
      <c r="J182" s="1525">
        <f t="shared" si="26"/>
        <v>0</v>
      </c>
      <c r="L182" s="794">
        <f>('Tresoreria per mesos'!O151/12)*L$155</f>
        <v>0</v>
      </c>
      <c r="M182" s="1525">
        <f>('Tresoreria per mesos'!O151/12)*L$156</f>
        <v>0</v>
      </c>
    </row>
    <row r="183" spans="1:13" ht="15.5" x14ac:dyDescent="0.35">
      <c r="A183" s="1586" t="str">
        <f>+A34</f>
        <v>TOTAL COSTOS FIXOS</v>
      </c>
      <c r="B183" s="1720">
        <f>(B180+B181+B182)+B174+SUM(B161:B168)</f>
        <v>0</v>
      </c>
      <c r="G183" s="21"/>
      <c r="I183" s="1534">
        <f>SUM(I179:I182)+I174+SUM(I161:I168)</f>
        <v>0</v>
      </c>
      <c r="J183" s="1534">
        <f>SUM(J179:J182)+J174+SUM(J161:J168)</f>
        <v>0</v>
      </c>
      <c r="L183" s="1534">
        <f>SUM(L179:L182)+L174+SUM(L161:L168)</f>
        <v>0</v>
      </c>
      <c r="M183" s="1534">
        <f>SUM(M179:M182)+M174+SUM(M161:M168)</f>
        <v>0</v>
      </c>
    </row>
    <row r="184" spans="1:13" x14ac:dyDescent="0.3">
      <c r="B184" s="21"/>
      <c r="G184" s="21"/>
      <c r="I184" s="1362"/>
      <c r="J184" s="7"/>
      <c r="L184" s="1362"/>
      <c r="M184" s="7"/>
    </row>
    <row r="185" spans="1:13" ht="15.5" x14ac:dyDescent="0.35">
      <c r="A185" s="1588" t="str">
        <f>+A36</f>
        <v>MARGE COMERCIAL</v>
      </c>
      <c r="B185" s="1536">
        <f>IF(B187=0,0,B183/B187)</f>
        <v>0</v>
      </c>
      <c r="E185" s="1537"/>
      <c r="F185" s="1537"/>
      <c r="G185" s="1538"/>
      <c r="I185" s="1539">
        <f>$J155-(VARIABLES!$B132*VARIABLES!$C132+VARIABLES!$B133*VARIABLES!$C133+VARIABLES!$B137+VARIABLES!$B138+PROMOTORS!$M216+PERSONAL!$H210)*$I155</f>
        <v>0</v>
      </c>
      <c r="J185" s="1539">
        <f>$J156-(VARIABLES!$B132*VARIABLES!$C132+VARIABLES!$B133*VARIABLES!$C133+VARIABLES!$B137+VARIABLES!$B138+PROMOTORS!$M216+PERSONAL!$H210)*$I156</f>
        <v>0</v>
      </c>
      <c r="L185" s="1539">
        <f>$J155-(VARIABLES!$B132*VARIABLES!$C132+VARIABLES!$B133*VARIABLES!$C133+VARIABLES!$B137+VARIABLES!$B138+PROMOTORS!$M216+PERSONAL!$H210)*$I155</f>
        <v>0</v>
      </c>
      <c r="M185" s="1539">
        <f>$J156-(VARIABLES!$B132*VARIABLES!$C132+VARIABLES!$B133*VARIABLES!$C133+VARIABLES!$B137+VARIABLES!$B138+PROMOTORS!$M216+PERSONAL!$H210)*$I156</f>
        <v>0</v>
      </c>
    </row>
    <row r="186" spans="1:13" ht="16" thickBot="1" x14ac:dyDescent="0.4">
      <c r="A186" s="1540"/>
      <c r="B186" s="1541"/>
      <c r="E186" s="1537"/>
      <c r="F186" s="1537"/>
      <c r="G186" s="1538"/>
      <c r="I186" s="1545"/>
      <c r="J186" s="1546"/>
      <c r="L186" s="1545"/>
      <c r="M186" s="1546"/>
    </row>
    <row r="187" spans="1:13" ht="16" thickBot="1" x14ac:dyDescent="0.4">
      <c r="A187" s="1702" t="str">
        <f>+A38</f>
        <v>PUNT D'EQUILIBRI</v>
      </c>
      <c r="B187" s="1703">
        <f>SUM(I187:J187)</f>
        <v>0</v>
      </c>
      <c r="E187" s="1537"/>
      <c r="F187" s="1537"/>
      <c r="G187" s="1538"/>
      <c r="I187" s="1543">
        <f>IF(I185&gt;0,I183/I185,I183)</f>
        <v>0</v>
      </c>
      <c r="J187" s="1543">
        <f>IF(J185&gt;0,J183/J185,0)</f>
        <v>0</v>
      </c>
      <c r="L187" s="1543">
        <f>IF(L185&gt;0,L183/L185,L183)</f>
        <v>0</v>
      </c>
      <c r="M187" s="1543">
        <f>IF(M185&gt;0,M183/M185,0)</f>
        <v>0</v>
      </c>
    </row>
    <row r="188" spans="1:13" ht="16" thickBot="1" x14ac:dyDescent="0.4">
      <c r="A188" s="1707" t="str">
        <f>+A39</f>
        <v>PUNT DE SUPERVIVÈNCIA</v>
      </c>
      <c r="B188" s="1704">
        <f>SUM(L187:M187)</f>
        <v>0</v>
      </c>
      <c r="E188" s="1537"/>
      <c r="F188" s="1537"/>
      <c r="G188" s="1538"/>
      <c r="I188" s="1691"/>
      <c r="J188" s="1691"/>
      <c r="L188" s="1691"/>
      <c r="M188" s="1691"/>
    </row>
    <row r="189" spans="1:13" ht="15.5" x14ac:dyDescent="0.35">
      <c r="A189" s="1701" t="s">
        <v>732</v>
      </c>
      <c r="B189" s="1547"/>
      <c r="E189" s="1537"/>
      <c r="F189" s="1537"/>
      <c r="G189" s="1538"/>
      <c r="I189" s="1545"/>
      <c r="J189" s="1546"/>
      <c r="L189" s="1545"/>
      <c r="M189" s="1546"/>
    </row>
    <row r="190" spans="1:13" ht="15.5" x14ac:dyDescent="0.35">
      <c r="A190" s="1588" t="str">
        <f>+A41</f>
        <v>PUNT D'EQUILIBRI/INGRESSOS PREVISTOS</v>
      </c>
      <c r="B190" s="1536">
        <f>IF(B157=0,0,B187/('INGRESSOS _ COMPRES'!O164/12))</f>
        <v>0</v>
      </c>
      <c r="E190" s="1537"/>
      <c r="F190" s="1537"/>
      <c r="G190" s="1538"/>
      <c r="I190" s="1539">
        <f>IF(B155=0,0,I187/('INGRESSOS _ COMPRES'!O134/12))</f>
        <v>0</v>
      </c>
      <c r="J190" s="1539">
        <f>IF(B156=0,0,J187/('INGRESSOS _ COMPRES'!O149/12))</f>
        <v>0</v>
      </c>
      <c r="L190" s="1539">
        <f>IF(B155=0,0,I187/('INGRESSOS _ COMPRES'!O134/12))</f>
        <v>0</v>
      </c>
      <c r="M190" s="1539">
        <f>IF(B156=0,0,J187/('INGRESSOS _ COMPRES'!O149/12))</f>
        <v>0</v>
      </c>
    </row>
    <row r="191" spans="1:13" x14ac:dyDescent="0.3">
      <c r="G191" s="21"/>
    </row>
    <row r="192" spans="1:13" x14ac:dyDescent="0.3">
      <c r="G192" s="21"/>
    </row>
    <row r="193" spans="1:7" hidden="1" x14ac:dyDescent="0.3">
      <c r="A193" s="1548" t="s">
        <v>604</v>
      </c>
      <c r="B193" s="21"/>
      <c r="D193" s="9"/>
      <c r="E193" s="21"/>
      <c r="F193" s="21"/>
      <c r="G193" s="21"/>
    </row>
    <row r="194" spans="1:7" ht="12.5" x14ac:dyDescent="0.25">
      <c r="B194" s="1984" t="s">
        <v>232</v>
      </c>
      <c r="C194" s="1985" t="s">
        <v>228</v>
      </c>
      <c r="D194" s="1985"/>
      <c r="E194" s="1985"/>
      <c r="F194" s="1986" t="s">
        <v>605</v>
      </c>
      <c r="G194" s="1986"/>
    </row>
    <row r="195" spans="1:7" ht="12.5" x14ac:dyDescent="0.25">
      <c r="B195" s="1984"/>
      <c r="C195" s="1549" t="s">
        <v>231</v>
      </c>
      <c r="D195" s="1427" t="s">
        <v>295</v>
      </c>
      <c r="E195" s="1427" t="s">
        <v>151</v>
      </c>
      <c r="F195" s="1550" t="s">
        <v>231</v>
      </c>
      <c r="G195" s="1550" t="s">
        <v>295</v>
      </c>
    </row>
    <row r="196" spans="1:7" hidden="1" x14ac:dyDescent="0.3">
      <c r="A196" s="1551" t="str">
        <f>IF(C196="","",MERCADERIES!A147)</f>
        <v/>
      </c>
      <c r="B196" s="1552" t="str">
        <f>IF(C196="","",MERCADERIES!D147)</f>
        <v/>
      </c>
      <c r="C196" s="1553" t="str">
        <f>IF(MERCADERIES!C147=0,"",MERCADERIES!C147)</f>
        <v/>
      </c>
      <c r="D196" s="15" t="str">
        <f t="shared" ref="D196:D207" si="30">IF(C196="","",C196*B196)</f>
        <v/>
      </c>
      <c r="E196" s="1554" t="str">
        <f t="shared" ref="E196:E207" si="31">IF(D196="","",D196/D$59)</f>
        <v/>
      </c>
      <c r="F196" s="1555" t="str">
        <f t="shared" ref="F196:F207" si="32">IF(B196="","",G196/B196)</f>
        <v/>
      </c>
      <c r="G196" s="1556" t="str">
        <f t="shared" ref="G196:G207" si="33">IF(C196="","",E196*I$37)</f>
        <v/>
      </c>
    </row>
    <row r="197" spans="1:7" hidden="1" x14ac:dyDescent="0.3">
      <c r="A197" s="1551" t="str">
        <f>IF(C197="","",MERCADERIES!A148)</f>
        <v/>
      </c>
      <c r="B197" s="1552" t="str">
        <f>IF(C197="","",MERCADERIES!D148)</f>
        <v/>
      </c>
      <c r="C197" s="1553" t="str">
        <f>IF(MERCADERIES!C148=0,"",MERCADERIES!C148)</f>
        <v/>
      </c>
      <c r="D197" s="15" t="str">
        <f t="shared" si="30"/>
        <v/>
      </c>
      <c r="E197" s="1554" t="str">
        <f t="shared" si="31"/>
        <v/>
      </c>
      <c r="F197" s="1555" t="str">
        <f t="shared" si="32"/>
        <v/>
      </c>
      <c r="G197" s="1556" t="str">
        <f t="shared" si="33"/>
        <v/>
      </c>
    </row>
    <row r="198" spans="1:7" hidden="1" x14ac:dyDescent="0.3">
      <c r="A198" s="1551" t="str">
        <f>IF(C198="","",MERCADERIES!A149)</f>
        <v/>
      </c>
      <c r="B198" s="1552" t="str">
        <f>IF(C198="","",MERCADERIES!D149)</f>
        <v/>
      </c>
      <c r="C198" s="1553" t="str">
        <f>IF(MERCADERIES!C149=0,"",MERCADERIES!C149)</f>
        <v/>
      </c>
      <c r="D198" s="15" t="str">
        <f t="shared" si="30"/>
        <v/>
      </c>
      <c r="E198" s="1554" t="str">
        <f t="shared" si="31"/>
        <v/>
      </c>
      <c r="F198" s="1555" t="str">
        <f t="shared" si="32"/>
        <v/>
      </c>
      <c r="G198" s="1556" t="str">
        <f t="shared" si="33"/>
        <v/>
      </c>
    </row>
    <row r="199" spans="1:7" hidden="1" x14ac:dyDescent="0.3">
      <c r="A199" s="1551" t="str">
        <f>IF(C199="","",MERCADERIES!A150)</f>
        <v/>
      </c>
      <c r="B199" s="1552" t="str">
        <f>IF(C199="","",MERCADERIES!D150)</f>
        <v/>
      </c>
      <c r="C199" s="1553" t="str">
        <f>IF(MERCADERIES!C150=0,"",MERCADERIES!C150)</f>
        <v/>
      </c>
      <c r="D199" s="15" t="str">
        <f t="shared" si="30"/>
        <v/>
      </c>
      <c r="E199" s="1554" t="str">
        <f t="shared" si="31"/>
        <v/>
      </c>
      <c r="F199" s="1555" t="str">
        <f t="shared" si="32"/>
        <v/>
      </c>
      <c r="G199" s="1556" t="str">
        <f t="shared" si="33"/>
        <v/>
      </c>
    </row>
    <row r="200" spans="1:7" hidden="1" x14ac:dyDescent="0.3">
      <c r="A200" s="1551" t="str">
        <f>IF(C200="","",MERCADERIES!A151)</f>
        <v/>
      </c>
      <c r="B200" s="1552" t="str">
        <f>IF(C200="","",MERCADERIES!D151)</f>
        <v/>
      </c>
      <c r="C200" s="1553" t="str">
        <f>IF(MERCADERIES!C151=0,"",MERCADERIES!C151)</f>
        <v/>
      </c>
      <c r="D200" s="15" t="str">
        <f t="shared" si="30"/>
        <v/>
      </c>
      <c r="E200" s="1554" t="str">
        <f t="shared" si="31"/>
        <v/>
      </c>
      <c r="F200" s="1555" t="str">
        <f t="shared" si="32"/>
        <v/>
      </c>
      <c r="G200" s="1556" t="str">
        <f t="shared" si="33"/>
        <v/>
      </c>
    </row>
    <row r="201" spans="1:7" hidden="1" x14ac:dyDescent="0.3">
      <c r="A201" s="1551" t="str">
        <f>IF(C201="","",MERCADERIES!A152)</f>
        <v/>
      </c>
      <c r="B201" s="1552" t="str">
        <f>IF(C201="","",MERCADERIES!D152)</f>
        <v/>
      </c>
      <c r="C201" s="1553" t="str">
        <f>IF(MERCADERIES!C152=0,"",MERCADERIES!C152)</f>
        <v/>
      </c>
      <c r="D201" s="15" t="str">
        <f t="shared" si="30"/>
        <v/>
      </c>
      <c r="E201" s="1554" t="str">
        <f t="shared" si="31"/>
        <v/>
      </c>
      <c r="F201" s="1555" t="str">
        <f t="shared" si="32"/>
        <v/>
      </c>
      <c r="G201" s="1556" t="str">
        <f t="shared" si="33"/>
        <v/>
      </c>
    </row>
    <row r="202" spans="1:7" hidden="1" x14ac:dyDescent="0.3">
      <c r="A202" s="1551" t="str">
        <f>IF(C202="","",MERCADERIES!A153)</f>
        <v/>
      </c>
      <c r="B202" s="1552" t="str">
        <f>IF(C202="","",MERCADERIES!D153)</f>
        <v/>
      </c>
      <c r="C202" s="1553" t="str">
        <f>IF(MERCADERIES!C153=0,"",MERCADERIES!C153)</f>
        <v/>
      </c>
      <c r="D202" s="15" t="str">
        <f t="shared" si="30"/>
        <v/>
      </c>
      <c r="E202" s="1554" t="str">
        <f t="shared" si="31"/>
        <v/>
      </c>
      <c r="F202" s="1555" t="str">
        <f t="shared" si="32"/>
        <v/>
      </c>
      <c r="G202" s="1556" t="str">
        <f t="shared" si="33"/>
        <v/>
      </c>
    </row>
    <row r="203" spans="1:7" hidden="1" x14ac:dyDescent="0.3">
      <c r="A203" s="1551">
        <f>IF(C203="","",MERCADERIES!A154)</f>
        <v>0</v>
      </c>
      <c r="B203" s="1552">
        <f>IF(C203="","",MERCADERIES!D154)</f>
        <v>0</v>
      </c>
      <c r="C203" s="1553" t="str">
        <f>IF(MERCADERIES!C154=0,"",MERCADERIES!C154)</f>
        <v>A</v>
      </c>
      <c r="D203" s="15" t="e">
        <f t="shared" si="30"/>
        <v>#VALUE!</v>
      </c>
      <c r="E203" s="1554" t="e">
        <f t="shared" si="31"/>
        <v>#VALUE!</v>
      </c>
      <c r="F203" s="1555" t="e">
        <f t="shared" si="32"/>
        <v>#VALUE!</v>
      </c>
      <c r="G203" s="1556" t="e">
        <f t="shared" si="33"/>
        <v>#VALUE!</v>
      </c>
    </row>
    <row r="204" spans="1:7" hidden="1" x14ac:dyDescent="0.3">
      <c r="A204" s="1551">
        <f>IF(C204="","",MERCADERIES!A155)</f>
        <v>0</v>
      </c>
      <c r="B204" s="1552" t="str">
        <f>IF(C204="","",MERCADERIES!D155)</f>
        <v>PREU UNITARI</v>
      </c>
      <c r="C204" s="1553" t="str">
        <f>IF(MERCADERIES!C155=0,"",MERCADERIES!C155)</f>
        <v>COMPRES (unitats)</v>
      </c>
      <c r="D204" s="15" t="e">
        <f t="shared" si="30"/>
        <v>#VALUE!</v>
      </c>
      <c r="E204" s="1554" t="e">
        <f t="shared" si="31"/>
        <v>#VALUE!</v>
      </c>
      <c r="F204" s="1555" t="e">
        <f t="shared" si="32"/>
        <v>#VALUE!</v>
      </c>
      <c r="G204" s="1556" t="e">
        <f t="shared" si="33"/>
        <v>#VALUE!</v>
      </c>
    </row>
    <row r="205" spans="1:7" hidden="1" x14ac:dyDescent="0.3">
      <c r="A205" s="1551" t="str">
        <f>IF(C205="","",MERCADERIES!A156)</f>
        <v/>
      </c>
      <c r="B205" s="1552" t="str">
        <f>IF(C205="","",MERCADERIES!D156)</f>
        <v/>
      </c>
      <c r="C205" s="1553" t="str">
        <f>IF(MERCADERIES!C156=0,"",MERCADERIES!C156)</f>
        <v/>
      </c>
      <c r="D205" s="15" t="str">
        <f t="shared" si="30"/>
        <v/>
      </c>
      <c r="E205" s="1554" t="str">
        <f t="shared" si="31"/>
        <v/>
      </c>
      <c r="F205" s="1555" t="str">
        <f t="shared" si="32"/>
        <v/>
      </c>
      <c r="G205" s="1556" t="str">
        <f t="shared" si="33"/>
        <v/>
      </c>
    </row>
    <row r="206" spans="1:7" hidden="1" x14ac:dyDescent="0.3">
      <c r="A206" s="1551" t="str">
        <f>IF(C206="","",MERCADERIES!A157)</f>
        <v/>
      </c>
      <c r="B206" s="1552" t="str">
        <f>IF(C206="","",MERCADERIES!D157)</f>
        <v/>
      </c>
      <c r="C206" s="1553" t="str">
        <f>IF(MERCADERIES!C157=0,"",MERCADERIES!C157)</f>
        <v/>
      </c>
      <c r="D206" s="15" t="str">
        <f t="shared" si="30"/>
        <v/>
      </c>
      <c r="E206" s="1554" t="str">
        <f t="shared" si="31"/>
        <v/>
      </c>
      <c r="F206" s="1555" t="str">
        <f t="shared" si="32"/>
        <v/>
      </c>
      <c r="G206" s="1556" t="str">
        <f t="shared" si="33"/>
        <v/>
      </c>
    </row>
    <row r="207" spans="1:7" hidden="1" x14ac:dyDescent="0.3">
      <c r="A207" s="1551" t="str">
        <f>IF(C207="","",MERCADERIES!A158)</f>
        <v/>
      </c>
      <c r="B207" s="1552" t="str">
        <f>IF(C207="","",MERCADERIES!D158)</f>
        <v/>
      </c>
      <c r="C207" s="1553" t="str">
        <f>IF(MERCADERIES!C158=0,"",MERCADERIES!C158)</f>
        <v/>
      </c>
      <c r="D207" s="15" t="str">
        <f t="shared" si="30"/>
        <v/>
      </c>
      <c r="E207" s="1554" t="str">
        <f t="shared" si="31"/>
        <v/>
      </c>
      <c r="F207" s="1555" t="str">
        <f t="shared" si="32"/>
        <v/>
      </c>
      <c r="G207" s="1556" t="str">
        <f t="shared" si="33"/>
        <v/>
      </c>
    </row>
    <row r="208" spans="1:7" hidden="1" x14ac:dyDescent="0.3">
      <c r="A208" s="22" t="s">
        <v>606</v>
      </c>
      <c r="B208" s="1557"/>
      <c r="C208" s="1558"/>
      <c r="D208" s="1072" t="e">
        <f>SUM(D196:D207)</f>
        <v>#VALUE!</v>
      </c>
      <c r="E208" s="1559" t="e">
        <f>SUM(E196:E207)</f>
        <v>#VALUE!</v>
      </c>
      <c r="F208" s="1558"/>
      <c r="G208" s="1556" t="e">
        <f>SUM(G196:G207)</f>
        <v>#VALUE!</v>
      </c>
    </row>
    <row r="209" spans="1:7" x14ac:dyDescent="0.3">
      <c r="A209" s="1560" t="s">
        <v>607</v>
      </c>
      <c r="B209" s="1561"/>
      <c r="C209" s="1562"/>
      <c r="D209" s="1563"/>
      <c r="E209" s="1563"/>
      <c r="F209" s="1563"/>
      <c r="G209" s="1563"/>
    </row>
    <row r="210" spans="1:7" x14ac:dyDescent="0.3">
      <c r="A210" s="1551" t="str">
        <f>IF(B210="","",SERVEIS!A3)</f>
        <v/>
      </c>
      <c r="B210" s="1552" t="str">
        <f>IF(C210="","",SERVEIS!D3)</f>
        <v/>
      </c>
      <c r="C210" s="1553" t="str">
        <f>IF(+'Introducció dades'!Z156=0,"",SERVEIS!C3)</f>
        <v/>
      </c>
      <c r="D210" s="15" t="str">
        <f t="shared" ref="D210:D221" si="34">IF(B210="","",C210*B210)</f>
        <v/>
      </c>
      <c r="E210" s="1554" t="str">
        <f>IF(D210="","",D210/D$222)</f>
        <v/>
      </c>
      <c r="F210" s="1555" t="str">
        <f t="shared" ref="F210:F221" si="35">IF(B210="","",G210/B210)</f>
        <v/>
      </c>
      <c r="G210" s="1564" t="str">
        <f t="shared" ref="G210:G221" si="36">IF(C210="","",E210*J$187)</f>
        <v/>
      </c>
    </row>
    <row r="211" spans="1:7" x14ac:dyDescent="0.3">
      <c r="A211" s="1551" t="str">
        <f>IF(B211="","",SERVEIS!A4)</f>
        <v/>
      </c>
      <c r="B211" s="1552" t="str">
        <f>IF(C211="","",SERVEIS!D4)</f>
        <v/>
      </c>
      <c r="C211" s="1553" t="str">
        <f>IF(+'Introducció dades'!Z157=0,"",SERVEIS!C4)</f>
        <v/>
      </c>
      <c r="D211" s="15" t="str">
        <f t="shared" si="34"/>
        <v/>
      </c>
      <c r="E211" s="1554" t="str">
        <f t="shared" ref="E211:E221" si="37">IF(D211="","",D211/D$222)</f>
        <v/>
      </c>
      <c r="F211" s="1555" t="str">
        <f t="shared" si="35"/>
        <v/>
      </c>
      <c r="G211" s="1564" t="str">
        <f t="shared" si="36"/>
        <v/>
      </c>
    </row>
    <row r="212" spans="1:7" x14ac:dyDescent="0.3">
      <c r="A212" s="1551" t="str">
        <f>IF(B212="","",SERVEIS!A5)</f>
        <v/>
      </c>
      <c r="B212" s="1552" t="str">
        <f>IF(C212="","",SERVEIS!D5)</f>
        <v/>
      </c>
      <c r="C212" s="1553" t="str">
        <f>IF(+'Introducció dades'!Z158=0,"",SERVEIS!C5)</f>
        <v/>
      </c>
      <c r="D212" s="15" t="str">
        <f t="shared" si="34"/>
        <v/>
      </c>
      <c r="E212" s="1554" t="str">
        <f t="shared" si="37"/>
        <v/>
      </c>
      <c r="F212" s="1555" t="str">
        <f t="shared" si="35"/>
        <v/>
      </c>
      <c r="G212" s="1564" t="str">
        <f t="shared" si="36"/>
        <v/>
      </c>
    </row>
    <row r="213" spans="1:7" x14ac:dyDescent="0.3">
      <c r="A213" s="1551" t="str">
        <f>IF(B213="","",SERVEIS!A6)</f>
        <v/>
      </c>
      <c r="B213" s="1552" t="str">
        <f>IF(C213="","",SERVEIS!D6)</f>
        <v/>
      </c>
      <c r="C213" s="1553" t="str">
        <f>IF(+'Introducció dades'!Z159=0,"",SERVEIS!C6)</f>
        <v/>
      </c>
      <c r="D213" s="15" t="str">
        <f t="shared" si="34"/>
        <v/>
      </c>
      <c r="E213" s="1554" t="str">
        <f t="shared" si="37"/>
        <v/>
      </c>
      <c r="F213" s="1555" t="str">
        <f t="shared" si="35"/>
        <v/>
      </c>
      <c r="G213" s="1564" t="str">
        <f t="shared" si="36"/>
        <v/>
      </c>
    </row>
    <row r="214" spans="1:7" x14ac:dyDescent="0.3">
      <c r="A214" s="1551" t="str">
        <f>IF(B214="","",SERVEIS!A7)</f>
        <v/>
      </c>
      <c r="B214" s="1552" t="str">
        <f>IF(C214="","",SERVEIS!D7)</f>
        <v/>
      </c>
      <c r="C214" s="1553" t="str">
        <f>IF(+'Introducció dades'!Z160=0,"",SERVEIS!C7)</f>
        <v/>
      </c>
      <c r="D214" s="15" t="str">
        <f t="shared" si="34"/>
        <v/>
      </c>
      <c r="E214" s="1554" t="str">
        <f t="shared" si="37"/>
        <v/>
      </c>
      <c r="F214" s="1555" t="str">
        <f t="shared" si="35"/>
        <v/>
      </c>
      <c r="G214" s="1564" t="str">
        <f t="shared" si="36"/>
        <v/>
      </c>
    </row>
    <row r="215" spans="1:7" x14ac:dyDescent="0.3">
      <c r="A215" s="1551" t="str">
        <f>IF(B215="","",SERVEIS!A8)</f>
        <v/>
      </c>
      <c r="B215" s="1552" t="str">
        <f>IF(C215="","",SERVEIS!D8)</f>
        <v/>
      </c>
      <c r="C215" s="1553" t="str">
        <f>IF(+'Introducció dades'!Z161=0,"",SERVEIS!C8)</f>
        <v/>
      </c>
      <c r="D215" s="15" t="str">
        <f t="shared" si="34"/>
        <v/>
      </c>
      <c r="E215" s="1554" t="str">
        <f t="shared" si="37"/>
        <v/>
      </c>
      <c r="F215" s="1555" t="str">
        <f t="shared" si="35"/>
        <v/>
      </c>
      <c r="G215" s="1564" t="str">
        <f t="shared" si="36"/>
        <v/>
      </c>
    </row>
    <row r="216" spans="1:7" x14ac:dyDescent="0.3">
      <c r="A216" s="1551" t="str">
        <f>IF(B216="","",SERVEIS!A9)</f>
        <v/>
      </c>
      <c r="B216" s="1552" t="str">
        <f>IF(C216="","",SERVEIS!D9)</f>
        <v/>
      </c>
      <c r="C216" s="1553" t="str">
        <f>IF(+'Introducció dades'!Z162=0,"",SERVEIS!C9)</f>
        <v/>
      </c>
      <c r="D216" s="15" t="str">
        <f t="shared" si="34"/>
        <v/>
      </c>
      <c r="E216" s="1554" t="str">
        <f t="shared" si="37"/>
        <v/>
      </c>
      <c r="F216" s="1555" t="str">
        <f t="shared" si="35"/>
        <v/>
      </c>
      <c r="G216" s="1564" t="str">
        <f t="shared" si="36"/>
        <v/>
      </c>
    </row>
    <row r="217" spans="1:7" x14ac:dyDescent="0.3">
      <c r="A217" s="1551" t="str">
        <f>IF(B217="","",SERVEIS!A10)</f>
        <v/>
      </c>
      <c r="B217" s="1552" t="str">
        <f>IF(C217="","",SERVEIS!D10)</f>
        <v/>
      </c>
      <c r="C217" s="1553" t="str">
        <f>IF(+'Introducció dades'!Z163=0,"",SERVEIS!C10)</f>
        <v/>
      </c>
      <c r="D217" s="15" t="str">
        <f t="shared" si="34"/>
        <v/>
      </c>
      <c r="E217" s="1554" t="str">
        <f t="shared" si="37"/>
        <v/>
      </c>
      <c r="F217" s="1555" t="str">
        <f t="shared" si="35"/>
        <v/>
      </c>
      <c r="G217" s="1564" t="str">
        <f t="shared" si="36"/>
        <v/>
      </c>
    </row>
    <row r="218" spans="1:7" x14ac:dyDescent="0.3">
      <c r="A218" s="1551" t="str">
        <f>IF(B218="","",SERVEIS!A11)</f>
        <v/>
      </c>
      <c r="B218" s="1552" t="str">
        <f>IF(C218="","",SERVEIS!D11)</f>
        <v/>
      </c>
      <c r="C218" s="1553" t="str">
        <f>IF(+'Introducció dades'!Z164=0,"",SERVEIS!C11)</f>
        <v/>
      </c>
      <c r="D218" s="15" t="str">
        <f t="shared" si="34"/>
        <v/>
      </c>
      <c r="E218" s="1554" t="str">
        <f t="shared" si="37"/>
        <v/>
      </c>
      <c r="F218" s="1555" t="str">
        <f t="shared" si="35"/>
        <v/>
      </c>
      <c r="G218" s="1564" t="str">
        <f t="shared" si="36"/>
        <v/>
      </c>
    </row>
    <row r="219" spans="1:7" x14ac:dyDescent="0.3">
      <c r="A219" s="1551" t="str">
        <f>IF(B219="","",SERVEIS!A12)</f>
        <v/>
      </c>
      <c r="B219" s="1552" t="str">
        <f>IF(C219="","",SERVEIS!D12)</f>
        <v/>
      </c>
      <c r="C219" s="1553" t="str">
        <f>IF(+'Introducció dades'!Z165=0,"",SERVEIS!C12)</f>
        <v/>
      </c>
      <c r="D219" s="15" t="str">
        <f t="shared" si="34"/>
        <v/>
      </c>
      <c r="E219" s="1554" t="str">
        <f t="shared" si="37"/>
        <v/>
      </c>
      <c r="F219" s="1555" t="str">
        <f t="shared" si="35"/>
        <v/>
      </c>
      <c r="G219" s="1564" t="str">
        <f t="shared" si="36"/>
        <v/>
      </c>
    </row>
    <row r="220" spans="1:7" x14ac:dyDescent="0.3">
      <c r="A220" s="1551" t="str">
        <f>IF(B220="","",SERVEIS!A13)</f>
        <v/>
      </c>
      <c r="B220" s="1552" t="str">
        <f>IF(C220="","",SERVEIS!D13)</f>
        <v/>
      </c>
      <c r="C220" s="1553" t="str">
        <f>IF(+'Introducció dades'!Z166=0,"",SERVEIS!C13)</f>
        <v/>
      </c>
      <c r="D220" s="15" t="str">
        <f t="shared" si="34"/>
        <v/>
      </c>
      <c r="E220" s="1554" t="str">
        <f t="shared" si="37"/>
        <v/>
      </c>
      <c r="F220" s="1555" t="str">
        <f t="shared" si="35"/>
        <v/>
      </c>
      <c r="G220" s="1564" t="str">
        <f t="shared" si="36"/>
        <v/>
      </c>
    </row>
    <row r="221" spans="1:7" x14ac:dyDescent="0.3">
      <c r="A221" s="1551" t="str">
        <f>IF(B221="","",SERVEIS!A14)</f>
        <v/>
      </c>
      <c r="B221" s="1552" t="str">
        <f>IF(C221="","",SERVEIS!D14)</f>
        <v/>
      </c>
      <c r="C221" s="1553" t="str">
        <f>IF(+'Introducció dades'!Z167=0,"",SERVEIS!C14)</f>
        <v/>
      </c>
      <c r="D221" s="1140" t="str">
        <f t="shared" si="34"/>
        <v/>
      </c>
      <c r="E221" s="1554" t="str">
        <f t="shared" si="37"/>
        <v/>
      </c>
      <c r="F221" s="1568" t="str">
        <f t="shared" si="35"/>
        <v/>
      </c>
      <c r="G221" s="1569" t="str">
        <f t="shared" si="36"/>
        <v/>
      </c>
    </row>
    <row r="222" spans="1:7" x14ac:dyDescent="0.3">
      <c r="A222" s="1570" t="s">
        <v>608</v>
      </c>
      <c r="B222" s="1571"/>
      <c r="C222" s="1572"/>
      <c r="D222" s="1237">
        <f>SUM(D210:D221)</f>
        <v>0</v>
      </c>
      <c r="E222" s="1573">
        <f>SUM(E210:E221)</f>
        <v>0</v>
      </c>
      <c r="F222" s="1572"/>
      <c r="G222" s="1574">
        <f>SUM(G210:G221)</f>
        <v>0</v>
      </c>
    </row>
  </sheetData>
  <sheetProtection password="CC2F" sheet="1" objects="1" scenarios="1"/>
  <mergeCells count="15">
    <mergeCell ref="B45:B46"/>
    <mergeCell ref="C45:E45"/>
    <mergeCell ref="F45:G45"/>
    <mergeCell ref="J79:J80"/>
    <mergeCell ref="B194:B195"/>
    <mergeCell ref="C194:E194"/>
    <mergeCell ref="F194:G194"/>
    <mergeCell ref="B120:B121"/>
    <mergeCell ref="C120:E120"/>
    <mergeCell ref="F120:G120"/>
    <mergeCell ref="M3:M4"/>
    <mergeCell ref="M79:M80"/>
    <mergeCell ref="M153:M154"/>
    <mergeCell ref="J3:J4"/>
    <mergeCell ref="J153:J154"/>
  </mergeCells>
  <phoneticPr fontId="22" type="noConversion"/>
  <printOptions horizontalCentered="1"/>
  <pageMargins left="0.39374999999999999" right="0.39374999999999999" top="0.98402777777777772" bottom="0.78749999999999998" header="0.39374999999999999" footer="0.51180555555555562"/>
  <pageSetup paperSize="9" scale="72" firstPageNumber="0" orientation="portrait" horizontalDpi="300" verticalDpi="300" r:id="rId1"/>
  <headerFooter alignWithMargins="0">
    <oddHeader>&amp;L&amp;"Arial,Negrita"&amp;17&amp;A</oddHeader>
  </headerFooter>
  <rowBreaks count="2" manualBreakCount="2">
    <brk id="76" max="16383" man="1"/>
    <brk id="15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Button 1">
              <controlPr defaultSize="0" autoFill="0" autoLine="0" autoPict="0">
                <anchor moveWithCells="1" sizeWithCells="1">
                  <from>
                    <xdr:col>1</xdr:col>
                    <xdr:colOff>114300</xdr:colOff>
                    <xdr:row>0</xdr:row>
                    <xdr:rowOff>12700</xdr:rowOff>
                  </from>
                  <to>
                    <xdr:col>2</xdr:col>
                    <xdr:colOff>304800</xdr:colOff>
                    <xdr:row>0</xdr:row>
                    <xdr:rowOff>241300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9">
    <pageSetUpPr fitToPage="1"/>
  </sheetPr>
  <dimension ref="A1:F69"/>
  <sheetViews>
    <sheetView topLeftCell="A4" workbookViewId="0">
      <selection activeCell="B25" sqref="B25"/>
    </sheetView>
  </sheetViews>
  <sheetFormatPr defaultColWidth="11.453125" defaultRowHeight="12.5" x14ac:dyDescent="0.25"/>
  <cols>
    <col min="1" max="1" width="27" customWidth="1"/>
    <col min="2" max="6" width="11.7265625" customWidth="1"/>
  </cols>
  <sheetData>
    <row r="1" spans="1:4" ht="25.5" customHeight="1" x14ac:dyDescent="0.25">
      <c r="A1" s="1942" t="s">
        <v>609</v>
      </c>
      <c r="B1" s="1942"/>
    </row>
    <row r="3" spans="1:4" ht="13" x14ac:dyDescent="0.3">
      <c r="B3" s="1589" t="s">
        <v>68</v>
      </c>
      <c r="C3" s="1589" t="s">
        <v>69</v>
      </c>
      <c r="D3" s="1589" t="s">
        <v>70</v>
      </c>
    </row>
    <row r="4" spans="1:4" ht="13" x14ac:dyDescent="0.3">
      <c r="B4" s="1590" t="s">
        <v>523</v>
      </c>
      <c r="C4" s="1590" t="s">
        <v>523</v>
      </c>
      <c r="D4" s="1590" t="s">
        <v>523</v>
      </c>
    </row>
    <row r="5" spans="1:4" ht="13" x14ac:dyDescent="0.3">
      <c r="A5" s="108" t="s">
        <v>436</v>
      </c>
      <c r="B5" s="15">
        <f>'Resultats per mesos'!I33</f>
        <v>0</v>
      </c>
      <c r="C5" s="880">
        <f>'Resultats per mesos'!I80</f>
        <v>0</v>
      </c>
      <c r="D5" s="880">
        <f>'Resultats per mesos'!I127</f>
        <v>0</v>
      </c>
    </row>
    <row r="6" spans="1:4" ht="13" x14ac:dyDescent="0.3">
      <c r="A6" s="108" t="s">
        <v>582</v>
      </c>
      <c r="B6" s="15">
        <f>VARIABLES!N14+VARIABLES!N20+VARIABLES!N23+VARIABLES!N24-VARIABLES!B8*12+'Resultats per mesos'!I42+PROMOTORS!O33+PERSONAL!O58+'Resultats anuals'!B13</f>
        <v>0</v>
      </c>
      <c r="C6" s="15">
        <f>VARIABLES!N76+VARIABLES!N82+VARIABLES!N85+VARIABLES!N86-VARIABLES!B70*12+'Resultats per mesos'!I89+PROMOTORS!O134+PERSONAL!O155+'Resultats anuals'!D13</f>
        <v>0</v>
      </c>
      <c r="D6" s="15">
        <f>VARIABLES!N142+VARIABLES!N148+VARIABLES!N151+VARIABLES!N152-VARIABLES!B136*12+'Resultats per mesos'!I136+PROMOTORS!O235+PERSONAL!O252+'Resultats anuals'!F13</f>
        <v>0</v>
      </c>
    </row>
    <row r="7" spans="1:4" ht="13" x14ac:dyDescent="0.3">
      <c r="A7" s="1591" t="s">
        <v>610</v>
      </c>
      <c r="B7" s="1269">
        <f>B5-B6</f>
        <v>0</v>
      </c>
      <c r="C7" s="1269">
        <f>C5-C6</f>
        <v>0</v>
      </c>
      <c r="D7" s="1269">
        <f>D5-D6</f>
        <v>0</v>
      </c>
    </row>
    <row r="8" spans="1:4" ht="13" x14ac:dyDescent="0.3">
      <c r="A8" s="1591" t="s">
        <v>303</v>
      </c>
      <c r="B8" s="1011">
        <f>IF(B5=0,0,B7/B5)</f>
        <v>0</v>
      </c>
      <c r="C8" s="1011">
        <f>IF(C5=0,0,C7/C5)</f>
        <v>0</v>
      </c>
      <c r="D8" s="1011">
        <f>IF(D5=0,0,D7/D5)</f>
        <v>0</v>
      </c>
    </row>
    <row r="9" spans="1:4" ht="13" x14ac:dyDescent="0.3">
      <c r="A9" s="108" t="s">
        <v>581</v>
      </c>
      <c r="B9" s="15">
        <f>'Punt d_equilibri'!B34*12</f>
        <v>0</v>
      </c>
      <c r="C9" s="880">
        <f>'Punt d_equilibri'!B109*12</f>
        <v>0</v>
      </c>
      <c r="D9" s="880">
        <f>'Punt d_equilibri'!B183*12</f>
        <v>0</v>
      </c>
    </row>
    <row r="10" spans="1:4" ht="13" x14ac:dyDescent="0.3">
      <c r="A10" s="1591" t="s">
        <v>611</v>
      </c>
      <c r="B10" s="1269">
        <f>B7-B9</f>
        <v>0</v>
      </c>
      <c r="C10" s="1269">
        <f>C7-C9</f>
        <v>0</v>
      </c>
      <c r="D10" s="1269">
        <f>D7-D9</f>
        <v>0</v>
      </c>
    </row>
    <row r="11" spans="1:4" ht="13" x14ac:dyDescent="0.3">
      <c r="A11" s="7"/>
      <c r="B11" s="18"/>
      <c r="C11" s="18"/>
      <c r="D11" s="18"/>
    </row>
    <row r="12" spans="1:4" ht="13" x14ac:dyDescent="0.3">
      <c r="A12" s="23" t="s">
        <v>67</v>
      </c>
      <c r="B12" s="29">
        <f>'Pla de tresoreria'!B45-'Pla de tresoreria'!B42</f>
        <v>0</v>
      </c>
      <c r="C12" s="29">
        <f>'Pla de tresoreria'!C45-'Pla de tresoreria'!C42</f>
        <v>0</v>
      </c>
      <c r="D12" s="29">
        <f>'Pla de tresoreria'!D45-'Pla de tresoreria'!D42</f>
        <v>0</v>
      </c>
    </row>
    <row r="13" spans="1:4" ht="13" x14ac:dyDescent="0.3">
      <c r="A13" s="23" t="s">
        <v>28</v>
      </c>
      <c r="B13" s="29">
        <f>'Pla inversions i finançament'!B21-'Pla inversions i finançament'!B20</f>
        <v>0</v>
      </c>
      <c r="C13" s="29">
        <f>'Pla inversions i finançament'!C21-'Pla inversions i finançament'!C20</f>
        <v>0</v>
      </c>
      <c r="D13" s="29">
        <f>'Pla inversions i finançament'!D21-'Pla inversions i finançament'!D20</f>
        <v>0</v>
      </c>
    </row>
    <row r="15" spans="1:4" ht="13" x14ac:dyDescent="0.3">
      <c r="A15" s="1033" t="s">
        <v>612</v>
      </c>
      <c r="B15" s="1592" t="str">
        <f>IF(B13=0,"",B10/B13)</f>
        <v/>
      </c>
      <c r="C15" s="1592" t="str">
        <f>IF(C13=0,"",C10/C13)</f>
        <v/>
      </c>
      <c r="D15" s="1592" t="str">
        <f>IF(D13=0,"",D10/D13)</f>
        <v/>
      </c>
    </row>
    <row r="16" spans="1:4" ht="13" x14ac:dyDescent="0.3">
      <c r="A16" s="1033" t="s">
        <v>613</v>
      </c>
      <c r="B16" s="1592">
        <f>IF((B5-B10)=0,0,B10/(B5-B10))</f>
        <v>0</v>
      </c>
      <c r="C16" s="1592">
        <f>IF((C5-C10)=0,0,C10/(C5-C10))</f>
        <v>0</v>
      </c>
      <c r="D16" s="1592">
        <f>IF((D5-D10)=0,0,D10/(D5-D10))</f>
        <v>0</v>
      </c>
    </row>
    <row r="17" spans="1:6" ht="13" x14ac:dyDescent="0.3">
      <c r="A17" s="1033" t="s">
        <v>614</v>
      </c>
      <c r="B17" s="1592">
        <f>IF(B5=0,0,B10/B5)</f>
        <v>0</v>
      </c>
      <c r="C17" s="1592">
        <f>IF(C5=0,0,C10/C5)</f>
        <v>0</v>
      </c>
      <c r="D17" s="1592">
        <f>IF(D5=0,0,D10/D5)</f>
        <v>0</v>
      </c>
    </row>
    <row r="18" spans="1:6" ht="13" x14ac:dyDescent="0.3">
      <c r="A18" s="1593" t="s">
        <v>589</v>
      </c>
      <c r="B18" s="1048">
        <f>'Punt d_equilibri'!B38*12</f>
        <v>0</v>
      </c>
      <c r="C18" s="1048">
        <f>'Punt d_equilibri'!B113*12</f>
        <v>0</v>
      </c>
      <c r="D18" s="1048">
        <f>'Punt d_equilibri'!B187*12</f>
        <v>0</v>
      </c>
    </row>
    <row r="19" spans="1:6" ht="13" x14ac:dyDescent="0.3">
      <c r="A19" s="1033" t="s">
        <v>615</v>
      </c>
      <c r="B19" s="71">
        <f>IF(B23&gt;0,B21,0)+IF(C23&gt;0,C21,0)+IF(D23&gt;0,D21,0)+IF(E23&gt;0,E21,0)-IF(AND(B23&gt;0,C23&gt;0),1,0)-IF(AND(B23&gt;0,C23&gt;0,D23&gt;0),2,0)-IF(AND(B23&gt;0,C23&gt;0,D23&gt;0,E23&gt;0),3,0)-IF(AND(B23&lt;=0,C23&gt;0,D23&gt;0,E23&gt;0),5,0)-IF(AND(B23&lt;=0,C23&lt;=0,D23&gt;0,E23&gt;0),3,0)</f>
        <v>0</v>
      </c>
      <c r="C19" s="1988" t="str">
        <f>IF(AND(B19=0,B23&lt;=0,C23&lt;=0,D23&lt;=0),"més de 3 anys","")</f>
        <v>més de 3 anys</v>
      </c>
      <c r="D19" s="1988"/>
    </row>
    <row r="20" spans="1:6" hidden="1" x14ac:dyDescent="0.25">
      <c r="A20" s="21" t="s">
        <v>616</v>
      </c>
      <c r="B20" s="875">
        <f>-INVERSIONS!AA45</f>
        <v>0</v>
      </c>
      <c r="C20" s="21">
        <f>B12</f>
        <v>0</v>
      </c>
      <c r="D20" s="21">
        <f>C12</f>
        <v>0</v>
      </c>
      <c r="E20" s="21">
        <f>D12</f>
        <v>0</v>
      </c>
      <c r="F20" s="21"/>
    </row>
    <row r="21" spans="1:6" hidden="1" x14ac:dyDescent="0.25">
      <c r="A21" s="21" t="s">
        <v>617</v>
      </c>
      <c r="B21" s="875">
        <v>0</v>
      </c>
      <c r="C21" s="21">
        <v>1</v>
      </c>
      <c r="D21" s="21">
        <v>2</v>
      </c>
      <c r="E21" s="21">
        <v>3</v>
      </c>
      <c r="F21" s="21"/>
    </row>
    <row r="22" spans="1:6" hidden="1" x14ac:dyDescent="0.25">
      <c r="A22" s="21" t="s">
        <v>618</v>
      </c>
      <c r="B22" s="875">
        <f>B20/(1+B24)^B21</f>
        <v>0</v>
      </c>
      <c r="C22" s="21">
        <f>C20/(1+C24)^C21</f>
        <v>0</v>
      </c>
      <c r="D22" s="21">
        <f>D20/(1+D24)^D21</f>
        <v>0</v>
      </c>
      <c r="E22" s="21">
        <f>E20/(1+E24)^E21</f>
        <v>0</v>
      </c>
      <c r="F22" s="21"/>
    </row>
    <row r="23" spans="1:6" hidden="1" x14ac:dyDescent="0.25">
      <c r="A23" s="21" t="s">
        <v>619</v>
      </c>
      <c r="B23" s="875">
        <f>B22</f>
        <v>0</v>
      </c>
      <c r="C23" s="21">
        <f>B23+C22</f>
        <v>0</v>
      </c>
      <c r="D23" s="21">
        <f>C23+D22</f>
        <v>0</v>
      </c>
      <c r="E23" s="21">
        <f>D23+E22</f>
        <v>0</v>
      </c>
      <c r="F23" s="21"/>
    </row>
    <row r="24" spans="1:6" hidden="1" x14ac:dyDescent="0.25">
      <c r="A24" s="1504" t="s">
        <v>620</v>
      </c>
      <c r="B24" s="1594">
        <f>B27</f>
        <v>3.7999999999999999E-2</v>
      </c>
      <c r="C24" s="1504">
        <f>B24</f>
        <v>3.7999999999999999E-2</v>
      </c>
      <c r="D24" s="1504">
        <f>C24</f>
        <v>3.7999999999999999E-2</v>
      </c>
      <c r="E24" s="1504">
        <f>D24</f>
        <v>3.7999999999999999E-2</v>
      </c>
      <c r="F24" s="21"/>
    </row>
    <row r="25" spans="1:6" ht="13" x14ac:dyDescent="0.3">
      <c r="A25" s="1595" t="s">
        <v>621</v>
      </c>
      <c r="B25" s="72" t="e">
        <f>IRR(B20:E20)</f>
        <v>#NUM!</v>
      </c>
      <c r="C25" s="7"/>
      <c r="D25" s="7"/>
    </row>
    <row r="26" spans="1:6" ht="13" x14ac:dyDescent="0.3">
      <c r="A26" s="1595" t="s">
        <v>622</v>
      </c>
      <c r="B26" s="351">
        <f>SUM(B22:E22)</f>
        <v>0</v>
      </c>
      <c r="C26" s="7"/>
      <c r="D26" s="7"/>
    </row>
    <row r="27" spans="1:6" ht="13" x14ac:dyDescent="0.3">
      <c r="A27" s="1595" t="s">
        <v>620</v>
      </c>
      <c r="B27" s="1596">
        <v>3.7999999999999999E-2</v>
      </c>
      <c r="C27" s="7"/>
      <c r="D27" s="7"/>
    </row>
    <row r="29" spans="1:6" ht="13" x14ac:dyDescent="0.3">
      <c r="A29" s="1597" t="s">
        <v>623</v>
      </c>
      <c r="C29" s="1598" t="s">
        <v>540</v>
      </c>
      <c r="D29" s="49">
        <v>2</v>
      </c>
    </row>
    <row r="31" spans="1:6" ht="13" x14ac:dyDescent="0.3">
      <c r="A31" s="26"/>
      <c r="B31" s="1987" t="s">
        <v>624</v>
      </c>
      <c r="C31" s="1987"/>
      <c r="D31" s="1987"/>
      <c r="E31" s="1987"/>
      <c r="F31" s="1987"/>
    </row>
    <row r="32" spans="1:6" ht="13" x14ac:dyDescent="0.3">
      <c r="B32" s="1599">
        <v>-0.1</v>
      </c>
      <c r="C32" s="1775">
        <f>B32+5%</f>
        <v>-0.05</v>
      </c>
      <c r="D32" s="1775">
        <f>C32+5%</f>
        <v>0</v>
      </c>
      <c r="E32" s="1775">
        <f>D32+5%</f>
        <v>0.05</v>
      </c>
      <c r="F32" s="1775">
        <f>E32+5%</f>
        <v>0.1</v>
      </c>
    </row>
    <row r="33" spans="1:6" ht="13" x14ac:dyDescent="0.3">
      <c r="A33" s="1600" t="s">
        <v>436</v>
      </c>
      <c r="B33" s="1269">
        <f>IF($D29=1,$B5*(1+B32),0)+IF($D29=2,$C5*(1+B32),0)+IF($D29=3,$D5*(1+B32),0)</f>
        <v>0</v>
      </c>
      <c r="C33" s="1269">
        <f>IF($D29=1,$B5*(1+C32),0)+IF($D29=2,$C5*(1+C32),0)+IF($D29=3,$D5*(1+C32),0)</f>
        <v>0</v>
      </c>
      <c r="D33" s="1269">
        <f>IF($D29=1,$B5*(1+D32),0)+IF($D29=2,$C5*(1+D32),0)+IF($D29=3,$D5*(1+D32),0)</f>
        <v>0</v>
      </c>
      <c r="E33" s="1269">
        <f>IF($D29=1,$B5*(1+E32),0)+IF($D29=2,$C5*(1+E32),0)+IF($D29=3,$D5*(1+E32),0)</f>
        <v>0</v>
      </c>
      <c r="F33" s="1269">
        <f>IF($D29=1,$B5*(1+F32),0)+IF($D29=2,$C5*(1+F32),0)+IF($D29=3,$D5*(1+F32),0)</f>
        <v>0</v>
      </c>
    </row>
    <row r="34" spans="1:6" x14ac:dyDescent="0.25">
      <c r="A34" s="1601" t="s">
        <v>582</v>
      </c>
      <c r="B34" s="794">
        <f>IF($D29=1,B33*(1-$B8),0)+IF($D29=2,B33*(1-$C8),0)+IF($D29=3,B33*(1-$D8),0)</f>
        <v>0</v>
      </c>
      <c r="C34" s="794">
        <f>IF($D29=1,C33*(1-$B8),0)+IF($D29=2,C33*(1-$C8),0)+IF($D29=3,C33*(1-$D8),0)</f>
        <v>0</v>
      </c>
      <c r="D34" s="794">
        <f>IF($D29=1,D33*(1-$B8),0)+IF($D29=2,D33*(1-$C8),0)+IF($D29=3,D33*(1-$D8),0)</f>
        <v>0</v>
      </c>
      <c r="E34" s="794">
        <f>IF($D29=1,E33*(1-$B8),0)+IF($D29=2,E33*(1-$C8),0)+IF($D29=3,E33*(1-$D8),0)</f>
        <v>0</v>
      </c>
      <c r="F34" s="794">
        <f>IF($D29=1,F33*(1-$B8),0)+IF($D29=2,F33*(1-$C8),0)+IF($D29=3,F33*(1-$D8),0)</f>
        <v>0</v>
      </c>
    </row>
    <row r="35" spans="1:6" ht="13" x14ac:dyDescent="0.3">
      <c r="A35" s="1600" t="s">
        <v>610</v>
      </c>
      <c r="B35" s="1269">
        <f>B33-B34</f>
        <v>0</v>
      </c>
      <c r="C35" s="1269">
        <f>C33-C34</f>
        <v>0</v>
      </c>
      <c r="D35" s="1269">
        <f>D33-D34</f>
        <v>0</v>
      </c>
      <c r="E35" s="1269">
        <f>E33-E34</f>
        <v>0</v>
      </c>
      <c r="F35" s="1269">
        <f>F33-F34</f>
        <v>0</v>
      </c>
    </row>
    <row r="36" spans="1:6" x14ac:dyDescent="0.25">
      <c r="A36" s="1601" t="s">
        <v>581</v>
      </c>
      <c r="B36" s="794">
        <f>IF($D29=1,$B$9,0)+IF($D29=2,$C$9,0)+IF($D29=3,$D$9,0)</f>
        <v>0</v>
      </c>
      <c r="C36" s="794">
        <f>IF($D29=1,$B$9,0)+IF($D29=2,$C$9,0)+IF($D29=3,$D$9,0)</f>
        <v>0</v>
      </c>
      <c r="D36" s="794">
        <f>IF($D29=1,$B$9,0)+IF($D29=2,$C$9,0)+IF($D29=3,$D$9,0)</f>
        <v>0</v>
      </c>
      <c r="E36" s="794">
        <f>IF($D29=1,$B$9,0)+IF($D29=2,$C$9,0)+IF($D29=3,$D$9,0)</f>
        <v>0</v>
      </c>
      <c r="F36" s="794">
        <f>IF($D29=1,$B$9,0)+IF($D29=2,$C$9,0)+IF($D29=3,$D$9,0)</f>
        <v>0</v>
      </c>
    </row>
    <row r="37" spans="1:6" ht="13" x14ac:dyDescent="0.3">
      <c r="A37" s="1600" t="s">
        <v>625</v>
      </c>
      <c r="B37" s="1269">
        <f>B35-B36</f>
        <v>0</v>
      </c>
      <c r="C37" s="1269">
        <f>C35-C36</f>
        <v>0</v>
      </c>
      <c r="D37" s="1269">
        <f>D35-D36</f>
        <v>0</v>
      </c>
      <c r="E37" s="1269">
        <f>E35-E36</f>
        <v>0</v>
      </c>
      <c r="F37" s="1269">
        <f>F35-F36</f>
        <v>0</v>
      </c>
    </row>
    <row r="39" spans="1:6" ht="13" x14ac:dyDescent="0.3">
      <c r="A39" s="1595" t="s">
        <v>614</v>
      </c>
      <c r="B39" s="1602">
        <f>IF(B33=0,0,B37/B33)</f>
        <v>0</v>
      </c>
      <c r="C39" s="1602">
        <f>IF(C33=0,0,C37/C33)</f>
        <v>0</v>
      </c>
      <c r="D39" s="1602">
        <f>IF(D33=0,0,D37/D33)</f>
        <v>0</v>
      </c>
      <c r="E39" s="1602">
        <f>IF(E33=0,0,E37/E33)</f>
        <v>0</v>
      </c>
      <c r="F39" s="1602">
        <f>IF(F33=0,0,F37/F33)</f>
        <v>0</v>
      </c>
    </row>
    <row r="40" spans="1:6" ht="13" x14ac:dyDescent="0.3">
      <c r="A40" s="1595" t="s">
        <v>626</v>
      </c>
      <c r="B40" s="1602">
        <f>IF((B36+B34)=0,0,B37/(B36+B34))</f>
        <v>0</v>
      </c>
      <c r="C40" s="1602">
        <f>IF((C36+C34)=0,0,C37/(C36+C34))</f>
        <v>0</v>
      </c>
      <c r="D40" s="1602">
        <f>IF((D36+D34)=0,0,D37/(D36+D34))</f>
        <v>0</v>
      </c>
      <c r="E40" s="1602">
        <f>IF((E36+E34)=0,0,E37/(E36+E34))</f>
        <v>0</v>
      </c>
      <c r="F40" s="1602">
        <f>IF((F36+F34)=0,0,F37/(F36+F34))</f>
        <v>0</v>
      </c>
    </row>
    <row r="43" spans="1:6" ht="13" x14ac:dyDescent="0.3">
      <c r="A43" s="1597" t="s">
        <v>627</v>
      </c>
    </row>
    <row r="45" spans="1:6" ht="13" x14ac:dyDescent="0.3">
      <c r="A45" s="26"/>
      <c r="B45" s="1987" t="s">
        <v>628</v>
      </c>
      <c r="C45" s="1987"/>
      <c r="D45" s="1987"/>
      <c r="E45" s="1987"/>
      <c r="F45" s="1987"/>
    </row>
    <row r="46" spans="1:6" ht="13" x14ac:dyDescent="0.3">
      <c r="B46" s="1599">
        <v>0</v>
      </c>
      <c r="C46" s="1775">
        <f>B46+5%</f>
        <v>0.05</v>
      </c>
      <c r="D46" s="1775">
        <f>C46+5%</f>
        <v>0.1</v>
      </c>
      <c r="E46" s="1775">
        <f>D46+5%</f>
        <v>0.15000000000000002</v>
      </c>
      <c r="F46" s="1775">
        <f>E46+5%</f>
        <v>0.2</v>
      </c>
    </row>
    <row r="47" spans="1:6" ht="13" x14ac:dyDescent="0.3">
      <c r="A47" s="1200" t="str">
        <f>+A33</f>
        <v>Ingressos</v>
      </c>
      <c r="B47" s="1591">
        <f>IF($D29=1,$B5,0)+IF($D29=2,$C5,0)+IF($D29=3,$D5,0)</f>
        <v>0</v>
      </c>
      <c r="C47" s="1591">
        <f t="shared" ref="C47:F48" si="0">B47</f>
        <v>0</v>
      </c>
      <c r="D47" s="1591">
        <f t="shared" si="0"/>
        <v>0</v>
      </c>
      <c r="E47" s="1591">
        <f t="shared" si="0"/>
        <v>0</v>
      </c>
      <c r="F47" s="1591">
        <f t="shared" si="0"/>
        <v>0</v>
      </c>
    </row>
    <row r="48" spans="1:6" x14ac:dyDescent="0.25">
      <c r="A48" s="1429" t="str">
        <f>+A34</f>
        <v>Costos variables</v>
      </c>
      <c r="B48" s="794">
        <f>IF(D29=1,B6,0)+IF(D29=2,C6,0)+IF(D29=3,D6,0)</f>
        <v>0</v>
      </c>
      <c r="C48" s="794">
        <f t="shared" si="0"/>
        <v>0</v>
      </c>
      <c r="D48" s="794">
        <f t="shared" si="0"/>
        <v>0</v>
      </c>
      <c r="E48" s="794">
        <f t="shared" si="0"/>
        <v>0</v>
      </c>
      <c r="F48" s="794">
        <f t="shared" si="0"/>
        <v>0</v>
      </c>
    </row>
    <row r="49" spans="1:6" ht="13" x14ac:dyDescent="0.3">
      <c r="A49" s="1200" t="str">
        <f>+A35</f>
        <v>Marge brut</v>
      </c>
      <c r="B49" s="1269">
        <f>B47-B48</f>
        <v>0</v>
      </c>
      <c r="C49" s="1269">
        <f>C47-C48</f>
        <v>0</v>
      </c>
      <c r="D49" s="1269">
        <f>D47-D48</f>
        <v>0</v>
      </c>
      <c r="E49" s="1269">
        <f>E47-E48</f>
        <v>0</v>
      </c>
      <c r="F49" s="1269">
        <f>F47-F48</f>
        <v>0</v>
      </c>
    </row>
    <row r="50" spans="1:6" x14ac:dyDescent="0.25">
      <c r="A50" s="1429" t="str">
        <f>+A36</f>
        <v>Costos fixos</v>
      </c>
      <c r="B50" s="794">
        <f>(IF($D29=1,$B9,0)+IF($D29=2,$C9,0)+IF($D29=3,$D9,0))*(1+B46)</f>
        <v>0</v>
      </c>
      <c r="C50" s="794">
        <f>(IF($D29=1,$B9,0)+IF($D29=2,$C9,0)+IF($D29=3,$D9,0))*(1+C46)</f>
        <v>0</v>
      </c>
      <c r="D50" s="794">
        <f>(IF($D29=1,$B9,0)+IF($D29=2,$C9,0)+IF($D29=3,$D9,0))*(1+D46)</f>
        <v>0</v>
      </c>
      <c r="E50" s="794">
        <f>(IF($D29=1,$B9,0)+IF($D29=2,$C9,0)+IF($D29=3,$D9,0))*(1+E46)</f>
        <v>0</v>
      </c>
      <c r="F50" s="794">
        <f>(IF($D29=1,$B9,0)+IF($D29=2,$C9,0)+IF($D29=3,$D9,0))*(1+F46)</f>
        <v>0</v>
      </c>
    </row>
    <row r="51" spans="1:6" ht="13" x14ac:dyDescent="0.3">
      <c r="A51" s="1200" t="str">
        <f>+A37</f>
        <v>Resultat</v>
      </c>
      <c r="B51" s="1269">
        <f>B49-B50</f>
        <v>0</v>
      </c>
      <c r="C51" s="1269">
        <f>C49-C50</f>
        <v>0</v>
      </c>
      <c r="D51" s="1269">
        <f>D49-D50</f>
        <v>0</v>
      </c>
      <c r="E51" s="1269">
        <f>E49-E50</f>
        <v>0</v>
      </c>
      <c r="F51" s="1269">
        <f>F49-F50</f>
        <v>0</v>
      </c>
    </row>
    <row r="53" spans="1:6" ht="13" x14ac:dyDescent="0.3">
      <c r="A53" s="1391" t="str">
        <f>+A39</f>
        <v>Rendibilitat dels ingressos</v>
      </c>
      <c r="B53" s="1602">
        <f>IF(B47=0,0,B51/B47)</f>
        <v>0</v>
      </c>
      <c r="C53" s="1602">
        <f>IF(C47=0,0,C51/C47)</f>
        <v>0</v>
      </c>
      <c r="D53" s="1602">
        <f>IF(D47=0,0,D51/D47)</f>
        <v>0</v>
      </c>
      <c r="E53" s="1602">
        <f>IF(E47=0,0,E51/E47)</f>
        <v>0</v>
      </c>
      <c r="F53" s="1602">
        <f>IF(F47=0,0,F51/F47)</f>
        <v>0</v>
      </c>
    </row>
    <row r="54" spans="1:6" ht="13" x14ac:dyDescent="0.3">
      <c r="A54" s="1391" t="str">
        <f>+A40</f>
        <v>Rendibilitat de la inversió</v>
      </c>
      <c r="B54" s="1602">
        <f>IF((B50+B48)=0,0,B51/(B50+B48))</f>
        <v>0</v>
      </c>
      <c r="C54" s="1602">
        <f>IF((C50+C48)=0,0,C51/(C50+C48))</f>
        <v>0</v>
      </c>
      <c r="D54" s="1602">
        <f>IF((D50+D48)=0,0,D51/(D50+D48))</f>
        <v>0</v>
      </c>
      <c r="E54" s="1602">
        <f>IF((E50+E48)=0,0,E51/(E50+E48))</f>
        <v>0</v>
      </c>
      <c r="F54" s="1602">
        <f>IF((F50+F48)=0,0,F51/(F50+F48))</f>
        <v>0</v>
      </c>
    </row>
    <row r="57" spans="1:6" ht="13" x14ac:dyDescent="0.3">
      <c r="A57" s="1597" t="s">
        <v>629</v>
      </c>
    </row>
    <row r="59" spans="1:6" ht="13" x14ac:dyDescent="0.3">
      <c r="B59" s="1987" t="s">
        <v>630</v>
      </c>
      <c r="C59" s="1987"/>
      <c r="D59" s="1987"/>
      <c r="E59" s="1987"/>
      <c r="F59" s="1987"/>
    </row>
    <row r="60" spans="1:6" ht="13" x14ac:dyDescent="0.3">
      <c r="A60" s="26"/>
      <c r="B60" s="1599">
        <v>0</v>
      </c>
      <c r="C60" s="1775">
        <f>B60+5%</f>
        <v>0.05</v>
      </c>
      <c r="D60" s="1775">
        <f>C60+5%</f>
        <v>0.1</v>
      </c>
      <c r="E60" s="1775">
        <f>D60+5%</f>
        <v>0.15000000000000002</v>
      </c>
      <c r="F60" s="1775">
        <f>E60+5%</f>
        <v>0.2</v>
      </c>
    </row>
    <row r="61" spans="1:6" ht="13" x14ac:dyDescent="0.3">
      <c r="A61" s="1603" t="s">
        <v>631</v>
      </c>
      <c r="B61" s="1604">
        <f>1-$B8</f>
        <v>1</v>
      </c>
      <c r="C61" s="1604">
        <f>(1+C60)*$B61</f>
        <v>1.05</v>
      </c>
      <c r="D61" s="1604">
        <f>(1+D60)*$B61</f>
        <v>1.1000000000000001</v>
      </c>
      <c r="E61" s="1604">
        <f>(1+E60)*$B61</f>
        <v>1.1499999999999999</v>
      </c>
      <c r="F61" s="1604">
        <f>(1+F60)*$B61</f>
        <v>1.2</v>
      </c>
    </row>
    <row r="62" spans="1:6" ht="13" x14ac:dyDescent="0.3">
      <c r="A62" s="1200" t="str">
        <f>+A33</f>
        <v>Ingressos</v>
      </c>
      <c r="B62" s="1269">
        <f>IF(D29=1,B5,0)+IF(D29=2,C5,0)+IF(D29=3,D5,0)</f>
        <v>0</v>
      </c>
      <c r="C62" s="1269">
        <f>B62</f>
        <v>0</v>
      </c>
      <c r="D62" s="1269">
        <f>C62</f>
        <v>0</v>
      </c>
      <c r="E62" s="1269">
        <f>D62</f>
        <v>0</v>
      </c>
      <c r="F62" s="1269">
        <f>E62</f>
        <v>0</v>
      </c>
    </row>
    <row r="63" spans="1:6" x14ac:dyDescent="0.25">
      <c r="A63" s="1429" t="str">
        <f>+A34</f>
        <v>Costos variables</v>
      </c>
      <c r="B63" s="794">
        <f>B62*B61</f>
        <v>0</v>
      </c>
      <c r="C63" s="794">
        <f>C62*C61</f>
        <v>0</v>
      </c>
      <c r="D63" s="794">
        <f>D62*D61</f>
        <v>0</v>
      </c>
      <c r="E63" s="794">
        <f>E62*E61</f>
        <v>0</v>
      </c>
      <c r="F63" s="794">
        <f>F62*F61</f>
        <v>0</v>
      </c>
    </row>
    <row r="64" spans="1:6" ht="13" x14ac:dyDescent="0.3">
      <c r="A64" s="1200" t="str">
        <f>+A35</f>
        <v>Marge brut</v>
      </c>
      <c r="B64" s="1269">
        <f>B62-B63</f>
        <v>0</v>
      </c>
      <c r="C64" s="1269">
        <f>C62-C63</f>
        <v>0</v>
      </c>
      <c r="D64" s="1269">
        <f>D62-D63</f>
        <v>0</v>
      </c>
      <c r="E64" s="1269">
        <f>E62-E63</f>
        <v>0</v>
      </c>
      <c r="F64" s="1269">
        <f>F62-F63</f>
        <v>0</v>
      </c>
    </row>
    <row r="65" spans="1:6" x14ac:dyDescent="0.25">
      <c r="A65" s="1429" t="str">
        <f>+A36</f>
        <v>Costos fixos</v>
      </c>
      <c r="B65" s="794">
        <f>IF(D29=1,B9,0)+IF(D29=2,C9,0)+IF(D29=3,D9,0)</f>
        <v>0</v>
      </c>
      <c r="C65" s="794">
        <f>B65</f>
        <v>0</v>
      </c>
      <c r="D65" s="794">
        <f>C65</f>
        <v>0</v>
      </c>
      <c r="E65" s="794">
        <f>D65</f>
        <v>0</v>
      </c>
      <c r="F65" s="794">
        <f>E65</f>
        <v>0</v>
      </c>
    </row>
    <row r="66" spans="1:6" ht="13" x14ac:dyDescent="0.3">
      <c r="A66" s="1200" t="str">
        <f>+A37</f>
        <v>Resultat</v>
      </c>
      <c r="B66" s="1269">
        <f>B64-B65</f>
        <v>0</v>
      </c>
      <c r="C66" s="1269">
        <f>C64-C65</f>
        <v>0</v>
      </c>
      <c r="D66" s="1269">
        <f>D64-D65</f>
        <v>0</v>
      </c>
      <c r="E66" s="1269">
        <f>E64-E65</f>
        <v>0</v>
      </c>
      <c r="F66" s="1269">
        <f>F64-F65</f>
        <v>0</v>
      </c>
    </row>
    <row r="68" spans="1:6" ht="13" x14ac:dyDescent="0.3">
      <c r="A68" s="1391" t="str">
        <f>+A39</f>
        <v>Rendibilitat dels ingressos</v>
      </c>
      <c r="B68" s="1602">
        <f>IF(B62=0,0,B66/B62)</f>
        <v>0</v>
      </c>
      <c r="C68" s="1602">
        <f>IF(C62=0,0,C66/C62)</f>
        <v>0</v>
      </c>
      <c r="D68" s="1602">
        <f>IF(D62=0,0,D66/D62)</f>
        <v>0</v>
      </c>
      <c r="E68" s="1602">
        <f>IF(E62=0,0,E66/E62)</f>
        <v>0</v>
      </c>
      <c r="F68" s="1602">
        <f>IF(F62=0,0,F66/F62)</f>
        <v>0</v>
      </c>
    </row>
    <row r="69" spans="1:6" ht="13" x14ac:dyDescent="0.3">
      <c r="A69" s="1391" t="str">
        <f>+A40</f>
        <v>Rendibilitat de la inversió</v>
      </c>
      <c r="B69" s="1602">
        <f>IF((B65+B63)=0,0,B66/(B65+B63))</f>
        <v>0</v>
      </c>
      <c r="C69" s="1602">
        <f>IF((C65+C63)=0,0,C66/(C65+C63))</f>
        <v>0</v>
      </c>
      <c r="D69" s="1602">
        <f>IF((D65+D63)=0,0,D66/(D65+D63))</f>
        <v>0</v>
      </c>
      <c r="E69" s="1602">
        <f>IF((E65+E63)=0,0,E66/(E65+E63))</f>
        <v>0</v>
      </c>
      <c r="F69" s="1602">
        <f>IF((F65+F63)=0,0,F66/(F65+F63))</f>
        <v>0</v>
      </c>
    </row>
  </sheetData>
  <sheetProtection password="CC2F" sheet="1" objects="1" scenarios="1"/>
  <mergeCells count="5">
    <mergeCell ref="B59:F59"/>
    <mergeCell ref="A1:B1"/>
    <mergeCell ref="C19:D19"/>
    <mergeCell ref="B31:F31"/>
    <mergeCell ref="B45:F45"/>
  </mergeCells>
  <phoneticPr fontId="22" type="noConversion"/>
  <conditionalFormatting sqref="C19:D19">
    <cfRule type="cellIs" dxfId="12" priority="1" stopIfTrue="1" operator="equal">
      <formula>""</formula>
    </cfRule>
    <cfRule type="cellIs" dxfId="11" priority="2" stopIfTrue="1" operator="notEqual">
      <formula>""</formula>
    </cfRule>
  </conditionalFormatting>
  <conditionalFormatting sqref="B19">
    <cfRule type="cellIs" dxfId="10" priority="3" stopIfTrue="1" operator="between">
      <formula>1</formula>
      <formula>3</formula>
    </cfRule>
    <cfRule type="cellIs" dxfId="9" priority="4" stopIfTrue="1" operator="notBetween">
      <formula>1</formula>
      <formula>3</formula>
    </cfRule>
  </conditionalFormatting>
  <conditionalFormatting sqref="B39:F40 B53:F54 B68:F69">
    <cfRule type="cellIs" dxfId="8" priority="5" stopIfTrue="1" operator="greaterThan">
      <formula>0.05</formula>
    </cfRule>
    <cfRule type="cellIs" dxfId="7" priority="6" stopIfTrue="1" operator="between">
      <formula>0</formula>
      <formula>0.05</formula>
    </cfRule>
    <cfRule type="cellIs" dxfId="6" priority="7" stopIfTrue="1" operator="lessThan">
      <formula>0</formula>
    </cfRule>
  </conditionalFormatting>
  <printOptions horizontalCentered="1"/>
  <pageMargins left="0.39374999999999999" right="0.39374999999999999" top="0.98402777777777772" bottom="0.78749999999999998" header="0.39374999999999999" footer="0.51180555555555562"/>
  <pageSetup paperSize="9" scale="87" firstPageNumber="0" orientation="portrait" horizontalDpi="300" verticalDpi="300" r:id="rId1"/>
  <headerFooter alignWithMargins="0">
    <oddHeader>&amp;L&amp;"Arial,Negrita"&amp;13&amp;A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29704" r:id="rId4" name="Button 8">
              <controlPr defaultSize="0" autoFill="0" autoLine="0" autoPict="0">
                <anchor moveWithCells="1" sizeWithCells="1">
                  <from>
                    <xdr:col>2</xdr:col>
                    <xdr:colOff>127000</xdr:colOff>
                    <xdr:row>0</xdr:row>
                    <xdr:rowOff>0</xdr:rowOff>
                  </from>
                  <to>
                    <xdr:col>3</xdr:col>
                    <xdr:colOff>381000</xdr:colOff>
                    <xdr:row>0</xdr:row>
                    <xdr:rowOff>228600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1"/>
  <dimension ref="A2:L39"/>
  <sheetViews>
    <sheetView topLeftCell="B1" workbookViewId="0">
      <selection activeCell="C200" sqref="C200"/>
    </sheetView>
  </sheetViews>
  <sheetFormatPr defaultColWidth="11.453125" defaultRowHeight="13" x14ac:dyDescent="0.3"/>
  <cols>
    <col min="1" max="1" width="0" style="21" hidden="1" customWidth="1"/>
    <col min="2" max="2" width="11.453125" style="9"/>
    <col min="3" max="4" width="12" style="9" customWidth="1"/>
    <col min="5" max="6" width="10.81640625" style="9" customWidth="1"/>
    <col min="7" max="8" width="12" style="9" customWidth="1"/>
    <col min="9" max="9" width="14" style="9" customWidth="1"/>
    <col min="10" max="11" width="12.7265625" style="9" customWidth="1"/>
    <col min="12" max="12" width="12.26953125" style="9" customWidth="1"/>
    <col min="13" max="16384" width="11.453125" style="21"/>
  </cols>
  <sheetData>
    <row r="2" spans="1:12" x14ac:dyDescent="0.3">
      <c r="C2" s="1779" t="s">
        <v>58</v>
      </c>
      <c r="D2" s="1779"/>
      <c r="E2" s="1779" t="s">
        <v>59</v>
      </c>
      <c r="F2" s="1779"/>
      <c r="G2" s="1779" t="s">
        <v>60</v>
      </c>
      <c r="H2" s="1779"/>
    </row>
    <row r="3" spans="1:12" x14ac:dyDescent="0.3">
      <c r="B3" s="22" t="s">
        <v>61</v>
      </c>
      <c r="C3" s="22" t="s">
        <v>62</v>
      </c>
      <c r="D3" s="22" t="s">
        <v>63</v>
      </c>
      <c r="E3" s="22" t="s">
        <v>62</v>
      </c>
      <c r="F3" s="22" t="s">
        <v>63</v>
      </c>
      <c r="G3" s="22" t="s">
        <v>62</v>
      </c>
      <c r="H3" s="22" t="s">
        <v>63</v>
      </c>
      <c r="I3" s="22" t="s">
        <v>64</v>
      </c>
      <c r="J3" s="22" t="s">
        <v>65</v>
      </c>
      <c r="K3" s="22" t="s">
        <v>66</v>
      </c>
      <c r="L3" s="22" t="s">
        <v>67</v>
      </c>
    </row>
    <row r="4" spans="1:12" x14ac:dyDescent="0.3">
      <c r="A4" s="21" t="str">
        <f>IF(B4="DESEMBRE",1,"")</f>
        <v/>
      </c>
      <c r="B4" s="23" t="str">
        <f>TRIBUTS!K1</f>
        <v>GENER</v>
      </c>
      <c r="C4" s="23">
        <f>'Resultats per mesos'!C$10</f>
        <v>0</v>
      </c>
      <c r="D4" s="23">
        <f>C4</f>
        <v>0</v>
      </c>
      <c r="E4" s="23" t="e">
        <f>'Resultats per mesos'!#REF!</f>
        <v>#REF!</v>
      </c>
      <c r="F4" s="23" t="e">
        <f>E4</f>
        <v>#REF!</v>
      </c>
      <c r="G4" s="23">
        <f>'Resultats per mesos'!C$24</f>
        <v>0</v>
      </c>
      <c r="H4" s="23">
        <f>G4</f>
        <v>0</v>
      </c>
      <c r="I4" s="23">
        <f>TRESORERIA!C$19</f>
        <v>0</v>
      </c>
      <c r="J4" s="23">
        <f>TRESORERIA!C$54+TRESORERIA!C$58</f>
        <v>0</v>
      </c>
      <c r="K4" s="23">
        <f>TRESORERIA!C$61-TRESORERIA!C$60</f>
        <v>0</v>
      </c>
      <c r="L4" s="23">
        <f>I4-J4+K4</f>
        <v>0</v>
      </c>
    </row>
    <row r="5" spans="1:12" x14ac:dyDescent="0.3">
      <c r="A5" s="21" t="str">
        <f t="shared" ref="A5:A39" si="0">IF(B5="DESEMBRE",1,"")</f>
        <v/>
      </c>
      <c r="B5" s="23" t="str">
        <f>TRIBUTS!K2</f>
        <v>FEBRER</v>
      </c>
      <c r="C5" s="23">
        <f>'Resultats per mesos'!D$10</f>
        <v>0</v>
      </c>
      <c r="D5" s="23">
        <f>IF($B4="DESEMBRE",C5,C5+D4)</f>
        <v>0</v>
      </c>
      <c r="E5" s="23" t="e">
        <f>'Resultats per mesos'!#REF!</f>
        <v>#REF!</v>
      </c>
      <c r="F5" s="23" t="e">
        <f>IF($B4="DESEMBRE",E5,E5+F4)</f>
        <v>#REF!</v>
      </c>
      <c r="G5" s="23">
        <f>'Resultats per mesos'!D$24</f>
        <v>0</v>
      </c>
      <c r="H5" s="23">
        <f>IF($B4="DESEMBRE",G5,G5+H4)</f>
        <v>0</v>
      </c>
      <c r="I5" s="23">
        <f>TRESORERIA!D$19</f>
        <v>0</v>
      </c>
      <c r="J5" s="23">
        <f>TRESORERIA!D$54+TRESORERIA!D$58</f>
        <v>0</v>
      </c>
      <c r="K5" s="23">
        <f>TRESORERIA!D$61-TRESORERIA!D$60</f>
        <v>0</v>
      </c>
      <c r="L5" s="23">
        <f t="shared" ref="L5:L16" si="1">I5-J5+K5</f>
        <v>0</v>
      </c>
    </row>
    <row r="6" spans="1:12" x14ac:dyDescent="0.3">
      <c r="A6" s="21" t="str">
        <f t="shared" si="0"/>
        <v/>
      </c>
      <c r="B6" s="23" t="str">
        <f>TRIBUTS!K3</f>
        <v>MARÇ</v>
      </c>
      <c r="C6" s="23">
        <f>'Resultats per mesos'!E$10</f>
        <v>0</v>
      </c>
      <c r="D6" s="23">
        <f t="shared" ref="D6:D39" si="2">IF($B5="DESEMBRE",C6,C6+D5)</f>
        <v>0</v>
      </c>
      <c r="E6" s="23" t="e">
        <f>'Resultats per mesos'!#REF!</f>
        <v>#REF!</v>
      </c>
      <c r="F6" s="23" t="e">
        <f t="shared" ref="F6:F39" si="3">IF($B5="DESEMBRE",E6,E6+F5)</f>
        <v>#REF!</v>
      </c>
      <c r="G6" s="23">
        <f>'Resultats per mesos'!E$24</f>
        <v>0</v>
      </c>
      <c r="H6" s="23">
        <f t="shared" ref="H6:H39" si="4">IF(B5="DESEMBRE",G6,G6+H5)</f>
        <v>0</v>
      </c>
      <c r="I6" s="23">
        <f>TRESORERIA!E$19</f>
        <v>0</v>
      </c>
      <c r="J6" s="23">
        <f>TRESORERIA!E$54+TRESORERIA!E$58</f>
        <v>0</v>
      </c>
      <c r="K6" s="23">
        <f>TRESORERIA!E$61-TRESORERIA!E$60</f>
        <v>0</v>
      </c>
      <c r="L6" s="23">
        <f t="shared" si="1"/>
        <v>0</v>
      </c>
    </row>
    <row r="7" spans="1:12" x14ac:dyDescent="0.3">
      <c r="A7" s="21" t="str">
        <f t="shared" si="0"/>
        <v/>
      </c>
      <c r="B7" s="23" t="str">
        <f>TRIBUTS!K4</f>
        <v>ABRIL</v>
      </c>
      <c r="C7" s="23">
        <f>'Resultats per mesos'!F$10</f>
        <v>0</v>
      </c>
      <c r="D7" s="23">
        <f t="shared" si="2"/>
        <v>0</v>
      </c>
      <c r="E7" s="23" t="e">
        <f>'Resultats per mesos'!#REF!</f>
        <v>#REF!</v>
      </c>
      <c r="F7" s="23" t="e">
        <f t="shared" si="3"/>
        <v>#REF!</v>
      </c>
      <c r="G7" s="23">
        <f>'Resultats per mesos'!F$24</f>
        <v>0</v>
      </c>
      <c r="H7" s="23">
        <f t="shared" si="4"/>
        <v>0</v>
      </c>
      <c r="I7" s="23">
        <f>TRESORERIA!F$19</f>
        <v>0</v>
      </c>
      <c r="J7" s="23">
        <f>TRESORERIA!F$54+TRESORERIA!F$58</f>
        <v>0</v>
      </c>
      <c r="K7" s="23">
        <f>TRESORERIA!F$61-TRESORERIA!F$60</f>
        <v>0</v>
      </c>
      <c r="L7" s="23">
        <f t="shared" si="1"/>
        <v>0</v>
      </c>
    </row>
    <row r="8" spans="1:12" x14ac:dyDescent="0.3">
      <c r="A8" s="21" t="str">
        <f t="shared" si="0"/>
        <v/>
      </c>
      <c r="B8" s="23" t="str">
        <f>TRIBUTS!K5</f>
        <v>MAIG</v>
      </c>
      <c r="C8" s="23">
        <f>'Resultats per mesos'!G$10</f>
        <v>0</v>
      </c>
      <c r="D8" s="23">
        <f t="shared" si="2"/>
        <v>0</v>
      </c>
      <c r="E8" s="23" t="e">
        <f>'Resultats per mesos'!#REF!</f>
        <v>#REF!</v>
      </c>
      <c r="F8" s="23" t="e">
        <f t="shared" si="3"/>
        <v>#REF!</v>
      </c>
      <c r="G8" s="23">
        <f>'Resultats per mesos'!G$24</f>
        <v>0</v>
      </c>
      <c r="H8" s="23">
        <f t="shared" si="4"/>
        <v>0</v>
      </c>
      <c r="I8" s="23">
        <f>TRESORERIA!G$19</f>
        <v>0</v>
      </c>
      <c r="J8" s="23">
        <f>TRESORERIA!G$54+TRESORERIA!G$58</f>
        <v>0</v>
      </c>
      <c r="K8" s="23">
        <f>TRESORERIA!G$61-TRESORERIA!G$60</f>
        <v>0</v>
      </c>
      <c r="L8" s="23">
        <f t="shared" si="1"/>
        <v>0</v>
      </c>
    </row>
    <row r="9" spans="1:12" x14ac:dyDescent="0.3">
      <c r="A9" s="21" t="str">
        <f t="shared" si="0"/>
        <v/>
      </c>
      <c r="B9" s="23" t="str">
        <f>TRIBUTS!K6</f>
        <v>JUNY</v>
      </c>
      <c r="C9" s="23">
        <f>'Resultats per mesos'!H$10</f>
        <v>0</v>
      </c>
      <c r="D9" s="23">
        <f t="shared" si="2"/>
        <v>0</v>
      </c>
      <c r="E9" s="23" t="e">
        <f>'Resultats per mesos'!#REF!</f>
        <v>#REF!</v>
      </c>
      <c r="F9" s="23" t="e">
        <f t="shared" si="3"/>
        <v>#REF!</v>
      </c>
      <c r="G9" s="23">
        <f>'Resultats per mesos'!H$24</f>
        <v>0</v>
      </c>
      <c r="H9" s="23">
        <f t="shared" si="4"/>
        <v>0</v>
      </c>
      <c r="I9" s="23">
        <f>TRESORERIA!H$19</f>
        <v>0</v>
      </c>
      <c r="J9" s="23">
        <f>TRESORERIA!H$54+TRESORERIA!H$58</f>
        <v>0</v>
      </c>
      <c r="K9" s="23">
        <f>TRESORERIA!H$61-TRESORERIA!H$60</f>
        <v>0</v>
      </c>
      <c r="L9" s="23">
        <f t="shared" si="1"/>
        <v>0</v>
      </c>
    </row>
    <row r="10" spans="1:12" x14ac:dyDescent="0.3">
      <c r="A10" s="21" t="str">
        <f t="shared" si="0"/>
        <v/>
      </c>
      <c r="B10" s="23" t="str">
        <f>TRIBUTS!K7</f>
        <v>JULIOL</v>
      </c>
      <c r="C10" s="23">
        <f>'Resultats per mesos'!C$33</f>
        <v>0</v>
      </c>
      <c r="D10" s="23">
        <f t="shared" si="2"/>
        <v>0</v>
      </c>
      <c r="E10" s="23" t="e">
        <f>'Resultats per mesos'!#REF!</f>
        <v>#REF!</v>
      </c>
      <c r="F10" s="23" t="e">
        <f t="shared" si="3"/>
        <v>#REF!</v>
      </c>
      <c r="G10" s="23">
        <f>'Resultats per mesos'!C$47</f>
        <v>0</v>
      </c>
      <c r="H10" s="23">
        <f t="shared" si="4"/>
        <v>0</v>
      </c>
      <c r="I10" s="23">
        <f>TRESORERIA!I$19</f>
        <v>0</v>
      </c>
      <c r="J10" s="23">
        <f>TRESORERIA!I$54+TRESORERIA!I$58</f>
        <v>0</v>
      </c>
      <c r="K10" s="23">
        <f>TRESORERIA!I$61-TRESORERIA!I$60</f>
        <v>0</v>
      </c>
      <c r="L10" s="23">
        <f t="shared" si="1"/>
        <v>0</v>
      </c>
    </row>
    <row r="11" spans="1:12" x14ac:dyDescent="0.3">
      <c r="A11" s="21" t="str">
        <f t="shared" si="0"/>
        <v/>
      </c>
      <c r="B11" s="23" t="str">
        <f>TRIBUTS!K8</f>
        <v>AGOST</v>
      </c>
      <c r="C11" s="23">
        <f>'Resultats per mesos'!D$33</f>
        <v>0</v>
      </c>
      <c r="D11" s="23">
        <f t="shared" si="2"/>
        <v>0</v>
      </c>
      <c r="E11" s="23" t="e">
        <f>'Resultats per mesos'!#REF!</f>
        <v>#REF!</v>
      </c>
      <c r="F11" s="23" t="e">
        <f t="shared" si="3"/>
        <v>#REF!</v>
      </c>
      <c r="G11" s="23">
        <f>'Resultats per mesos'!D$47</f>
        <v>0</v>
      </c>
      <c r="H11" s="23">
        <f t="shared" si="4"/>
        <v>0</v>
      </c>
      <c r="I11" s="23">
        <f>TRESORERIA!J$19</f>
        <v>0</v>
      </c>
      <c r="J11" s="23">
        <f>TRESORERIA!J$54+TRESORERIA!J$58</f>
        <v>0</v>
      </c>
      <c r="K11" s="23">
        <f>TRESORERIA!J$61-TRESORERIA!J$60</f>
        <v>0</v>
      </c>
      <c r="L11" s="23">
        <f t="shared" si="1"/>
        <v>0</v>
      </c>
    </row>
    <row r="12" spans="1:12" x14ac:dyDescent="0.3">
      <c r="A12" s="21" t="str">
        <f t="shared" si="0"/>
        <v/>
      </c>
      <c r="B12" s="23" t="str">
        <f>TRIBUTS!K9</f>
        <v>SETEMBRE</v>
      </c>
      <c r="C12" s="23">
        <f>'Resultats per mesos'!E$33</f>
        <v>0</v>
      </c>
      <c r="D12" s="23">
        <f t="shared" si="2"/>
        <v>0</v>
      </c>
      <c r="E12" s="23" t="e">
        <f>'Resultats per mesos'!#REF!</f>
        <v>#REF!</v>
      </c>
      <c r="F12" s="23" t="e">
        <f t="shared" si="3"/>
        <v>#REF!</v>
      </c>
      <c r="G12" s="23">
        <f>'Resultats per mesos'!E$47</f>
        <v>0</v>
      </c>
      <c r="H12" s="23">
        <f t="shared" si="4"/>
        <v>0</v>
      </c>
      <c r="I12" s="23">
        <f>TRESORERIA!K$19</f>
        <v>0</v>
      </c>
      <c r="J12" s="23">
        <f>TRESORERIA!K$54+TRESORERIA!K$58</f>
        <v>0</v>
      </c>
      <c r="K12" s="23">
        <f>TRESORERIA!K$61-TRESORERIA!K$60</f>
        <v>0</v>
      </c>
      <c r="L12" s="23">
        <f t="shared" si="1"/>
        <v>0</v>
      </c>
    </row>
    <row r="13" spans="1:12" x14ac:dyDescent="0.3">
      <c r="A13" s="21" t="str">
        <f t="shared" si="0"/>
        <v/>
      </c>
      <c r="B13" s="23" t="str">
        <f>TRIBUTS!K10</f>
        <v>OCTUBRE</v>
      </c>
      <c r="C13" s="23">
        <f>'Resultats per mesos'!F$33</f>
        <v>0</v>
      </c>
      <c r="D13" s="23">
        <f t="shared" si="2"/>
        <v>0</v>
      </c>
      <c r="E13" s="23" t="e">
        <f>'Resultats per mesos'!#REF!</f>
        <v>#REF!</v>
      </c>
      <c r="F13" s="23" t="e">
        <f t="shared" si="3"/>
        <v>#REF!</v>
      </c>
      <c r="G13" s="23">
        <f>'Resultats per mesos'!F$47</f>
        <v>0</v>
      </c>
      <c r="H13" s="23">
        <f t="shared" si="4"/>
        <v>0</v>
      </c>
      <c r="I13" s="23">
        <f>TRESORERIA!L$19</f>
        <v>0</v>
      </c>
      <c r="J13" s="23">
        <f>TRESORERIA!L$54+TRESORERIA!L$58</f>
        <v>0</v>
      </c>
      <c r="K13" s="23">
        <f>TRESORERIA!L$61-TRESORERIA!L$60</f>
        <v>0</v>
      </c>
      <c r="L13" s="23">
        <f t="shared" si="1"/>
        <v>0</v>
      </c>
    </row>
    <row r="14" spans="1:12" x14ac:dyDescent="0.3">
      <c r="A14" s="21" t="str">
        <f t="shared" si="0"/>
        <v/>
      </c>
      <c r="B14" s="23" t="str">
        <f>TRIBUTS!K11</f>
        <v>NOVEMBRE</v>
      </c>
      <c r="C14" s="23">
        <f>'Resultats per mesos'!G$33</f>
        <v>0</v>
      </c>
      <c r="D14" s="23">
        <f t="shared" si="2"/>
        <v>0</v>
      </c>
      <c r="E14" s="23" t="e">
        <f>'Resultats per mesos'!#REF!</f>
        <v>#REF!</v>
      </c>
      <c r="F14" s="23" t="e">
        <f t="shared" si="3"/>
        <v>#REF!</v>
      </c>
      <c r="G14" s="23">
        <f>'Resultats per mesos'!G$47</f>
        <v>0</v>
      </c>
      <c r="H14" s="23">
        <f t="shared" si="4"/>
        <v>0</v>
      </c>
      <c r="I14" s="23">
        <f>TRESORERIA!M$19</f>
        <v>0</v>
      </c>
      <c r="J14" s="23">
        <f>TRESORERIA!M$54+TRESORERIA!M$58</f>
        <v>0</v>
      </c>
      <c r="K14" s="23">
        <f>TRESORERIA!M$61-TRESORERIA!M$60</f>
        <v>0</v>
      </c>
      <c r="L14" s="23">
        <f t="shared" si="1"/>
        <v>0</v>
      </c>
    </row>
    <row r="15" spans="1:12" x14ac:dyDescent="0.3">
      <c r="A15" s="21">
        <f t="shared" si="0"/>
        <v>1</v>
      </c>
      <c r="B15" s="23" t="str">
        <f>TRIBUTS!K12</f>
        <v>DESEMBRE</v>
      </c>
      <c r="C15" s="23">
        <f>'Resultats per mesos'!H$33</f>
        <v>0</v>
      </c>
      <c r="D15" s="23">
        <f t="shared" si="2"/>
        <v>0</v>
      </c>
      <c r="E15" s="23" t="e">
        <f>'Resultats per mesos'!#REF!</f>
        <v>#REF!</v>
      </c>
      <c r="F15" s="23" t="e">
        <f t="shared" si="3"/>
        <v>#REF!</v>
      </c>
      <c r="G15" s="23">
        <f>'Resultats per mesos'!H$47</f>
        <v>0</v>
      </c>
      <c r="H15" s="23">
        <f t="shared" si="4"/>
        <v>0</v>
      </c>
      <c r="I15" s="23">
        <f>TRESORERIA!N$19</f>
        <v>0</v>
      </c>
      <c r="J15" s="23">
        <f>TRESORERIA!N$54+TRESORERIA!N$58</f>
        <v>0</v>
      </c>
      <c r="K15" s="23">
        <f>TRESORERIA!N$61-TRESORERIA!N$60</f>
        <v>0</v>
      </c>
      <c r="L15" s="23">
        <f t="shared" si="1"/>
        <v>0</v>
      </c>
    </row>
    <row r="16" spans="1:12" x14ac:dyDescent="0.3">
      <c r="A16" s="21" t="str">
        <f t="shared" si="0"/>
        <v/>
      </c>
      <c r="B16" s="24" t="str">
        <f t="shared" ref="B16:B27" si="5">B4</f>
        <v>GENER</v>
      </c>
      <c r="C16" s="24">
        <f>'Resultats per mesos'!C$57</f>
        <v>0</v>
      </c>
      <c r="D16" s="24">
        <f t="shared" si="2"/>
        <v>0</v>
      </c>
      <c r="E16" s="24" t="e">
        <f>'Resultats per mesos'!#REF!</f>
        <v>#REF!</v>
      </c>
      <c r="F16" s="24" t="e">
        <f t="shared" si="3"/>
        <v>#REF!</v>
      </c>
      <c r="G16" s="24">
        <f>'Resultats per mesos'!C$71</f>
        <v>0</v>
      </c>
      <c r="H16" s="24">
        <f t="shared" si="4"/>
        <v>0</v>
      </c>
      <c r="I16" s="24">
        <f>TRESORERIA!C$105</f>
        <v>0</v>
      </c>
      <c r="J16" s="24">
        <f>TRESORERIA!C$139+TRESORERIA!C$143</f>
        <v>0</v>
      </c>
      <c r="K16" s="24">
        <f>TRESORERIA!C$146-TRESORERIA!C$145</f>
        <v>0</v>
      </c>
      <c r="L16" s="24">
        <f t="shared" si="1"/>
        <v>0</v>
      </c>
    </row>
    <row r="17" spans="1:12" x14ac:dyDescent="0.3">
      <c r="A17" s="21" t="str">
        <f t="shared" si="0"/>
        <v/>
      </c>
      <c r="B17" s="24" t="str">
        <f t="shared" si="5"/>
        <v>FEBRER</v>
      </c>
      <c r="C17" s="24">
        <f>'Resultats per mesos'!D$57</f>
        <v>0</v>
      </c>
      <c r="D17" s="24">
        <f t="shared" si="2"/>
        <v>0</v>
      </c>
      <c r="E17" s="24" t="e">
        <f>'Resultats per mesos'!#REF!</f>
        <v>#REF!</v>
      </c>
      <c r="F17" s="24" t="e">
        <f t="shared" si="3"/>
        <v>#REF!</v>
      </c>
      <c r="G17" s="24">
        <f>'Resultats per mesos'!D$71</f>
        <v>0</v>
      </c>
      <c r="H17" s="24">
        <f t="shared" si="4"/>
        <v>0</v>
      </c>
      <c r="I17" s="24">
        <f>TRESORERIA!D$105</f>
        <v>0</v>
      </c>
      <c r="J17" s="24">
        <f>TRESORERIA!D$139+TRESORERIA!D$143</f>
        <v>0</v>
      </c>
      <c r="K17" s="24">
        <f>TRESORERIA!D$146-TRESORERIA!D$145</f>
        <v>0</v>
      </c>
      <c r="L17" s="24">
        <f t="shared" ref="L17:L28" si="6">I17-J17+K17</f>
        <v>0</v>
      </c>
    </row>
    <row r="18" spans="1:12" x14ac:dyDescent="0.3">
      <c r="A18" s="21" t="str">
        <f t="shared" si="0"/>
        <v/>
      </c>
      <c r="B18" s="24" t="str">
        <f t="shared" si="5"/>
        <v>MARÇ</v>
      </c>
      <c r="C18" s="24">
        <f>'Resultats per mesos'!E$57</f>
        <v>0</v>
      </c>
      <c r="D18" s="24">
        <f t="shared" si="2"/>
        <v>0</v>
      </c>
      <c r="E18" s="24" t="e">
        <f>'Resultats per mesos'!#REF!</f>
        <v>#REF!</v>
      </c>
      <c r="F18" s="24" t="e">
        <f t="shared" si="3"/>
        <v>#REF!</v>
      </c>
      <c r="G18" s="24">
        <f>'Resultats per mesos'!E$71</f>
        <v>0</v>
      </c>
      <c r="H18" s="24">
        <f t="shared" si="4"/>
        <v>0</v>
      </c>
      <c r="I18" s="24">
        <f>TRESORERIA!E$105</f>
        <v>0</v>
      </c>
      <c r="J18" s="24">
        <f>TRESORERIA!E$139+TRESORERIA!E$143</f>
        <v>0</v>
      </c>
      <c r="K18" s="24">
        <f>TRESORERIA!E$146-TRESORERIA!E$145</f>
        <v>0</v>
      </c>
      <c r="L18" s="24">
        <f t="shared" si="6"/>
        <v>0</v>
      </c>
    </row>
    <row r="19" spans="1:12" x14ac:dyDescent="0.3">
      <c r="A19" s="21" t="str">
        <f t="shared" si="0"/>
        <v/>
      </c>
      <c r="B19" s="24" t="str">
        <f t="shared" si="5"/>
        <v>ABRIL</v>
      </c>
      <c r="C19" s="24">
        <f>'Resultats per mesos'!F$57</f>
        <v>0</v>
      </c>
      <c r="D19" s="24">
        <f t="shared" si="2"/>
        <v>0</v>
      </c>
      <c r="E19" s="24" t="e">
        <f>'Resultats per mesos'!#REF!</f>
        <v>#REF!</v>
      </c>
      <c r="F19" s="24" t="e">
        <f t="shared" si="3"/>
        <v>#REF!</v>
      </c>
      <c r="G19" s="24">
        <f>'Resultats per mesos'!F$71</f>
        <v>0</v>
      </c>
      <c r="H19" s="24">
        <f t="shared" si="4"/>
        <v>0</v>
      </c>
      <c r="I19" s="24">
        <f>TRESORERIA!F$105</f>
        <v>0</v>
      </c>
      <c r="J19" s="24">
        <f>TRESORERIA!F$139+TRESORERIA!F$143</f>
        <v>0</v>
      </c>
      <c r="K19" s="24">
        <f>TRESORERIA!F$146-TRESORERIA!F$145</f>
        <v>0</v>
      </c>
      <c r="L19" s="24">
        <f t="shared" si="6"/>
        <v>0</v>
      </c>
    </row>
    <row r="20" spans="1:12" x14ac:dyDescent="0.3">
      <c r="A20" s="21" t="str">
        <f t="shared" si="0"/>
        <v/>
      </c>
      <c r="B20" s="24" t="str">
        <f t="shared" si="5"/>
        <v>MAIG</v>
      </c>
      <c r="C20" s="24">
        <f>'Resultats per mesos'!G$57</f>
        <v>0</v>
      </c>
      <c r="D20" s="24">
        <f t="shared" si="2"/>
        <v>0</v>
      </c>
      <c r="E20" s="24" t="e">
        <f>'Resultats per mesos'!#REF!</f>
        <v>#REF!</v>
      </c>
      <c r="F20" s="24" t="e">
        <f t="shared" si="3"/>
        <v>#REF!</v>
      </c>
      <c r="G20" s="24">
        <f>'Resultats per mesos'!G$71</f>
        <v>0</v>
      </c>
      <c r="H20" s="24">
        <f t="shared" si="4"/>
        <v>0</v>
      </c>
      <c r="I20" s="24">
        <f>TRESORERIA!G$105</f>
        <v>0</v>
      </c>
      <c r="J20" s="24">
        <f>TRESORERIA!G$139+TRESORERIA!G$143</f>
        <v>0</v>
      </c>
      <c r="K20" s="24">
        <f>TRESORERIA!G$146-TRESORERIA!G$145</f>
        <v>0</v>
      </c>
      <c r="L20" s="24">
        <f t="shared" si="6"/>
        <v>0</v>
      </c>
    </row>
    <row r="21" spans="1:12" x14ac:dyDescent="0.3">
      <c r="A21" s="21" t="str">
        <f t="shared" si="0"/>
        <v/>
      </c>
      <c r="B21" s="24" t="str">
        <f t="shared" si="5"/>
        <v>JUNY</v>
      </c>
      <c r="C21" s="24">
        <f>'Resultats per mesos'!H$57</f>
        <v>0</v>
      </c>
      <c r="D21" s="24">
        <f t="shared" si="2"/>
        <v>0</v>
      </c>
      <c r="E21" s="24" t="e">
        <f>'Resultats per mesos'!#REF!</f>
        <v>#REF!</v>
      </c>
      <c r="F21" s="24" t="e">
        <f t="shared" si="3"/>
        <v>#REF!</v>
      </c>
      <c r="G21" s="24">
        <f>'Resultats per mesos'!H$71</f>
        <v>0</v>
      </c>
      <c r="H21" s="24">
        <f t="shared" si="4"/>
        <v>0</v>
      </c>
      <c r="I21" s="24">
        <f>TRESORERIA!H$105</f>
        <v>0</v>
      </c>
      <c r="J21" s="24">
        <f>TRESORERIA!H$139+TRESORERIA!H$143</f>
        <v>0</v>
      </c>
      <c r="K21" s="24">
        <f>TRESORERIA!H$146-TRESORERIA!H$145</f>
        <v>0</v>
      </c>
      <c r="L21" s="24">
        <f t="shared" si="6"/>
        <v>0</v>
      </c>
    </row>
    <row r="22" spans="1:12" x14ac:dyDescent="0.3">
      <c r="A22" s="21" t="str">
        <f t="shared" si="0"/>
        <v/>
      </c>
      <c r="B22" s="24" t="str">
        <f t="shared" si="5"/>
        <v>JULIOL</v>
      </c>
      <c r="C22" s="24">
        <f>'Resultats per mesos'!C$80</f>
        <v>0</v>
      </c>
      <c r="D22" s="24">
        <f t="shared" si="2"/>
        <v>0</v>
      </c>
      <c r="E22" s="24" t="e">
        <f>'Resultats per mesos'!#REF!</f>
        <v>#REF!</v>
      </c>
      <c r="F22" s="24" t="e">
        <f t="shared" si="3"/>
        <v>#REF!</v>
      </c>
      <c r="G22" s="24">
        <f>'Resultats per mesos'!C$94</f>
        <v>0</v>
      </c>
      <c r="H22" s="24">
        <f t="shared" si="4"/>
        <v>0</v>
      </c>
      <c r="I22" s="24">
        <f>TRESORERIA!I$105</f>
        <v>0</v>
      </c>
      <c r="J22" s="24">
        <f>TRESORERIA!I$139+TRESORERIA!I$143</f>
        <v>0</v>
      </c>
      <c r="K22" s="24">
        <f>TRESORERIA!I$146-TRESORERIA!I$145</f>
        <v>0</v>
      </c>
      <c r="L22" s="24">
        <f t="shared" si="6"/>
        <v>0</v>
      </c>
    </row>
    <row r="23" spans="1:12" x14ac:dyDescent="0.3">
      <c r="A23" s="21" t="str">
        <f t="shared" si="0"/>
        <v/>
      </c>
      <c r="B23" s="24" t="str">
        <f t="shared" si="5"/>
        <v>AGOST</v>
      </c>
      <c r="C23" s="24">
        <f>'Resultats per mesos'!D$80</f>
        <v>0</v>
      </c>
      <c r="D23" s="24">
        <f t="shared" si="2"/>
        <v>0</v>
      </c>
      <c r="E23" s="24" t="e">
        <f>'Resultats per mesos'!#REF!</f>
        <v>#REF!</v>
      </c>
      <c r="F23" s="24" t="e">
        <f t="shared" si="3"/>
        <v>#REF!</v>
      </c>
      <c r="G23" s="24">
        <f>'Resultats per mesos'!E$94</f>
        <v>0</v>
      </c>
      <c r="H23" s="24">
        <f t="shared" si="4"/>
        <v>0</v>
      </c>
      <c r="I23" s="24">
        <f>TRESORERIA!J$105</f>
        <v>0</v>
      </c>
      <c r="J23" s="24">
        <f>TRESORERIA!J$139+TRESORERIA!J$143</f>
        <v>0</v>
      </c>
      <c r="K23" s="24">
        <f>TRESORERIA!J$146-TRESORERIA!J$145</f>
        <v>0</v>
      </c>
      <c r="L23" s="24">
        <f t="shared" si="6"/>
        <v>0</v>
      </c>
    </row>
    <row r="24" spans="1:12" x14ac:dyDescent="0.3">
      <c r="A24" s="21" t="str">
        <f t="shared" si="0"/>
        <v/>
      </c>
      <c r="B24" s="24" t="str">
        <f t="shared" si="5"/>
        <v>SETEMBRE</v>
      </c>
      <c r="C24" s="24">
        <f>'Resultats per mesos'!E$80</f>
        <v>0</v>
      </c>
      <c r="D24" s="24">
        <f t="shared" si="2"/>
        <v>0</v>
      </c>
      <c r="E24" s="24" t="e">
        <f>'Resultats per mesos'!#REF!</f>
        <v>#REF!</v>
      </c>
      <c r="F24" s="24" t="e">
        <f t="shared" si="3"/>
        <v>#REF!</v>
      </c>
      <c r="G24" s="24">
        <f>'Resultats per mesos'!E$94</f>
        <v>0</v>
      </c>
      <c r="H24" s="24">
        <f t="shared" si="4"/>
        <v>0</v>
      </c>
      <c r="I24" s="24">
        <f>TRESORERIA!K$105</f>
        <v>0</v>
      </c>
      <c r="J24" s="24">
        <f>TRESORERIA!K$139+TRESORERIA!K$143</f>
        <v>0</v>
      </c>
      <c r="K24" s="24">
        <f>TRESORERIA!K$146-TRESORERIA!K$145</f>
        <v>0</v>
      </c>
      <c r="L24" s="24">
        <f t="shared" si="6"/>
        <v>0</v>
      </c>
    </row>
    <row r="25" spans="1:12" x14ac:dyDescent="0.3">
      <c r="A25" s="21" t="str">
        <f t="shared" si="0"/>
        <v/>
      </c>
      <c r="B25" s="24" t="str">
        <f t="shared" si="5"/>
        <v>OCTUBRE</v>
      </c>
      <c r="C25" s="24">
        <f>'Resultats per mesos'!F$80</f>
        <v>0</v>
      </c>
      <c r="D25" s="24">
        <f t="shared" si="2"/>
        <v>0</v>
      </c>
      <c r="E25" s="24" t="e">
        <f>'Resultats per mesos'!#REF!</f>
        <v>#REF!</v>
      </c>
      <c r="F25" s="24" t="e">
        <f t="shared" si="3"/>
        <v>#REF!</v>
      </c>
      <c r="G25" s="24">
        <f>'Resultats per mesos'!F$94</f>
        <v>0</v>
      </c>
      <c r="H25" s="24">
        <f t="shared" si="4"/>
        <v>0</v>
      </c>
      <c r="I25" s="24">
        <f>TRESORERIA!L$105</f>
        <v>0</v>
      </c>
      <c r="J25" s="24">
        <f>TRESORERIA!L$139+TRESORERIA!L$143</f>
        <v>0</v>
      </c>
      <c r="K25" s="24">
        <f>TRESORERIA!L$146-TRESORERIA!L$145</f>
        <v>0</v>
      </c>
      <c r="L25" s="24">
        <f t="shared" si="6"/>
        <v>0</v>
      </c>
    </row>
    <row r="26" spans="1:12" x14ac:dyDescent="0.3">
      <c r="A26" s="21" t="str">
        <f t="shared" si="0"/>
        <v/>
      </c>
      <c r="B26" s="24" t="str">
        <f t="shared" si="5"/>
        <v>NOVEMBRE</v>
      </c>
      <c r="C26" s="24">
        <f>'Resultats per mesos'!G$80</f>
        <v>0</v>
      </c>
      <c r="D26" s="24">
        <f t="shared" si="2"/>
        <v>0</v>
      </c>
      <c r="E26" s="24" t="e">
        <f>'Resultats per mesos'!#REF!</f>
        <v>#REF!</v>
      </c>
      <c r="F26" s="24" t="e">
        <f t="shared" si="3"/>
        <v>#REF!</v>
      </c>
      <c r="G26" s="24">
        <f>'Resultats per mesos'!G$94</f>
        <v>0</v>
      </c>
      <c r="H26" s="24">
        <f t="shared" si="4"/>
        <v>0</v>
      </c>
      <c r="I26" s="24">
        <f>TRESORERIA!M$105</f>
        <v>0</v>
      </c>
      <c r="J26" s="24">
        <f>TRESORERIA!M$139+TRESORERIA!M$143</f>
        <v>0</v>
      </c>
      <c r="K26" s="24">
        <f>TRESORERIA!M$146-TRESORERIA!M$145</f>
        <v>0</v>
      </c>
      <c r="L26" s="24">
        <f t="shared" si="6"/>
        <v>0</v>
      </c>
    </row>
    <row r="27" spans="1:12" x14ac:dyDescent="0.3">
      <c r="A27" s="21">
        <f t="shared" si="0"/>
        <v>1</v>
      </c>
      <c r="B27" s="24" t="str">
        <f t="shared" si="5"/>
        <v>DESEMBRE</v>
      </c>
      <c r="C27" s="24">
        <f>'Resultats per mesos'!H$80</f>
        <v>0</v>
      </c>
      <c r="D27" s="24">
        <f t="shared" si="2"/>
        <v>0</v>
      </c>
      <c r="E27" s="24" t="e">
        <f>'Resultats per mesos'!#REF!</f>
        <v>#REF!</v>
      </c>
      <c r="F27" s="24" t="e">
        <f t="shared" si="3"/>
        <v>#REF!</v>
      </c>
      <c r="G27" s="24">
        <f>'Resultats per mesos'!H$94</f>
        <v>0</v>
      </c>
      <c r="H27" s="24">
        <f t="shared" si="4"/>
        <v>0</v>
      </c>
      <c r="I27" s="24">
        <f>TRESORERIA!N$105</f>
        <v>0</v>
      </c>
      <c r="J27" s="24">
        <f>TRESORERIA!N$139+TRESORERIA!N$143</f>
        <v>0</v>
      </c>
      <c r="K27" s="24">
        <f>TRESORERIA!N$146-TRESORERIA!N$145</f>
        <v>0</v>
      </c>
      <c r="L27" s="24">
        <f t="shared" si="6"/>
        <v>0</v>
      </c>
    </row>
    <row r="28" spans="1:12" x14ac:dyDescent="0.3">
      <c r="A28" s="21" t="str">
        <f t="shared" si="0"/>
        <v/>
      </c>
      <c r="B28" s="25" t="str">
        <f t="shared" ref="B28:B39" si="7">B16</f>
        <v>GENER</v>
      </c>
      <c r="C28" s="25">
        <f>'Resultats per mesos'!C$104</f>
        <v>0</v>
      </c>
      <c r="D28" s="25">
        <f t="shared" si="2"/>
        <v>0</v>
      </c>
      <c r="E28" s="25" t="e">
        <f>'Resultats per mesos'!#REF!</f>
        <v>#REF!</v>
      </c>
      <c r="F28" s="25" t="e">
        <f t="shared" si="3"/>
        <v>#REF!</v>
      </c>
      <c r="G28" s="25">
        <f>'Resultats per mesos'!C$118</f>
        <v>0</v>
      </c>
      <c r="H28" s="25">
        <f t="shared" si="4"/>
        <v>0</v>
      </c>
      <c r="I28" s="25">
        <f>TRESORERIA!C$190</f>
        <v>0</v>
      </c>
      <c r="J28" s="25">
        <f>TRESORERIA!C$224+TRESORERIA!C$228</f>
        <v>0</v>
      </c>
      <c r="K28" s="25">
        <f>TRESORERIA!C$231-TRESORERIA!C$230</f>
        <v>0</v>
      </c>
      <c r="L28" s="25">
        <f t="shared" si="6"/>
        <v>0</v>
      </c>
    </row>
    <row r="29" spans="1:12" x14ac:dyDescent="0.3">
      <c r="A29" s="21" t="str">
        <f t="shared" si="0"/>
        <v/>
      </c>
      <c r="B29" s="25" t="str">
        <f t="shared" si="7"/>
        <v>FEBRER</v>
      </c>
      <c r="C29" s="25">
        <f>'Resultats per mesos'!D$104</f>
        <v>0</v>
      </c>
      <c r="D29" s="25">
        <f t="shared" si="2"/>
        <v>0</v>
      </c>
      <c r="E29" s="25" t="e">
        <f>'Resultats per mesos'!#REF!</f>
        <v>#REF!</v>
      </c>
      <c r="F29" s="25" t="e">
        <f t="shared" si="3"/>
        <v>#REF!</v>
      </c>
      <c r="G29" s="25">
        <f>'Resultats per mesos'!D$118</f>
        <v>0</v>
      </c>
      <c r="H29" s="25">
        <f t="shared" si="4"/>
        <v>0</v>
      </c>
      <c r="I29" s="25">
        <f>TRESORERIA!D$190</f>
        <v>0</v>
      </c>
      <c r="J29" s="25">
        <f>TRESORERIA!D$224+TRESORERIA!D$228</f>
        <v>0</v>
      </c>
      <c r="K29" s="25">
        <f>TRESORERIA!D$231-TRESORERIA!D$230</f>
        <v>0</v>
      </c>
      <c r="L29" s="25">
        <f t="shared" ref="L29:L39" si="8">I29-J29+K29</f>
        <v>0</v>
      </c>
    </row>
    <row r="30" spans="1:12" x14ac:dyDescent="0.3">
      <c r="A30" s="21" t="str">
        <f t="shared" si="0"/>
        <v/>
      </c>
      <c r="B30" s="25" t="str">
        <f t="shared" si="7"/>
        <v>MARÇ</v>
      </c>
      <c r="C30" s="25">
        <f>'Resultats per mesos'!E$104</f>
        <v>0</v>
      </c>
      <c r="D30" s="25">
        <f t="shared" si="2"/>
        <v>0</v>
      </c>
      <c r="E30" s="25" t="e">
        <f>'Resultats per mesos'!#REF!</f>
        <v>#REF!</v>
      </c>
      <c r="F30" s="25" t="e">
        <f t="shared" si="3"/>
        <v>#REF!</v>
      </c>
      <c r="G30" s="25">
        <f>'Resultats per mesos'!E$118</f>
        <v>0</v>
      </c>
      <c r="H30" s="25">
        <f t="shared" si="4"/>
        <v>0</v>
      </c>
      <c r="I30" s="25">
        <f>TRESORERIA!E$190</f>
        <v>0</v>
      </c>
      <c r="J30" s="25">
        <f>TRESORERIA!E$224+TRESORERIA!E$228</f>
        <v>0</v>
      </c>
      <c r="K30" s="25">
        <f>TRESORERIA!E$231-TRESORERIA!E$230</f>
        <v>0</v>
      </c>
      <c r="L30" s="25">
        <f t="shared" si="8"/>
        <v>0</v>
      </c>
    </row>
    <row r="31" spans="1:12" x14ac:dyDescent="0.3">
      <c r="A31" s="21" t="str">
        <f t="shared" si="0"/>
        <v/>
      </c>
      <c r="B31" s="25" t="str">
        <f t="shared" si="7"/>
        <v>ABRIL</v>
      </c>
      <c r="C31" s="25">
        <f>'Resultats per mesos'!F$104</f>
        <v>0</v>
      </c>
      <c r="D31" s="25">
        <f t="shared" si="2"/>
        <v>0</v>
      </c>
      <c r="E31" s="25" t="e">
        <f>'Resultats per mesos'!#REF!</f>
        <v>#REF!</v>
      </c>
      <c r="F31" s="25" t="e">
        <f t="shared" si="3"/>
        <v>#REF!</v>
      </c>
      <c r="G31" s="25">
        <f>'Resultats per mesos'!F$118</f>
        <v>0</v>
      </c>
      <c r="H31" s="25">
        <f t="shared" si="4"/>
        <v>0</v>
      </c>
      <c r="I31" s="25">
        <f>TRESORERIA!F$190</f>
        <v>0</v>
      </c>
      <c r="J31" s="25">
        <f>TRESORERIA!F$224+TRESORERIA!F$228</f>
        <v>0</v>
      </c>
      <c r="K31" s="25">
        <f>TRESORERIA!F$231-TRESORERIA!F$230</f>
        <v>0</v>
      </c>
      <c r="L31" s="25">
        <f t="shared" si="8"/>
        <v>0</v>
      </c>
    </row>
    <row r="32" spans="1:12" x14ac:dyDescent="0.3">
      <c r="A32" s="21" t="str">
        <f t="shared" si="0"/>
        <v/>
      </c>
      <c r="B32" s="25" t="str">
        <f t="shared" si="7"/>
        <v>MAIG</v>
      </c>
      <c r="C32" s="25">
        <f>'Resultats per mesos'!G$104</f>
        <v>0</v>
      </c>
      <c r="D32" s="25">
        <f t="shared" si="2"/>
        <v>0</v>
      </c>
      <c r="E32" s="25" t="e">
        <f>'Resultats per mesos'!#REF!</f>
        <v>#REF!</v>
      </c>
      <c r="F32" s="25" t="e">
        <f t="shared" si="3"/>
        <v>#REF!</v>
      </c>
      <c r="G32" s="25">
        <f>'Resultats per mesos'!G$118</f>
        <v>0</v>
      </c>
      <c r="H32" s="25">
        <f t="shared" si="4"/>
        <v>0</v>
      </c>
      <c r="I32" s="25">
        <f>TRESORERIA!G$190</f>
        <v>0</v>
      </c>
      <c r="J32" s="25">
        <f>TRESORERIA!G$224+TRESORERIA!G$228</f>
        <v>0</v>
      </c>
      <c r="K32" s="25">
        <f>TRESORERIA!G$231-TRESORERIA!G$230</f>
        <v>0</v>
      </c>
      <c r="L32" s="25">
        <f t="shared" si="8"/>
        <v>0</v>
      </c>
    </row>
    <row r="33" spans="1:12" x14ac:dyDescent="0.3">
      <c r="A33" s="21" t="str">
        <f t="shared" si="0"/>
        <v/>
      </c>
      <c r="B33" s="25" t="str">
        <f t="shared" si="7"/>
        <v>JUNY</v>
      </c>
      <c r="C33" s="25">
        <f>'Resultats per mesos'!H$104</f>
        <v>0</v>
      </c>
      <c r="D33" s="25">
        <f t="shared" si="2"/>
        <v>0</v>
      </c>
      <c r="E33" s="25" t="e">
        <f>'Resultats per mesos'!#REF!</f>
        <v>#REF!</v>
      </c>
      <c r="F33" s="25" t="e">
        <f t="shared" si="3"/>
        <v>#REF!</v>
      </c>
      <c r="G33" s="25">
        <f>'Resultats per mesos'!H$118</f>
        <v>0</v>
      </c>
      <c r="H33" s="25">
        <f t="shared" si="4"/>
        <v>0</v>
      </c>
      <c r="I33" s="25">
        <f>TRESORERIA!H$190</f>
        <v>0</v>
      </c>
      <c r="J33" s="25">
        <f>TRESORERIA!H$224+TRESORERIA!H$228</f>
        <v>0</v>
      </c>
      <c r="K33" s="25">
        <f>TRESORERIA!H$231-TRESORERIA!H$230</f>
        <v>0</v>
      </c>
      <c r="L33" s="25">
        <f t="shared" si="8"/>
        <v>0</v>
      </c>
    </row>
    <row r="34" spans="1:12" x14ac:dyDescent="0.3">
      <c r="A34" s="21" t="str">
        <f t="shared" si="0"/>
        <v/>
      </c>
      <c r="B34" s="25" t="str">
        <f t="shared" si="7"/>
        <v>JULIOL</v>
      </c>
      <c r="C34" s="25">
        <f>'Resultats per mesos'!C$127</f>
        <v>0</v>
      </c>
      <c r="D34" s="25">
        <f t="shared" si="2"/>
        <v>0</v>
      </c>
      <c r="E34" s="25" t="e">
        <f>'Resultats per mesos'!#REF!</f>
        <v>#REF!</v>
      </c>
      <c r="F34" s="25" t="e">
        <f t="shared" si="3"/>
        <v>#REF!</v>
      </c>
      <c r="G34" s="25">
        <f>'Resultats per mesos'!C$141</f>
        <v>0</v>
      </c>
      <c r="H34" s="25">
        <f t="shared" si="4"/>
        <v>0</v>
      </c>
      <c r="I34" s="25">
        <f>TRESORERIA!I$190</f>
        <v>0</v>
      </c>
      <c r="J34" s="25">
        <f>TRESORERIA!I$224+TRESORERIA!I$228</f>
        <v>0</v>
      </c>
      <c r="K34" s="25">
        <f>TRESORERIA!I$231-TRESORERIA!I$230</f>
        <v>0</v>
      </c>
      <c r="L34" s="25">
        <f t="shared" si="8"/>
        <v>0</v>
      </c>
    </row>
    <row r="35" spans="1:12" x14ac:dyDescent="0.3">
      <c r="A35" s="21" t="str">
        <f t="shared" si="0"/>
        <v/>
      </c>
      <c r="B35" s="25" t="str">
        <f t="shared" si="7"/>
        <v>AGOST</v>
      </c>
      <c r="C35" s="25">
        <f>'Resultats per mesos'!D$127</f>
        <v>0</v>
      </c>
      <c r="D35" s="25">
        <f t="shared" si="2"/>
        <v>0</v>
      </c>
      <c r="E35" s="25" t="e">
        <f>'Resultats per mesos'!#REF!</f>
        <v>#REF!</v>
      </c>
      <c r="F35" s="25" t="e">
        <f t="shared" si="3"/>
        <v>#REF!</v>
      </c>
      <c r="G35" s="25">
        <f>'Resultats per mesos'!D$141</f>
        <v>0</v>
      </c>
      <c r="H35" s="25">
        <f t="shared" si="4"/>
        <v>0</v>
      </c>
      <c r="I35" s="25">
        <f>TRESORERIA!J$190</f>
        <v>0</v>
      </c>
      <c r="J35" s="25">
        <f>TRESORERIA!J$224+TRESORERIA!J$228</f>
        <v>0</v>
      </c>
      <c r="K35" s="25">
        <f>TRESORERIA!J$231-TRESORERIA!J$230</f>
        <v>0</v>
      </c>
      <c r="L35" s="25">
        <f t="shared" si="8"/>
        <v>0</v>
      </c>
    </row>
    <row r="36" spans="1:12" x14ac:dyDescent="0.3">
      <c r="A36" s="21" t="str">
        <f t="shared" si="0"/>
        <v/>
      </c>
      <c r="B36" s="25" t="str">
        <f t="shared" si="7"/>
        <v>SETEMBRE</v>
      </c>
      <c r="C36" s="25">
        <f>'Resultats per mesos'!E$127</f>
        <v>0</v>
      </c>
      <c r="D36" s="25">
        <f t="shared" si="2"/>
        <v>0</v>
      </c>
      <c r="E36" s="25" t="e">
        <f>'Resultats per mesos'!#REF!</f>
        <v>#REF!</v>
      </c>
      <c r="F36" s="25" t="e">
        <f t="shared" si="3"/>
        <v>#REF!</v>
      </c>
      <c r="G36" s="25">
        <f>'Resultats per mesos'!E$141</f>
        <v>0</v>
      </c>
      <c r="H36" s="25">
        <f t="shared" si="4"/>
        <v>0</v>
      </c>
      <c r="I36" s="25">
        <f>TRESORERIA!K$190</f>
        <v>0</v>
      </c>
      <c r="J36" s="25">
        <f>TRESORERIA!K$224+TRESORERIA!K$228</f>
        <v>0</v>
      </c>
      <c r="K36" s="25">
        <f>TRESORERIA!K$231-TRESORERIA!K$230</f>
        <v>0</v>
      </c>
      <c r="L36" s="25">
        <f t="shared" si="8"/>
        <v>0</v>
      </c>
    </row>
    <row r="37" spans="1:12" x14ac:dyDescent="0.3">
      <c r="A37" s="21" t="str">
        <f t="shared" si="0"/>
        <v/>
      </c>
      <c r="B37" s="25" t="str">
        <f t="shared" si="7"/>
        <v>OCTUBRE</v>
      </c>
      <c r="C37" s="25">
        <f>'Resultats per mesos'!F$127</f>
        <v>0</v>
      </c>
      <c r="D37" s="25">
        <f t="shared" si="2"/>
        <v>0</v>
      </c>
      <c r="E37" s="25" t="e">
        <f>'Resultats per mesos'!#REF!</f>
        <v>#REF!</v>
      </c>
      <c r="F37" s="25" t="e">
        <f t="shared" si="3"/>
        <v>#REF!</v>
      </c>
      <c r="G37" s="25">
        <f>'Resultats per mesos'!F$141</f>
        <v>0</v>
      </c>
      <c r="H37" s="25">
        <f t="shared" si="4"/>
        <v>0</v>
      </c>
      <c r="I37" s="25">
        <f>TRESORERIA!L$190</f>
        <v>0</v>
      </c>
      <c r="J37" s="25">
        <f>TRESORERIA!L$224+TRESORERIA!L$228</f>
        <v>0</v>
      </c>
      <c r="K37" s="25">
        <f>TRESORERIA!L$231-TRESORERIA!L$230</f>
        <v>0</v>
      </c>
      <c r="L37" s="25">
        <f t="shared" si="8"/>
        <v>0</v>
      </c>
    </row>
    <row r="38" spans="1:12" x14ac:dyDescent="0.3">
      <c r="A38" s="21" t="str">
        <f t="shared" si="0"/>
        <v/>
      </c>
      <c r="B38" s="25" t="str">
        <f t="shared" si="7"/>
        <v>NOVEMBRE</v>
      </c>
      <c r="C38" s="25">
        <f>'Resultats per mesos'!G$127</f>
        <v>0</v>
      </c>
      <c r="D38" s="25">
        <f t="shared" si="2"/>
        <v>0</v>
      </c>
      <c r="E38" s="25" t="e">
        <f>'Resultats per mesos'!#REF!</f>
        <v>#REF!</v>
      </c>
      <c r="F38" s="25" t="e">
        <f t="shared" si="3"/>
        <v>#REF!</v>
      </c>
      <c r="G38" s="25">
        <f>'Resultats per mesos'!G$141</f>
        <v>0</v>
      </c>
      <c r="H38" s="25">
        <f t="shared" si="4"/>
        <v>0</v>
      </c>
      <c r="I38" s="25">
        <f>TRESORERIA!M$190</f>
        <v>0</v>
      </c>
      <c r="J38" s="25">
        <f>TRESORERIA!M$224+TRESORERIA!M$228</f>
        <v>0</v>
      </c>
      <c r="K38" s="25">
        <f>TRESORERIA!M$231-TRESORERIA!M$230</f>
        <v>0</v>
      </c>
      <c r="L38" s="25">
        <f t="shared" si="8"/>
        <v>0</v>
      </c>
    </row>
    <row r="39" spans="1:12" x14ac:dyDescent="0.3">
      <c r="A39" s="21">
        <f t="shared" si="0"/>
        <v>1</v>
      </c>
      <c r="B39" s="25" t="str">
        <f t="shared" si="7"/>
        <v>DESEMBRE</v>
      </c>
      <c r="C39" s="25">
        <f>'Resultats per mesos'!H$127</f>
        <v>0</v>
      </c>
      <c r="D39" s="25">
        <f t="shared" si="2"/>
        <v>0</v>
      </c>
      <c r="E39" s="25" t="e">
        <f>'Resultats per mesos'!#REF!</f>
        <v>#REF!</v>
      </c>
      <c r="F39" s="25" t="e">
        <f t="shared" si="3"/>
        <v>#REF!</v>
      </c>
      <c r="G39" s="25">
        <f>'Resultats per mesos'!H$141</f>
        <v>0</v>
      </c>
      <c r="H39" s="25">
        <f t="shared" si="4"/>
        <v>0</v>
      </c>
      <c r="I39" s="25">
        <f>TRESORERIA!N$190</f>
        <v>0</v>
      </c>
      <c r="J39" s="25">
        <f>TRESORERIA!N$224+TRESORERIA!N$228</f>
        <v>0</v>
      </c>
      <c r="K39" s="25">
        <f>TRESORERIA!N$231-TRESORERIA!N$230</f>
        <v>0</v>
      </c>
      <c r="L39" s="25">
        <f t="shared" si="8"/>
        <v>0</v>
      </c>
    </row>
  </sheetData>
  <sheetProtection sheet="1" objects="1" scenarios="1"/>
  <mergeCells count="3">
    <mergeCell ref="C2:D2"/>
    <mergeCell ref="E2:F2"/>
    <mergeCell ref="G2:H2"/>
  </mergeCells>
  <phoneticPr fontId="22" type="noConversion"/>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5">
    <pageSetUpPr fitToPage="1"/>
  </sheetPr>
  <dimension ref="A1:K80"/>
  <sheetViews>
    <sheetView workbookViewId="0">
      <selection activeCell="B12" sqref="B12"/>
    </sheetView>
  </sheetViews>
  <sheetFormatPr defaultColWidth="11.453125" defaultRowHeight="12.5" x14ac:dyDescent="0.25"/>
  <cols>
    <col min="1" max="1" width="12.7265625" customWidth="1"/>
    <col min="2" max="11" width="10.7265625" customWidth="1"/>
  </cols>
  <sheetData>
    <row r="1" spans="1:11" ht="13" x14ac:dyDescent="0.3">
      <c r="A1" s="1598" t="s">
        <v>540</v>
      </c>
      <c r="B1" s="49">
        <v>1</v>
      </c>
    </row>
    <row r="3" spans="1:11" ht="13" x14ac:dyDescent="0.3">
      <c r="B3" s="1989" t="s">
        <v>58</v>
      </c>
      <c r="C3" s="1989"/>
      <c r="D3" s="1989"/>
      <c r="E3" s="1989"/>
      <c r="F3" s="1989"/>
    </row>
    <row r="4" spans="1:11" ht="13" x14ac:dyDescent="0.3">
      <c r="A4" s="1990" t="s">
        <v>624</v>
      </c>
      <c r="B4" s="1991" t="s">
        <v>630</v>
      </c>
      <c r="C4" s="1991"/>
      <c r="D4" s="1991"/>
      <c r="E4" s="1991"/>
      <c r="F4" s="1991"/>
      <c r="G4" s="1991"/>
      <c r="H4" s="1991"/>
      <c r="I4" s="1991"/>
      <c r="J4" s="1991"/>
      <c r="K4" s="1991"/>
    </row>
    <row r="5" spans="1:11" ht="13" x14ac:dyDescent="0.3">
      <c r="A5" s="1990"/>
      <c r="B5" s="1606">
        <v>0</v>
      </c>
      <c r="C5" s="1607">
        <f t="shared" ref="C5:K5" si="0">B5+5%</f>
        <v>0.05</v>
      </c>
      <c r="D5" s="1607">
        <f t="shared" si="0"/>
        <v>0.1</v>
      </c>
      <c r="E5" s="1607">
        <f t="shared" si="0"/>
        <v>0.15000000000000002</v>
      </c>
      <c r="F5" s="1607">
        <f t="shared" si="0"/>
        <v>0.2</v>
      </c>
      <c r="G5" s="1607">
        <f t="shared" si="0"/>
        <v>0.25</v>
      </c>
      <c r="H5" s="1607">
        <f t="shared" si="0"/>
        <v>0.3</v>
      </c>
      <c r="I5" s="1607">
        <f t="shared" si="0"/>
        <v>0.35</v>
      </c>
      <c r="J5" s="1607">
        <f t="shared" si="0"/>
        <v>0.39999999999999997</v>
      </c>
      <c r="K5" s="1607">
        <f t="shared" si="0"/>
        <v>0.44999999999999996</v>
      </c>
    </row>
    <row r="6" spans="1:11" ht="13" x14ac:dyDescent="0.3">
      <c r="A6" s="1990"/>
      <c r="B6" s="1011">
        <f>(1+B5)*(1-'Anàlisi bàsica'!$B8)</f>
        <v>1</v>
      </c>
      <c r="C6" s="1011">
        <f>(1+C5)*(1-'Anàlisi bàsica'!$B8)</f>
        <v>1.05</v>
      </c>
      <c r="D6" s="1011">
        <f>(1+D5)*(1-'Anàlisi bàsica'!$B8)</f>
        <v>1.1000000000000001</v>
      </c>
      <c r="E6" s="1011">
        <f>(1+E5)*(1-'Anàlisi bàsica'!$B8)</f>
        <v>1.1499999999999999</v>
      </c>
      <c r="F6" s="1011">
        <f>(1+F5)*(1-'Anàlisi bàsica'!$B8)</f>
        <v>1.2</v>
      </c>
      <c r="G6" s="1011">
        <f>(1+G5)*(1-'Anàlisi bàsica'!$B8)</f>
        <v>1.25</v>
      </c>
      <c r="H6" s="1011">
        <f>(1+H5)*(1-'Anàlisi bàsica'!$B8)</f>
        <v>1.3</v>
      </c>
      <c r="I6" s="1011">
        <f>(1+I5)*(1-'Anàlisi bàsica'!$B8)</f>
        <v>1.35</v>
      </c>
      <c r="J6" s="1011">
        <f>(1+J5)*(1-'Anàlisi bàsica'!$B8)</f>
        <v>1.4</v>
      </c>
      <c r="K6" s="1011">
        <f>(1+K5)*(1-'Anàlisi bàsica'!$B8)</f>
        <v>1.45</v>
      </c>
    </row>
    <row r="7" spans="1:11" ht="13" x14ac:dyDescent="0.3">
      <c r="A7" s="1606">
        <v>0</v>
      </c>
      <c r="B7" s="1608">
        <f>(IF($B$1=1,'Anàlisi bàsica'!$B$5,0)+IF($B$1=2,'Anàlisi bàsica'!$C$5,0)+IF($B$1=3,'Anàlisi bàsica'!$D$5,0)*(1+$A7))</f>
        <v>0</v>
      </c>
      <c r="C7" s="1608">
        <f>(IF($B$1=1,'Anàlisi bàsica'!$B$5,0)+IF($B$1=2,'Anàlisi bàsica'!$C$5,0)+IF($B$1=3,'Anàlisi bàsica'!$D$5,0)*(1+$A7))</f>
        <v>0</v>
      </c>
      <c r="D7" s="1608">
        <f>(IF($B$1=1,'Anàlisi bàsica'!$B$5,0)+IF($B$1=2,'Anàlisi bàsica'!$C$5,0)+IF($B$1=3,'Anàlisi bàsica'!$D$5,0)*(1+$A7))</f>
        <v>0</v>
      </c>
      <c r="E7" s="1608">
        <f>(IF($B$1=1,'Anàlisi bàsica'!$B$5,0)+IF($B$1=2,'Anàlisi bàsica'!$C$5,0)+IF($B$1=3,'Anàlisi bàsica'!$D$5,0)*(1+$A7))</f>
        <v>0</v>
      </c>
      <c r="F7" s="1608">
        <f>(IF($B$1=1,'Anàlisi bàsica'!$B$5,0)+IF($B$1=2,'Anàlisi bàsica'!$C$5,0)+IF($B$1=3,'Anàlisi bàsica'!$D$5,0)*(1+$A7))</f>
        <v>0</v>
      </c>
      <c r="G7" s="1608">
        <f>(IF($B$1=1,'Anàlisi bàsica'!$B$5,0)+IF($B$1=2,'Anàlisi bàsica'!$C$5,0)+IF($B$1=3,'Anàlisi bàsica'!$D$5,0)*(1+$A7))</f>
        <v>0</v>
      </c>
      <c r="H7" s="1608">
        <f>(IF($B$1=1,'Anàlisi bàsica'!$B$5,0)+IF($B$1=2,'Anàlisi bàsica'!$C$5,0)+IF($B$1=3,'Anàlisi bàsica'!$D$5,0)*(1+$A7))</f>
        <v>0</v>
      </c>
      <c r="I7" s="1608">
        <f>(IF($B$1=1,'Anàlisi bàsica'!$B$5,0)+IF($B$1=2,'Anàlisi bàsica'!$C$5,0)+IF($B$1=3,'Anàlisi bàsica'!$D$5,0)*(1+$A7))</f>
        <v>0</v>
      </c>
      <c r="J7" s="1608">
        <f>(IF($B$1=1,'Anàlisi bàsica'!$B$5,0)+IF($B$1=2,'Anàlisi bàsica'!$C$5,0)+IF($B$1=3,'Anàlisi bàsica'!$D$5,0)*(1+$A7))</f>
        <v>0</v>
      </c>
      <c r="K7" s="1608">
        <f>(IF($B$1=1,'Anàlisi bàsica'!$B$5,0)+IF($B$1=2,'Anàlisi bàsica'!$C$5,0)+IF($B$1=3,'Anàlisi bàsica'!$D$5,0)*(1+$A7))</f>
        <v>0</v>
      </c>
    </row>
    <row r="8" spans="1:11" ht="13" x14ac:dyDescent="0.3">
      <c r="A8" s="1607">
        <f t="shared" ref="A8:A15" si="1">A7-5%</f>
        <v>-0.05</v>
      </c>
      <c r="B8" s="1608">
        <f>(IF($B$1=1,'Anàlisi bàsica'!$B$5,0)+IF($B$1=2,'Anàlisi bàsica'!$C$5,0)+IF($B$1=3,'Anàlisi bàsica'!$D$5,0))*(1+$A8)</f>
        <v>0</v>
      </c>
      <c r="C8" s="1608">
        <f>(IF($B$1=1,'Anàlisi bàsica'!$B$5,0)+IF($B$1=2,'Anàlisi bàsica'!$C$5,0)+IF($B$1=3,'Anàlisi bàsica'!$D$5,0))*(1+$A8)</f>
        <v>0</v>
      </c>
      <c r="D8" s="1608">
        <f>(IF($B$1=1,'Anàlisi bàsica'!$B$5,0)+IF($B$1=2,'Anàlisi bàsica'!$C$5,0)+IF($B$1=3,'Anàlisi bàsica'!$D$5,0))*(1+$A8)</f>
        <v>0</v>
      </c>
      <c r="E8" s="1608">
        <f>(IF($B$1=1,'Anàlisi bàsica'!$B$5,0)+IF($B$1=2,'Anàlisi bàsica'!$C$5,0)+IF($B$1=3,'Anàlisi bàsica'!$D$5,0))*(1+$A8)</f>
        <v>0</v>
      </c>
      <c r="F8" s="1608">
        <f>(IF($B$1=1,'Anàlisi bàsica'!$B$5,0)+IF($B$1=2,'Anàlisi bàsica'!$C$5,0)+IF($B$1=3,'Anàlisi bàsica'!$D$5,0))*(1+$A8)</f>
        <v>0</v>
      </c>
      <c r="G8" s="1608">
        <f>(IF($B$1=1,'Anàlisi bàsica'!$B$5,0)+IF($B$1=2,'Anàlisi bàsica'!$C$5,0)+IF($B$1=3,'Anàlisi bàsica'!$D$5,0))*(1+$A8)</f>
        <v>0</v>
      </c>
      <c r="H8" s="1608">
        <f>(IF($B$1=1,'Anàlisi bàsica'!$B$5,0)+IF($B$1=2,'Anàlisi bàsica'!$C$5,0)+IF($B$1=3,'Anàlisi bàsica'!$D$5,0))*(1+$A8)</f>
        <v>0</v>
      </c>
      <c r="I8" s="1608">
        <f>(IF($B$1=1,'Anàlisi bàsica'!$B$5,0)+IF($B$1=2,'Anàlisi bàsica'!$C$5,0)+IF($B$1=3,'Anàlisi bàsica'!$D$5,0))*(1+$A8)</f>
        <v>0</v>
      </c>
      <c r="J8" s="1608">
        <f>(IF($B$1=1,'Anàlisi bàsica'!$B$5,0)+IF($B$1=2,'Anàlisi bàsica'!$C$5,0)+IF($B$1=3,'Anàlisi bàsica'!$D$5,0))*(1+$A8)</f>
        <v>0</v>
      </c>
      <c r="K8" s="1608">
        <f>(IF($B$1=1,'Anàlisi bàsica'!$B$5,0)+IF($B$1=2,'Anàlisi bàsica'!$C$5,0)+IF($B$1=3,'Anàlisi bàsica'!$D$5,0))*(1+$A8)</f>
        <v>0</v>
      </c>
    </row>
    <row r="9" spans="1:11" ht="13" x14ac:dyDescent="0.3">
      <c r="A9" s="1607">
        <f t="shared" si="1"/>
        <v>-0.1</v>
      </c>
      <c r="B9" s="1608">
        <f>(IF($B$1=1,'Anàlisi bàsica'!$B$5,0)+IF($B$1=2,'Anàlisi bàsica'!$C$5,0)+IF($B$1=3,'Anàlisi bàsica'!$D$5,0))*(1+$A9)</f>
        <v>0</v>
      </c>
      <c r="C9" s="1608">
        <f>(IF($B$1=1,'Anàlisi bàsica'!$B$5,0)+IF($B$1=2,'Anàlisi bàsica'!$C$5,0)+IF($B$1=3,'Anàlisi bàsica'!$D$5,0))*(1+$A9)</f>
        <v>0</v>
      </c>
      <c r="D9" s="1608">
        <f>(IF($B$1=1,'Anàlisi bàsica'!$B$5,0)+IF($B$1=2,'Anàlisi bàsica'!$C$5,0)+IF($B$1=3,'Anàlisi bàsica'!$D$5,0))*(1+$A9)</f>
        <v>0</v>
      </c>
      <c r="E9" s="1608">
        <f>(IF($B$1=1,'Anàlisi bàsica'!$B$5,0)+IF($B$1=2,'Anàlisi bàsica'!$C$5,0)+IF($B$1=3,'Anàlisi bàsica'!$D$5,0))*(1+$A9)</f>
        <v>0</v>
      </c>
      <c r="F9" s="1608">
        <f>(IF($B$1=1,'Anàlisi bàsica'!$B$5,0)+IF($B$1=2,'Anàlisi bàsica'!$C$5,0)+IF($B$1=3,'Anàlisi bàsica'!$D$5,0))*(1+$A9)</f>
        <v>0</v>
      </c>
      <c r="G9" s="1608">
        <f>(IF($B$1=1,'Anàlisi bàsica'!$B$5,0)+IF($B$1=2,'Anàlisi bàsica'!$C$5,0)+IF($B$1=3,'Anàlisi bàsica'!$D$5,0))*(1+$A9)</f>
        <v>0</v>
      </c>
      <c r="H9" s="1608">
        <f>(IF($B$1=1,'Anàlisi bàsica'!$B$5,0)+IF($B$1=2,'Anàlisi bàsica'!$C$5,0)+IF($B$1=3,'Anàlisi bàsica'!$D$5,0))*(1+$A9)</f>
        <v>0</v>
      </c>
      <c r="I9" s="1608">
        <f>(IF($B$1=1,'Anàlisi bàsica'!$B$5,0)+IF($B$1=2,'Anàlisi bàsica'!$C$5,0)+IF($B$1=3,'Anàlisi bàsica'!$D$5,0))*(1+$A9)</f>
        <v>0</v>
      </c>
      <c r="J9" s="1608">
        <f>(IF($B$1=1,'Anàlisi bàsica'!$B$5,0)+IF($B$1=2,'Anàlisi bàsica'!$C$5,0)+IF($B$1=3,'Anàlisi bàsica'!$D$5,0))*(1+$A9)</f>
        <v>0</v>
      </c>
      <c r="K9" s="1608">
        <f>(IF($B$1=1,'Anàlisi bàsica'!$B$5,0)+IF($B$1=2,'Anàlisi bàsica'!$C$5,0)+IF($B$1=3,'Anàlisi bàsica'!$D$5,0))*(1+$A9)</f>
        <v>0</v>
      </c>
    </row>
    <row r="10" spans="1:11" ht="13" x14ac:dyDescent="0.3">
      <c r="A10" s="1607">
        <f>A9-5%</f>
        <v>-0.15000000000000002</v>
      </c>
      <c r="B10" s="1608">
        <f>(IF($B$1=1,'Anàlisi bàsica'!$B$5,0)+IF($B$1=2,'Anàlisi bàsica'!$C$5,0)+IF($B$1=3,'Anàlisi bàsica'!$D$5,0))*(1+$A10)</f>
        <v>0</v>
      </c>
      <c r="C10" s="1608">
        <f>(IF($B$1=1,'Anàlisi bàsica'!$B$5,0)+IF($B$1=2,'Anàlisi bàsica'!$C$5,0)+IF($B$1=3,'Anàlisi bàsica'!$D$5,0))*(1+$A10)</f>
        <v>0</v>
      </c>
      <c r="D10" s="1608">
        <f>(IF($B$1=1,'Anàlisi bàsica'!$B$5,0)+IF($B$1=2,'Anàlisi bàsica'!$C$5,0)+IF($B$1=3,'Anàlisi bàsica'!$D$5,0))*(1+$A10)</f>
        <v>0</v>
      </c>
      <c r="E10" s="1608">
        <f>(IF($B$1=1,'Anàlisi bàsica'!$B$5,0)+IF($B$1=2,'Anàlisi bàsica'!$C$5,0)+IF($B$1=3,'Anàlisi bàsica'!$D$5,0))*(1+$A10)</f>
        <v>0</v>
      </c>
      <c r="F10" s="1608">
        <f>(IF($B$1=1,'Anàlisi bàsica'!$B$5,0)+IF($B$1=2,'Anàlisi bàsica'!$C$5,0)+IF($B$1=3,'Anàlisi bàsica'!$D$5,0))*(1+$A10)</f>
        <v>0</v>
      </c>
      <c r="G10" s="1608">
        <f>(IF($B$1=1,'Anàlisi bàsica'!$B$5,0)+IF($B$1=2,'Anàlisi bàsica'!$C$5,0)+IF($B$1=3,'Anàlisi bàsica'!$D$5,0))*(1+$A10)</f>
        <v>0</v>
      </c>
      <c r="H10" s="1608">
        <f>(IF($B$1=1,'Anàlisi bàsica'!$B$5,0)+IF($B$1=2,'Anàlisi bàsica'!$C$5,0)+IF($B$1=3,'Anàlisi bàsica'!$D$5,0))*(1+$A10)</f>
        <v>0</v>
      </c>
      <c r="I10" s="1608">
        <f>(IF($B$1=1,'Anàlisi bàsica'!$B$5,0)+IF($B$1=2,'Anàlisi bàsica'!$C$5,0)+IF($B$1=3,'Anàlisi bàsica'!$D$5,0))*(1+$A10)</f>
        <v>0</v>
      </c>
      <c r="J10" s="1608">
        <f>(IF($B$1=1,'Anàlisi bàsica'!$B$5,0)+IF($B$1=2,'Anàlisi bàsica'!$C$5,0)+IF($B$1=3,'Anàlisi bàsica'!$D$5,0))*(1+$A10)</f>
        <v>0</v>
      </c>
      <c r="K10" s="1608">
        <f>(IF($B$1=1,'Anàlisi bàsica'!$B$5,0)+IF($B$1=2,'Anàlisi bàsica'!$C$5,0)+IF($B$1=3,'Anàlisi bàsica'!$D$5,0))*(1+$A10)</f>
        <v>0</v>
      </c>
    </row>
    <row r="11" spans="1:11" ht="13" x14ac:dyDescent="0.3">
      <c r="A11" s="1607">
        <f t="shared" si="1"/>
        <v>-0.2</v>
      </c>
      <c r="B11" s="1608">
        <f>(IF($B$1=1,'Anàlisi bàsica'!$B$5,0)+IF($B$1=2,'Anàlisi bàsica'!$C$5,0)+IF($B$1=3,'Anàlisi bàsica'!$D$5,0))*(1+$A11)</f>
        <v>0</v>
      </c>
      <c r="C11" s="1608">
        <f>(IF($B$1=1,'Anàlisi bàsica'!$B$5,0)+IF($B$1=2,'Anàlisi bàsica'!$C$5,0)+IF($B$1=3,'Anàlisi bàsica'!$D$5,0))*(1+$A11)</f>
        <v>0</v>
      </c>
      <c r="D11" s="1608">
        <f>(IF($B$1=1,'Anàlisi bàsica'!$B$5,0)+IF($B$1=2,'Anàlisi bàsica'!$C$5,0)+IF($B$1=3,'Anàlisi bàsica'!$D$5,0))*(1+$A11)</f>
        <v>0</v>
      </c>
      <c r="E11" s="1608">
        <f>(IF($B$1=1,'Anàlisi bàsica'!$B$5,0)+IF($B$1=2,'Anàlisi bàsica'!$C$5,0)+IF($B$1=3,'Anàlisi bàsica'!$D$5,0))*(1+$A11)</f>
        <v>0</v>
      </c>
      <c r="F11" s="1608">
        <f>(IF($B$1=1,'Anàlisi bàsica'!$B$5,0)+IF($B$1=2,'Anàlisi bàsica'!$C$5,0)+IF($B$1=3,'Anàlisi bàsica'!$D$5,0))*(1+$A11)</f>
        <v>0</v>
      </c>
      <c r="G11" s="1608">
        <f>(IF($B$1=1,'Anàlisi bàsica'!$B$5,0)+IF($B$1=2,'Anàlisi bàsica'!$C$5,0)+IF($B$1=3,'Anàlisi bàsica'!$D$5,0))*(1+$A11)</f>
        <v>0</v>
      </c>
      <c r="H11" s="1608">
        <f>(IF($B$1=1,'Anàlisi bàsica'!$B$5,0)+IF($B$1=2,'Anàlisi bàsica'!$C$5,0)+IF($B$1=3,'Anàlisi bàsica'!$D$5,0))*(1+$A11)</f>
        <v>0</v>
      </c>
      <c r="I11" s="1608">
        <f>(IF($B$1=1,'Anàlisi bàsica'!$B$5,0)+IF($B$1=2,'Anàlisi bàsica'!$C$5,0)+IF($B$1=3,'Anàlisi bàsica'!$D$5,0))*(1+$A11)</f>
        <v>0</v>
      </c>
      <c r="J11" s="1608">
        <f>(IF($B$1=1,'Anàlisi bàsica'!$B$5,0)+IF($B$1=2,'Anàlisi bàsica'!$C$5,0)+IF($B$1=3,'Anàlisi bàsica'!$D$5,0))*(1+$A11)</f>
        <v>0</v>
      </c>
      <c r="K11" s="1608">
        <f>(IF($B$1=1,'Anàlisi bàsica'!$B$5,0)+IF($B$1=2,'Anàlisi bàsica'!$C$5,0)+IF($B$1=3,'Anàlisi bàsica'!$D$5,0))*(1+$A11)</f>
        <v>0</v>
      </c>
    </row>
    <row r="12" spans="1:11" ht="13" x14ac:dyDescent="0.3">
      <c r="A12" s="1607">
        <f t="shared" si="1"/>
        <v>-0.25</v>
      </c>
      <c r="B12" s="1608">
        <f>(IF($B$1=1,'Anàlisi bàsica'!$B$5,0)+IF($B$1=2,'Anàlisi bàsica'!$C$5,0)+IF($B$1=3,'Anàlisi bàsica'!$D$5,0))*(1+$A12)</f>
        <v>0</v>
      </c>
      <c r="C12" s="1608">
        <f>(IF($B$1=1,'Anàlisi bàsica'!$B$5,0)+IF($B$1=2,'Anàlisi bàsica'!$C$5,0)+IF($B$1=3,'Anàlisi bàsica'!$D$5,0))*(1+$A12)</f>
        <v>0</v>
      </c>
      <c r="D12" s="1608">
        <f>(IF($B$1=1,'Anàlisi bàsica'!$B$5,0)+IF($B$1=2,'Anàlisi bàsica'!$C$5,0)+IF($B$1=3,'Anàlisi bàsica'!$D$5,0))*(1+$A12)</f>
        <v>0</v>
      </c>
      <c r="E12" s="1608">
        <f>(IF($B$1=1,'Anàlisi bàsica'!$B$5,0)+IF($B$1=2,'Anàlisi bàsica'!$C$5,0)+IF($B$1=3,'Anàlisi bàsica'!$D$5,0))*(1+$A12)</f>
        <v>0</v>
      </c>
      <c r="F12" s="1608">
        <f>(IF($B$1=1,'Anàlisi bàsica'!$B$5,0)+IF($B$1=2,'Anàlisi bàsica'!$C$5,0)+IF($B$1=3,'Anàlisi bàsica'!$D$5,0))*(1+$A12)</f>
        <v>0</v>
      </c>
      <c r="G12" s="1608">
        <f>(IF($B$1=1,'Anàlisi bàsica'!$B$5,0)+IF($B$1=2,'Anàlisi bàsica'!$C$5,0)+IF($B$1=3,'Anàlisi bàsica'!$D$5,0))*(1+$A12)</f>
        <v>0</v>
      </c>
      <c r="H12" s="1608">
        <f>(IF($B$1=1,'Anàlisi bàsica'!$B$5,0)+IF($B$1=2,'Anàlisi bàsica'!$C$5,0)+IF($B$1=3,'Anàlisi bàsica'!$D$5,0))*(1+$A12)</f>
        <v>0</v>
      </c>
      <c r="I12" s="1608">
        <f>(IF($B$1=1,'Anàlisi bàsica'!$B$5,0)+IF($B$1=2,'Anàlisi bàsica'!$C$5,0)+IF($B$1=3,'Anàlisi bàsica'!$D$5,0))*(1+$A12)</f>
        <v>0</v>
      </c>
      <c r="J12" s="1608">
        <f>(IF($B$1=1,'Anàlisi bàsica'!$B$5,0)+IF($B$1=2,'Anàlisi bàsica'!$C$5,0)+IF($B$1=3,'Anàlisi bàsica'!$D$5,0))*(1+$A12)</f>
        <v>0</v>
      </c>
      <c r="K12" s="1608">
        <f>(IF($B$1=1,'Anàlisi bàsica'!$B$5,0)+IF($B$1=2,'Anàlisi bàsica'!$C$5,0)+IF($B$1=3,'Anàlisi bàsica'!$D$5,0))*(1+$A12)</f>
        <v>0</v>
      </c>
    </row>
    <row r="13" spans="1:11" ht="13" x14ac:dyDescent="0.3">
      <c r="A13" s="1607">
        <f>A12-5%</f>
        <v>-0.3</v>
      </c>
      <c r="B13" s="1608">
        <f>(IF($B$1=1,'Anàlisi bàsica'!$B$5,0)+IF($B$1=2,'Anàlisi bàsica'!$C$5,0)+IF($B$1=3,'Anàlisi bàsica'!$D$5,0))*(1+$A13)</f>
        <v>0</v>
      </c>
      <c r="C13" s="1608">
        <f>(IF($B$1=1,'Anàlisi bàsica'!$B$5,0)+IF($B$1=2,'Anàlisi bàsica'!$C$5,0)+IF($B$1=3,'Anàlisi bàsica'!$D$5,0))*(1+$A13)</f>
        <v>0</v>
      </c>
      <c r="D13" s="1608">
        <f>(IF($B$1=1,'Anàlisi bàsica'!$B$5,0)+IF($B$1=2,'Anàlisi bàsica'!$C$5,0)+IF($B$1=3,'Anàlisi bàsica'!$D$5,0))*(1+$A13)</f>
        <v>0</v>
      </c>
      <c r="E13" s="1608">
        <f>(IF($B$1=1,'Anàlisi bàsica'!$B$5,0)+IF($B$1=2,'Anàlisi bàsica'!$C$5,0)+IF($B$1=3,'Anàlisi bàsica'!$D$5,0))*(1+$A13)</f>
        <v>0</v>
      </c>
      <c r="F13" s="1608">
        <f>(IF($B$1=1,'Anàlisi bàsica'!$B$5,0)+IF($B$1=2,'Anàlisi bàsica'!$C$5,0)+IF($B$1=3,'Anàlisi bàsica'!$D$5,0))*(1+$A13)</f>
        <v>0</v>
      </c>
      <c r="G13" s="1608">
        <f>(IF($B$1=1,'Anàlisi bàsica'!$B$5,0)+IF($B$1=2,'Anàlisi bàsica'!$C$5,0)+IF($B$1=3,'Anàlisi bàsica'!$D$5,0))*(1+$A13)</f>
        <v>0</v>
      </c>
      <c r="H13" s="1608">
        <f>(IF($B$1=1,'Anàlisi bàsica'!$B$5,0)+IF($B$1=2,'Anàlisi bàsica'!$C$5,0)+IF($B$1=3,'Anàlisi bàsica'!$D$5,0))*(1+$A13)</f>
        <v>0</v>
      </c>
      <c r="I13" s="1608">
        <f>(IF($B$1=1,'Anàlisi bàsica'!$B$5,0)+IF($B$1=2,'Anàlisi bàsica'!$C$5,0)+IF($B$1=3,'Anàlisi bàsica'!$D$5,0))*(1+$A13)</f>
        <v>0</v>
      </c>
      <c r="J13" s="1608">
        <f>(IF($B$1=1,'Anàlisi bàsica'!$B$5,0)+IF($B$1=2,'Anàlisi bàsica'!$C$5,0)+IF($B$1=3,'Anàlisi bàsica'!$D$5,0))*(1+$A13)</f>
        <v>0</v>
      </c>
      <c r="K13" s="1608">
        <f>(IF($B$1=1,'Anàlisi bàsica'!$B$5,0)+IF($B$1=2,'Anàlisi bàsica'!$C$5,0)+IF($B$1=3,'Anàlisi bàsica'!$D$5,0))*(1+$A13)</f>
        <v>0</v>
      </c>
    </row>
    <row r="14" spans="1:11" ht="13" x14ac:dyDescent="0.3">
      <c r="A14" s="1607">
        <f t="shared" si="1"/>
        <v>-0.35</v>
      </c>
      <c r="B14" s="1608">
        <f>(IF($B$1=1,'Anàlisi bàsica'!$B$5,0)+IF($B$1=2,'Anàlisi bàsica'!$C$5,0)+IF($B$1=3,'Anàlisi bàsica'!$D$5,0))*(1+$A14)</f>
        <v>0</v>
      </c>
      <c r="C14" s="1608">
        <f>(IF($B$1=1,'Anàlisi bàsica'!$B$5,0)+IF($B$1=2,'Anàlisi bàsica'!$C$5,0)+IF($B$1=3,'Anàlisi bàsica'!$D$5,0))*(1+$A14)</f>
        <v>0</v>
      </c>
      <c r="D14" s="1608">
        <f>(IF($B$1=1,'Anàlisi bàsica'!$B$5,0)+IF($B$1=2,'Anàlisi bàsica'!$C$5,0)+IF($B$1=3,'Anàlisi bàsica'!$D$5,0))*(1+$A14)</f>
        <v>0</v>
      </c>
      <c r="E14" s="1608">
        <f>(IF($B$1=1,'Anàlisi bàsica'!$B$5,0)+IF($B$1=2,'Anàlisi bàsica'!$C$5,0)+IF($B$1=3,'Anàlisi bàsica'!$D$5,0))*(1+$A14)</f>
        <v>0</v>
      </c>
      <c r="F14" s="1608">
        <f>(IF($B$1=1,'Anàlisi bàsica'!$B$5,0)+IF($B$1=2,'Anàlisi bàsica'!$C$5,0)+IF($B$1=3,'Anàlisi bàsica'!$D$5,0))*(1+$A14)</f>
        <v>0</v>
      </c>
      <c r="G14" s="1608">
        <f>(IF($B$1=1,'Anàlisi bàsica'!$B$5,0)+IF($B$1=2,'Anàlisi bàsica'!$C$5,0)+IF($B$1=3,'Anàlisi bàsica'!$D$5,0))*(1+$A14)</f>
        <v>0</v>
      </c>
      <c r="H14" s="1608">
        <f>(IF($B$1=1,'Anàlisi bàsica'!$B$5,0)+IF($B$1=2,'Anàlisi bàsica'!$C$5,0)+IF($B$1=3,'Anàlisi bàsica'!$D$5,0))*(1+$A14)</f>
        <v>0</v>
      </c>
      <c r="I14" s="1608">
        <f>(IF($B$1=1,'Anàlisi bàsica'!$B$5,0)+IF($B$1=2,'Anàlisi bàsica'!$C$5,0)+IF($B$1=3,'Anàlisi bàsica'!$D$5,0))*(1+$A14)</f>
        <v>0</v>
      </c>
      <c r="J14" s="1608">
        <f>(IF($B$1=1,'Anàlisi bàsica'!$B$5,0)+IF($B$1=2,'Anàlisi bàsica'!$C$5,0)+IF($B$1=3,'Anàlisi bàsica'!$D$5,0))*(1+$A14)</f>
        <v>0</v>
      </c>
      <c r="K14" s="1608">
        <f>(IF($B$1=1,'Anàlisi bàsica'!$B$5,0)+IF($B$1=2,'Anàlisi bàsica'!$C$5,0)+IF($B$1=3,'Anàlisi bàsica'!$D$5,0))*(1+$A14)</f>
        <v>0</v>
      </c>
    </row>
    <row r="15" spans="1:11" ht="13" x14ac:dyDescent="0.3">
      <c r="A15" s="1607">
        <f t="shared" si="1"/>
        <v>-0.39999999999999997</v>
      </c>
      <c r="B15" s="1608">
        <f>(IF($B$1=1,'Anàlisi bàsica'!$B$5,0)+IF($B$1=2,'Anàlisi bàsica'!$C$5,0)+IF($B$1=3,'Anàlisi bàsica'!$D$5,0))*(1+$A15)</f>
        <v>0</v>
      </c>
      <c r="C15" s="1608">
        <f>(IF($B$1=1,'Anàlisi bàsica'!$B$5,0)+IF($B$1=2,'Anàlisi bàsica'!$C$5,0)+IF($B$1=3,'Anàlisi bàsica'!$D$5,0))*(1+$A15)</f>
        <v>0</v>
      </c>
      <c r="D15" s="1608">
        <f>(IF($B$1=1,'Anàlisi bàsica'!$B$5,0)+IF($B$1=2,'Anàlisi bàsica'!$C$5,0)+IF($B$1=3,'Anàlisi bàsica'!$D$5,0))*(1+$A15)</f>
        <v>0</v>
      </c>
      <c r="E15" s="1608">
        <f>(IF($B$1=1,'Anàlisi bàsica'!$B$5,0)+IF($B$1=2,'Anàlisi bàsica'!$C$5,0)+IF($B$1=3,'Anàlisi bàsica'!$D$5,0))*(1+$A15)</f>
        <v>0</v>
      </c>
      <c r="F15" s="1608">
        <f>(IF($B$1=1,'Anàlisi bàsica'!$B$5,0)+IF($B$1=2,'Anàlisi bàsica'!$C$5,0)+IF($B$1=3,'Anàlisi bàsica'!$D$5,0))*(1+$A15)</f>
        <v>0</v>
      </c>
      <c r="G15" s="1608">
        <f>(IF($B$1=1,'Anàlisi bàsica'!$B$5,0)+IF($B$1=2,'Anàlisi bàsica'!$C$5,0)+IF($B$1=3,'Anàlisi bàsica'!$D$5,0))*(1+$A15)</f>
        <v>0</v>
      </c>
      <c r="H15" s="1608">
        <f>(IF($B$1=1,'Anàlisi bàsica'!$B$5,0)+IF($B$1=2,'Anàlisi bàsica'!$C$5,0)+IF($B$1=3,'Anàlisi bàsica'!$D$5,0))*(1+$A15)</f>
        <v>0</v>
      </c>
      <c r="I15" s="1608">
        <f>(IF($B$1=1,'Anàlisi bàsica'!$B$5,0)+IF($B$1=2,'Anàlisi bàsica'!$C$5,0)+IF($B$1=3,'Anàlisi bàsica'!$D$5,0))*(1+$A15)</f>
        <v>0</v>
      </c>
      <c r="J15" s="1608">
        <f>(IF($B$1=1,'Anàlisi bàsica'!$B$5,0)+IF($B$1=2,'Anàlisi bàsica'!$C$5,0)+IF($B$1=3,'Anàlisi bàsica'!$D$5,0))*(1+$A15)</f>
        <v>0</v>
      </c>
      <c r="K15" s="1608">
        <f>(IF($B$1=1,'Anàlisi bàsica'!$B$5,0)+IF($B$1=2,'Anàlisi bàsica'!$C$5,0)+IF($B$1=3,'Anàlisi bàsica'!$D$5,0))*(1+$A15)</f>
        <v>0</v>
      </c>
    </row>
    <row r="17" spans="1:11" s="21" customFormat="1" hidden="1" x14ac:dyDescent="0.25"/>
    <row r="18" spans="1:11" s="21" customFormat="1" hidden="1" x14ac:dyDescent="0.25"/>
    <row r="19" spans="1:11" s="21" customFormat="1" hidden="1" x14ac:dyDescent="0.25"/>
    <row r="20" spans="1:11" s="21" customFormat="1" hidden="1" x14ac:dyDescent="0.25"/>
    <row r="21" spans="1:11" s="21" customFormat="1" hidden="1" x14ac:dyDescent="0.25"/>
    <row r="23" spans="1:11" ht="13" x14ac:dyDescent="0.3">
      <c r="B23" s="1989" t="s">
        <v>632</v>
      </c>
      <c r="C23" s="1989"/>
      <c r="D23" s="1989"/>
      <c r="E23" s="1989"/>
      <c r="F23" s="1989"/>
    </row>
    <row r="24" spans="1:11" ht="13" x14ac:dyDescent="0.3">
      <c r="A24" s="1990" t="s">
        <v>624</v>
      </c>
      <c r="B24" s="1991" t="s">
        <v>630</v>
      </c>
      <c r="C24" s="1991"/>
      <c r="D24" s="1991"/>
      <c r="E24" s="1991"/>
      <c r="F24" s="1991"/>
      <c r="G24" s="1991"/>
      <c r="H24" s="1991"/>
      <c r="I24" s="1991"/>
      <c r="J24" s="1991"/>
      <c r="K24" s="1991"/>
    </row>
    <row r="25" spans="1:11" ht="13" x14ac:dyDescent="0.3">
      <c r="A25" s="1990"/>
      <c r="B25" s="1605">
        <f>B5</f>
        <v>0</v>
      </c>
      <c r="C25" s="1605">
        <f t="shared" ref="C25:K26" si="2">C5</f>
        <v>0.05</v>
      </c>
      <c r="D25" s="1605">
        <f t="shared" si="2"/>
        <v>0.1</v>
      </c>
      <c r="E25" s="1605">
        <f t="shared" si="2"/>
        <v>0.15000000000000002</v>
      </c>
      <c r="F25" s="1605">
        <f t="shared" si="2"/>
        <v>0.2</v>
      </c>
      <c r="G25" s="1605">
        <f t="shared" si="2"/>
        <v>0.25</v>
      </c>
      <c r="H25" s="1605">
        <f t="shared" si="2"/>
        <v>0.3</v>
      </c>
      <c r="I25" s="1605">
        <f t="shared" si="2"/>
        <v>0.35</v>
      </c>
      <c r="J25" s="1605">
        <f t="shared" si="2"/>
        <v>0.39999999999999997</v>
      </c>
      <c r="K25" s="1605">
        <f t="shared" si="2"/>
        <v>0.44999999999999996</v>
      </c>
    </row>
    <row r="26" spans="1:11" ht="13" x14ac:dyDescent="0.3">
      <c r="A26" s="1990"/>
      <c r="B26" s="1605">
        <f>B6</f>
        <v>1</v>
      </c>
      <c r="C26" s="1605">
        <f t="shared" si="2"/>
        <v>1.05</v>
      </c>
      <c r="D26" s="1605">
        <f t="shared" si="2"/>
        <v>1.1000000000000001</v>
      </c>
      <c r="E26" s="1605">
        <f t="shared" si="2"/>
        <v>1.1499999999999999</v>
      </c>
      <c r="F26" s="1605">
        <f t="shared" si="2"/>
        <v>1.2</v>
      </c>
      <c r="G26" s="1605">
        <f t="shared" si="2"/>
        <v>1.25</v>
      </c>
      <c r="H26" s="1605">
        <f t="shared" si="2"/>
        <v>1.3</v>
      </c>
      <c r="I26" s="1605">
        <f t="shared" si="2"/>
        <v>1.35</v>
      </c>
      <c r="J26" s="1605">
        <f t="shared" si="2"/>
        <v>1.4</v>
      </c>
      <c r="K26" s="1605">
        <f t="shared" si="2"/>
        <v>1.45</v>
      </c>
    </row>
    <row r="27" spans="1:11" ht="13" x14ac:dyDescent="0.3">
      <c r="A27" s="1605">
        <f>A7</f>
        <v>0</v>
      </c>
      <c r="B27" s="1608">
        <f t="shared" ref="B27:K27" si="3">B7*B$26</f>
        <v>0</v>
      </c>
      <c r="C27" s="1608">
        <f t="shared" si="3"/>
        <v>0</v>
      </c>
      <c r="D27" s="1608">
        <f t="shared" si="3"/>
        <v>0</v>
      </c>
      <c r="E27" s="1608">
        <f t="shared" si="3"/>
        <v>0</v>
      </c>
      <c r="F27" s="1608">
        <f t="shared" si="3"/>
        <v>0</v>
      </c>
      <c r="G27" s="1608">
        <f t="shared" si="3"/>
        <v>0</v>
      </c>
      <c r="H27" s="1608">
        <f t="shared" si="3"/>
        <v>0</v>
      </c>
      <c r="I27" s="1608">
        <f t="shared" si="3"/>
        <v>0</v>
      </c>
      <c r="J27" s="1608">
        <f t="shared" si="3"/>
        <v>0</v>
      </c>
      <c r="K27" s="1608">
        <f t="shared" si="3"/>
        <v>0</v>
      </c>
    </row>
    <row r="28" spans="1:11" ht="13" x14ac:dyDescent="0.3">
      <c r="A28" s="1605">
        <f>A8</f>
        <v>-0.05</v>
      </c>
      <c r="B28" s="1608">
        <f t="shared" ref="B28:K28" si="4">B8*B$26</f>
        <v>0</v>
      </c>
      <c r="C28" s="1608">
        <f t="shared" si="4"/>
        <v>0</v>
      </c>
      <c r="D28" s="1608">
        <f t="shared" si="4"/>
        <v>0</v>
      </c>
      <c r="E28" s="1608">
        <f t="shared" si="4"/>
        <v>0</v>
      </c>
      <c r="F28" s="1608">
        <f t="shared" si="4"/>
        <v>0</v>
      </c>
      <c r="G28" s="1608">
        <f t="shared" si="4"/>
        <v>0</v>
      </c>
      <c r="H28" s="1608">
        <f t="shared" si="4"/>
        <v>0</v>
      </c>
      <c r="I28" s="1608">
        <f t="shared" si="4"/>
        <v>0</v>
      </c>
      <c r="J28" s="1608">
        <f t="shared" si="4"/>
        <v>0</v>
      </c>
      <c r="K28" s="1608">
        <f t="shared" si="4"/>
        <v>0</v>
      </c>
    </row>
    <row r="29" spans="1:11" ht="13" x14ac:dyDescent="0.3">
      <c r="A29" s="1605">
        <f>A9</f>
        <v>-0.1</v>
      </c>
      <c r="B29" s="1608">
        <f t="shared" ref="B29:K29" si="5">B9*B$26</f>
        <v>0</v>
      </c>
      <c r="C29" s="1608">
        <f t="shared" si="5"/>
        <v>0</v>
      </c>
      <c r="D29" s="1608">
        <f t="shared" si="5"/>
        <v>0</v>
      </c>
      <c r="E29" s="1608">
        <f t="shared" si="5"/>
        <v>0</v>
      </c>
      <c r="F29" s="1608">
        <f t="shared" si="5"/>
        <v>0</v>
      </c>
      <c r="G29" s="1608">
        <f t="shared" si="5"/>
        <v>0</v>
      </c>
      <c r="H29" s="1608">
        <f t="shared" si="5"/>
        <v>0</v>
      </c>
      <c r="I29" s="1608">
        <f t="shared" si="5"/>
        <v>0</v>
      </c>
      <c r="J29" s="1608">
        <f t="shared" si="5"/>
        <v>0</v>
      </c>
      <c r="K29" s="1608">
        <f t="shared" si="5"/>
        <v>0</v>
      </c>
    </row>
    <row r="30" spans="1:11" ht="13" x14ac:dyDescent="0.3">
      <c r="A30" s="1605">
        <f t="shared" ref="A30:A35" si="6">A10</f>
        <v>-0.15000000000000002</v>
      </c>
      <c r="B30" s="1608">
        <f t="shared" ref="B30:B35" si="7">B10*B$26</f>
        <v>0</v>
      </c>
      <c r="C30" s="1608">
        <f t="shared" ref="C30:K30" si="8">C10*C$26</f>
        <v>0</v>
      </c>
      <c r="D30" s="1608">
        <f t="shared" si="8"/>
        <v>0</v>
      </c>
      <c r="E30" s="1608">
        <f t="shared" si="8"/>
        <v>0</v>
      </c>
      <c r="F30" s="1608">
        <f t="shared" si="8"/>
        <v>0</v>
      </c>
      <c r="G30" s="1608">
        <f t="shared" si="8"/>
        <v>0</v>
      </c>
      <c r="H30" s="1608">
        <f t="shared" si="8"/>
        <v>0</v>
      </c>
      <c r="I30" s="1608">
        <f t="shared" si="8"/>
        <v>0</v>
      </c>
      <c r="J30" s="1608">
        <f t="shared" si="8"/>
        <v>0</v>
      </c>
      <c r="K30" s="1608">
        <f t="shared" si="8"/>
        <v>0</v>
      </c>
    </row>
    <row r="31" spans="1:11" ht="13" x14ac:dyDescent="0.3">
      <c r="A31" s="1605">
        <f t="shared" si="6"/>
        <v>-0.2</v>
      </c>
      <c r="B31" s="1608">
        <f t="shared" si="7"/>
        <v>0</v>
      </c>
      <c r="C31" s="1608">
        <f t="shared" ref="C31:K31" si="9">C11*C$26</f>
        <v>0</v>
      </c>
      <c r="D31" s="1608">
        <f t="shared" si="9"/>
        <v>0</v>
      </c>
      <c r="E31" s="1608">
        <f t="shared" si="9"/>
        <v>0</v>
      </c>
      <c r="F31" s="1608">
        <f t="shared" si="9"/>
        <v>0</v>
      </c>
      <c r="G31" s="1608">
        <f t="shared" si="9"/>
        <v>0</v>
      </c>
      <c r="H31" s="1608">
        <f t="shared" si="9"/>
        <v>0</v>
      </c>
      <c r="I31" s="1608">
        <f t="shared" si="9"/>
        <v>0</v>
      </c>
      <c r="J31" s="1608">
        <f t="shared" si="9"/>
        <v>0</v>
      </c>
      <c r="K31" s="1608">
        <f t="shared" si="9"/>
        <v>0</v>
      </c>
    </row>
    <row r="32" spans="1:11" ht="13" x14ac:dyDescent="0.3">
      <c r="A32" s="1605">
        <f t="shared" si="6"/>
        <v>-0.25</v>
      </c>
      <c r="B32" s="1608">
        <f t="shared" si="7"/>
        <v>0</v>
      </c>
      <c r="C32" s="1608">
        <f t="shared" ref="C32:K32" si="10">C12*C$26</f>
        <v>0</v>
      </c>
      <c r="D32" s="1608">
        <f t="shared" si="10"/>
        <v>0</v>
      </c>
      <c r="E32" s="1608">
        <f t="shared" si="10"/>
        <v>0</v>
      </c>
      <c r="F32" s="1608">
        <f t="shared" si="10"/>
        <v>0</v>
      </c>
      <c r="G32" s="1608">
        <f t="shared" si="10"/>
        <v>0</v>
      </c>
      <c r="H32" s="1608">
        <f t="shared" si="10"/>
        <v>0</v>
      </c>
      <c r="I32" s="1608">
        <f t="shared" si="10"/>
        <v>0</v>
      </c>
      <c r="J32" s="1608">
        <f t="shared" si="10"/>
        <v>0</v>
      </c>
      <c r="K32" s="1608">
        <f t="shared" si="10"/>
        <v>0</v>
      </c>
    </row>
    <row r="33" spans="1:11" ht="13" x14ac:dyDescent="0.3">
      <c r="A33" s="1605">
        <f t="shared" si="6"/>
        <v>-0.3</v>
      </c>
      <c r="B33" s="1608">
        <f t="shared" si="7"/>
        <v>0</v>
      </c>
      <c r="C33" s="1608">
        <f t="shared" ref="C33:K33" si="11">C13*C$26</f>
        <v>0</v>
      </c>
      <c r="D33" s="1608">
        <f t="shared" si="11"/>
        <v>0</v>
      </c>
      <c r="E33" s="1608">
        <f t="shared" si="11"/>
        <v>0</v>
      </c>
      <c r="F33" s="1608">
        <f t="shared" si="11"/>
        <v>0</v>
      </c>
      <c r="G33" s="1608">
        <f t="shared" si="11"/>
        <v>0</v>
      </c>
      <c r="H33" s="1608">
        <f t="shared" si="11"/>
        <v>0</v>
      </c>
      <c r="I33" s="1608">
        <f t="shared" si="11"/>
        <v>0</v>
      </c>
      <c r="J33" s="1608">
        <f t="shared" si="11"/>
        <v>0</v>
      </c>
      <c r="K33" s="1608">
        <f t="shared" si="11"/>
        <v>0</v>
      </c>
    </row>
    <row r="34" spans="1:11" ht="13" x14ac:dyDescent="0.3">
      <c r="A34" s="1605">
        <f t="shared" si="6"/>
        <v>-0.35</v>
      </c>
      <c r="B34" s="1608">
        <f t="shared" si="7"/>
        <v>0</v>
      </c>
      <c r="C34" s="1608">
        <f t="shared" ref="C34:K34" si="12">C14*C$26</f>
        <v>0</v>
      </c>
      <c r="D34" s="1608">
        <f t="shared" si="12"/>
        <v>0</v>
      </c>
      <c r="E34" s="1608">
        <f t="shared" si="12"/>
        <v>0</v>
      </c>
      <c r="F34" s="1608">
        <f t="shared" si="12"/>
        <v>0</v>
      </c>
      <c r="G34" s="1608">
        <f t="shared" si="12"/>
        <v>0</v>
      </c>
      <c r="H34" s="1608">
        <f t="shared" si="12"/>
        <v>0</v>
      </c>
      <c r="I34" s="1608">
        <f t="shared" si="12"/>
        <v>0</v>
      </c>
      <c r="J34" s="1608">
        <f t="shared" si="12"/>
        <v>0</v>
      </c>
      <c r="K34" s="1608">
        <f t="shared" si="12"/>
        <v>0</v>
      </c>
    </row>
    <row r="35" spans="1:11" ht="13" x14ac:dyDescent="0.3">
      <c r="A35" s="1605">
        <f t="shared" si="6"/>
        <v>-0.39999999999999997</v>
      </c>
      <c r="B35" s="1608">
        <f t="shared" si="7"/>
        <v>0</v>
      </c>
      <c r="C35" s="1608">
        <f t="shared" ref="C35:K35" si="13">C15*C$26</f>
        <v>0</v>
      </c>
      <c r="D35" s="1608">
        <f t="shared" si="13"/>
        <v>0</v>
      </c>
      <c r="E35" s="1608">
        <f t="shared" si="13"/>
        <v>0</v>
      </c>
      <c r="F35" s="1608">
        <f t="shared" si="13"/>
        <v>0</v>
      </c>
      <c r="G35" s="1608">
        <f t="shared" si="13"/>
        <v>0</v>
      </c>
      <c r="H35" s="1608">
        <f t="shared" si="13"/>
        <v>0</v>
      </c>
      <c r="I35" s="1608">
        <f t="shared" si="13"/>
        <v>0</v>
      </c>
      <c r="J35" s="1608">
        <f t="shared" si="13"/>
        <v>0</v>
      </c>
      <c r="K35" s="1608">
        <f t="shared" si="13"/>
        <v>0</v>
      </c>
    </row>
    <row r="38" spans="1:11" ht="13" x14ac:dyDescent="0.3">
      <c r="B38" s="1989" t="s">
        <v>633</v>
      </c>
      <c r="C38" s="1989"/>
      <c r="D38" s="1989"/>
      <c r="E38" s="1989"/>
      <c r="F38" s="1989"/>
    </row>
    <row r="39" spans="1:11" ht="13" x14ac:dyDescent="0.3">
      <c r="A39" s="1990" t="s">
        <v>624</v>
      </c>
      <c r="B39" s="1991" t="s">
        <v>630</v>
      </c>
      <c r="C39" s="1991"/>
      <c r="D39" s="1991"/>
      <c r="E39" s="1991"/>
      <c r="F39" s="1991"/>
      <c r="G39" s="1991"/>
      <c r="H39" s="1991"/>
      <c r="I39" s="1991"/>
      <c r="J39" s="1991"/>
      <c r="K39" s="1991"/>
    </row>
    <row r="40" spans="1:11" ht="13" x14ac:dyDescent="0.3">
      <c r="A40" s="1990"/>
      <c r="B40" s="1605">
        <f t="shared" ref="B40:K40" si="14">B25</f>
        <v>0</v>
      </c>
      <c r="C40" s="1605">
        <f t="shared" si="14"/>
        <v>0.05</v>
      </c>
      <c r="D40" s="1605">
        <f t="shared" si="14"/>
        <v>0.1</v>
      </c>
      <c r="E40" s="1605">
        <f t="shared" si="14"/>
        <v>0.15000000000000002</v>
      </c>
      <c r="F40" s="1605">
        <f t="shared" si="14"/>
        <v>0.2</v>
      </c>
      <c r="G40" s="1605">
        <f t="shared" si="14"/>
        <v>0.25</v>
      </c>
      <c r="H40" s="1605">
        <f t="shared" si="14"/>
        <v>0.3</v>
      </c>
      <c r="I40" s="1605">
        <f t="shared" si="14"/>
        <v>0.35</v>
      </c>
      <c r="J40" s="1605">
        <f t="shared" si="14"/>
        <v>0.39999999999999997</v>
      </c>
      <c r="K40" s="1605">
        <f t="shared" si="14"/>
        <v>0.44999999999999996</v>
      </c>
    </row>
    <row r="41" spans="1:11" s="7" customFormat="1" ht="13" x14ac:dyDescent="0.3">
      <c r="A41" s="1990"/>
      <c r="B41" s="1605">
        <f t="shared" ref="B41:K41" si="15">B26</f>
        <v>1</v>
      </c>
      <c r="C41" s="1605">
        <f t="shared" si="15"/>
        <v>1.05</v>
      </c>
      <c r="D41" s="1605">
        <f t="shared" si="15"/>
        <v>1.1000000000000001</v>
      </c>
      <c r="E41" s="1605">
        <f t="shared" si="15"/>
        <v>1.1499999999999999</v>
      </c>
      <c r="F41" s="1605">
        <f t="shared" si="15"/>
        <v>1.2</v>
      </c>
      <c r="G41" s="1605">
        <f t="shared" si="15"/>
        <v>1.25</v>
      </c>
      <c r="H41" s="1605">
        <f t="shared" si="15"/>
        <v>1.3</v>
      </c>
      <c r="I41" s="1605">
        <f t="shared" si="15"/>
        <v>1.35</v>
      </c>
      <c r="J41" s="1605">
        <f t="shared" si="15"/>
        <v>1.4</v>
      </c>
      <c r="K41" s="1605">
        <f t="shared" si="15"/>
        <v>1.45</v>
      </c>
    </row>
    <row r="42" spans="1:11" ht="13" x14ac:dyDescent="0.3">
      <c r="A42" s="1605">
        <f t="shared" ref="A42:A50" si="16">A27</f>
        <v>0</v>
      </c>
      <c r="B42" s="1608">
        <f>B7-B27-'Anàlisi bàsica'!$B$9</f>
        <v>0</v>
      </c>
      <c r="C42" s="1608">
        <f>C7-C27-'Anàlisi bàsica'!$B$9</f>
        <v>0</v>
      </c>
      <c r="D42" s="1608">
        <f>D7-D27-'Anàlisi bàsica'!$B$9</f>
        <v>0</v>
      </c>
      <c r="E42" s="1608">
        <f>E7-E27-'Anàlisi bàsica'!$B$9</f>
        <v>0</v>
      </c>
      <c r="F42" s="1608">
        <f>F7-F27-'Anàlisi bàsica'!$B$9</f>
        <v>0</v>
      </c>
      <c r="G42" s="1608">
        <f>G7-G27-'Anàlisi bàsica'!$B$9</f>
        <v>0</v>
      </c>
      <c r="H42" s="1608">
        <f>H7-H27-'Anàlisi bàsica'!$B$9</f>
        <v>0</v>
      </c>
      <c r="I42" s="1608">
        <f>I7-I27-'Anàlisi bàsica'!$B$9</f>
        <v>0</v>
      </c>
      <c r="J42" s="1608">
        <f>J7-J27-'Anàlisi bàsica'!$B$9</f>
        <v>0</v>
      </c>
      <c r="K42" s="1608">
        <f>K7-K27-'Anàlisi bàsica'!$B$9</f>
        <v>0</v>
      </c>
    </row>
    <row r="43" spans="1:11" s="7" customFormat="1" ht="13" x14ac:dyDescent="0.3">
      <c r="A43" s="1605">
        <f t="shared" si="16"/>
        <v>-0.05</v>
      </c>
      <c r="B43" s="1608">
        <f>B8-B28-'Anàlisi bàsica'!$B$9</f>
        <v>0</v>
      </c>
      <c r="C43" s="1608">
        <f>C8-C28-'Anàlisi bàsica'!$B$9</f>
        <v>0</v>
      </c>
      <c r="D43" s="1608">
        <f>D8-D28-'Anàlisi bàsica'!$B$9</f>
        <v>0</v>
      </c>
      <c r="E43" s="1608">
        <f>E8-E28-'Anàlisi bàsica'!$B$9</f>
        <v>0</v>
      </c>
      <c r="F43" s="1608">
        <f>F8-F28-'Anàlisi bàsica'!$B$9</f>
        <v>0</v>
      </c>
      <c r="G43" s="1608">
        <f>G8-G28-'Anàlisi bàsica'!$B$9</f>
        <v>0</v>
      </c>
      <c r="H43" s="1608">
        <f>H8-H28-'Anàlisi bàsica'!$B$9</f>
        <v>0</v>
      </c>
      <c r="I43" s="1608">
        <f>I8-I28-'Anàlisi bàsica'!$B$9</f>
        <v>0</v>
      </c>
      <c r="J43" s="1608">
        <f>J8-J28-'Anàlisi bàsica'!$B$9</f>
        <v>0</v>
      </c>
      <c r="K43" s="1608">
        <f>K8-K28-'Anàlisi bàsica'!$B$9</f>
        <v>0</v>
      </c>
    </row>
    <row r="44" spans="1:11" ht="13" x14ac:dyDescent="0.3">
      <c r="A44" s="1605">
        <f t="shared" si="16"/>
        <v>-0.1</v>
      </c>
      <c r="B44" s="1608">
        <f>B9-B29-'Anàlisi bàsica'!$B$9</f>
        <v>0</v>
      </c>
      <c r="C44" s="1608">
        <f>C9-C29-'Anàlisi bàsica'!$B$9</f>
        <v>0</v>
      </c>
      <c r="D44" s="1608">
        <f>D9-D29-'Anàlisi bàsica'!$B$9</f>
        <v>0</v>
      </c>
      <c r="E44" s="1608">
        <f>E9-E29-'Anàlisi bàsica'!$B$9</f>
        <v>0</v>
      </c>
      <c r="F44" s="1608">
        <f>F9-F29-'Anàlisi bàsica'!$B$9</f>
        <v>0</v>
      </c>
      <c r="G44" s="1608">
        <f>G9-G29-'Anàlisi bàsica'!$B$9</f>
        <v>0</v>
      </c>
      <c r="H44" s="1608">
        <f>H9-H29-'Anàlisi bàsica'!$B$9</f>
        <v>0</v>
      </c>
      <c r="I44" s="1608">
        <f>I9-I29-'Anàlisi bàsica'!$B$9</f>
        <v>0</v>
      </c>
      <c r="J44" s="1608">
        <f>J9-J29-'Anàlisi bàsica'!$B$9</f>
        <v>0</v>
      </c>
      <c r="K44" s="1608">
        <f>K9-K29-'Anàlisi bàsica'!$B$9</f>
        <v>0</v>
      </c>
    </row>
    <row r="45" spans="1:11" s="7" customFormat="1" ht="13" x14ac:dyDescent="0.3">
      <c r="A45" s="1605">
        <f t="shared" si="16"/>
        <v>-0.15000000000000002</v>
      </c>
      <c r="B45" s="1608">
        <f>B10-B30-'Anàlisi bàsica'!$B$9</f>
        <v>0</v>
      </c>
      <c r="C45" s="1608">
        <f>C10-C30-'Anàlisi bàsica'!$B$9</f>
        <v>0</v>
      </c>
      <c r="D45" s="1608">
        <f>D10-D30-'Anàlisi bàsica'!$B$9</f>
        <v>0</v>
      </c>
      <c r="E45" s="1608">
        <f>E10-E30-'Anàlisi bàsica'!$B$9</f>
        <v>0</v>
      </c>
      <c r="F45" s="1608">
        <f>F10-F30-'Anàlisi bàsica'!$B$9</f>
        <v>0</v>
      </c>
      <c r="G45" s="1608">
        <f>G10-G30-'Anàlisi bàsica'!$B$9</f>
        <v>0</v>
      </c>
      <c r="H45" s="1608">
        <f>H10-H30-'Anàlisi bàsica'!$B$9</f>
        <v>0</v>
      </c>
      <c r="I45" s="1608">
        <f>I10-I30-'Anàlisi bàsica'!$B$9</f>
        <v>0</v>
      </c>
      <c r="J45" s="1608">
        <f>J10-J30-'Anàlisi bàsica'!$B$9</f>
        <v>0</v>
      </c>
      <c r="K45" s="1608">
        <f>K10-K30-'Anàlisi bàsica'!$B$9</f>
        <v>0</v>
      </c>
    </row>
    <row r="46" spans="1:11" ht="13" x14ac:dyDescent="0.3">
      <c r="A46" s="1605">
        <f t="shared" si="16"/>
        <v>-0.2</v>
      </c>
      <c r="B46" s="1608">
        <f>B11-B31-'Anàlisi bàsica'!$B$9</f>
        <v>0</v>
      </c>
      <c r="C46" s="1608">
        <f>C11-C31-'Anàlisi bàsica'!$B$9</f>
        <v>0</v>
      </c>
      <c r="D46" s="1608">
        <f>D11-D31-'Anàlisi bàsica'!$B$9</f>
        <v>0</v>
      </c>
      <c r="E46" s="1608">
        <f>E11-E31-'Anàlisi bàsica'!$B$9</f>
        <v>0</v>
      </c>
      <c r="F46" s="1608">
        <f>F11-F31-'Anàlisi bàsica'!$B$9</f>
        <v>0</v>
      </c>
      <c r="G46" s="1608">
        <f>G11-G31-'Anàlisi bàsica'!$B$9</f>
        <v>0</v>
      </c>
      <c r="H46" s="1608">
        <f>H11-H31-'Anàlisi bàsica'!$B$9</f>
        <v>0</v>
      </c>
      <c r="I46" s="1608">
        <f>I11-I31-'Anàlisi bàsica'!$B$9</f>
        <v>0</v>
      </c>
      <c r="J46" s="1608">
        <f>J11-J31-'Anàlisi bàsica'!$B$9</f>
        <v>0</v>
      </c>
      <c r="K46" s="1608">
        <f>K11-K31-'Anàlisi bàsica'!$B$9</f>
        <v>0</v>
      </c>
    </row>
    <row r="47" spans="1:11" s="7" customFormat="1" ht="13" x14ac:dyDescent="0.3">
      <c r="A47" s="1605">
        <f t="shared" si="16"/>
        <v>-0.25</v>
      </c>
      <c r="B47" s="1608">
        <f>B12-B32-'Anàlisi bàsica'!$B$9</f>
        <v>0</v>
      </c>
      <c r="C47" s="1608">
        <f>C12-C32-'Anàlisi bàsica'!$B$9</f>
        <v>0</v>
      </c>
      <c r="D47" s="1608">
        <f>D12-D32-'Anàlisi bàsica'!$B$9</f>
        <v>0</v>
      </c>
      <c r="E47" s="1608">
        <f>E12-E32-'Anàlisi bàsica'!$B$9</f>
        <v>0</v>
      </c>
      <c r="F47" s="1608">
        <f>F12-F32-'Anàlisi bàsica'!$B$9</f>
        <v>0</v>
      </c>
      <c r="G47" s="1608">
        <f>G12-G32-'Anàlisi bàsica'!$B$9</f>
        <v>0</v>
      </c>
      <c r="H47" s="1608">
        <f>H12-H32-'Anàlisi bàsica'!$B$9</f>
        <v>0</v>
      </c>
      <c r="I47" s="1608">
        <f>I12-I32-'Anàlisi bàsica'!$B$9</f>
        <v>0</v>
      </c>
      <c r="J47" s="1608">
        <f>J12-J32-'Anàlisi bàsica'!$B$9</f>
        <v>0</v>
      </c>
      <c r="K47" s="1608">
        <f>K12-K32-'Anàlisi bàsica'!$B$9</f>
        <v>0</v>
      </c>
    </row>
    <row r="48" spans="1:11" ht="13" x14ac:dyDescent="0.3">
      <c r="A48" s="1605">
        <f t="shared" si="16"/>
        <v>-0.3</v>
      </c>
      <c r="B48" s="1608">
        <f>B13-B33-'Anàlisi bàsica'!$B$9</f>
        <v>0</v>
      </c>
      <c r="C48" s="1608">
        <f>C13-C33-'Anàlisi bàsica'!$B$9</f>
        <v>0</v>
      </c>
      <c r="D48" s="1608">
        <f>D13-D33-'Anàlisi bàsica'!$B$9</f>
        <v>0</v>
      </c>
      <c r="E48" s="1608">
        <f>E13-E33-'Anàlisi bàsica'!$B$9</f>
        <v>0</v>
      </c>
      <c r="F48" s="1608">
        <f>F13-F33-'Anàlisi bàsica'!$B$9</f>
        <v>0</v>
      </c>
      <c r="G48" s="1608">
        <f>G13-G33-'Anàlisi bàsica'!$B$9</f>
        <v>0</v>
      </c>
      <c r="H48" s="1608">
        <f>H13-H33-'Anàlisi bàsica'!$B$9</f>
        <v>0</v>
      </c>
      <c r="I48" s="1608">
        <f>I13-I33-'Anàlisi bàsica'!$B$9</f>
        <v>0</v>
      </c>
      <c r="J48" s="1608">
        <f>J13-J33-'Anàlisi bàsica'!$B$9</f>
        <v>0</v>
      </c>
      <c r="K48" s="1608">
        <f>K13-K33-'Anàlisi bàsica'!$B$9</f>
        <v>0</v>
      </c>
    </row>
    <row r="49" spans="1:11" ht="13" x14ac:dyDescent="0.3">
      <c r="A49" s="1605">
        <f t="shared" si="16"/>
        <v>-0.35</v>
      </c>
      <c r="B49" s="1608">
        <f>B14-B34-'Anàlisi bàsica'!$B$9</f>
        <v>0</v>
      </c>
      <c r="C49" s="1608">
        <f>C14-C34-'Anàlisi bàsica'!$B$9</f>
        <v>0</v>
      </c>
      <c r="D49" s="1608">
        <f>D14-D34-'Anàlisi bàsica'!$B$9</f>
        <v>0</v>
      </c>
      <c r="E49" s="1608">
        <f>E14-E34-'Anàlisi bàsica'!$B$9</f>
        <v>0</v>
      </c>
      <c r="F49" s="1608">
        <f>F14-F34-'Anàlisi bàsica'!$B$9</f>
        <v>0</v>
      </c>
      <c r="G49" s="1608">
        <f>G14-G34-'Anàlisi bàsica'!$B$9</f>
        <v>0</v>
      </c>
      <c r="H49" s="1608">
        <f>H14-H34-'Anàlisi bàsica'!$B$9</f>
        <v>0</v>
      </c>
      <c r="I49" s="1608">
        <f>I14-I34-'Anàlisi bàsica'!$B$9</f>
        <v>0</v>
      </c>
      <c r="J49" s="1608">
        <f>J14-J34-'Anàlisi bàsica'!$B$9</f>
        <v>0</v>
      </c>
      <c r="K49" s="1608">
        <f>K14-K34-'Anàlisi bàsica'!$B$9</f>
        <v>0</v>
      </c>
    </row>
    <row r="50" spans="1:11" ht="13" x14ac:dyDescent="0.3">
      <c r="A50" s="1605">
        <f t="shared" si="16"/>
        <v>-0.39999999999999997</v>
      </c>
      <c r="B50" s="1608">
        <f>B15-B35-'Anàlisi bàsica'!$B$9</f>
        <v>0</v>
      </c>
      <c r="C50" s="1608">
        <f>C15-C35-'Anàlisi bàsica'!$B$9</f>
        <v>0</v>
      </c>
      <c r="D50" s="1608">
        <f>D15-D35-'Anàlisi bàsica'!$B$9</f>
        <v>0</v>
      </c>
      <c r="E50" s="1608">
        <f>E15-E35-'Anàlisi bàsica'!$B$9</f>
        <v>0</v>
      </c>
      <c r="F50" s="1608">
        <f>F15-F35-'Anàlisi bàsica'!$B$9</f>
        <v>0</v>
      </c>
      <c r="G50" s="1608">
        <f>G15-G35-'Anàlisi bàsica'!$B$9</f>
        <v>0</v>
      </c>
      <c r="H50" s="1608">
        <f>H15-H35-'Anàlisi bàsica'!$B$9</f>
        <v>0</v>
      </c>
      <c r="I50" s="1608">
        <f>I15-I35-'Anàlisi bàsica'!$B$9</f>
        <v>0</v>
      </c>
      <c r="J50" s="1608">
        <f>J15-J35-'Anàlisi bàsica'!$B$9</f>
        <v>0</v>
      </c>
      <c r="K50" s="1608">
        <f>K15-K35-'Anàlisi bàsica'!$B$9</f>
        <v>0</v>
      </c>
    </row>
    <row r="53" spans="1:11" ht="13" x14ac:dyDescent="0.3">
      <c r="B53" s="1993" t="s">
        <v>634</v>
      </c>
      <c r="C53" s="1993"/>
      <c r="D53" s="1993"/>
      <c r="E53" s="1993"/>
      <c r="F53" s="1993"/>
    </row>
    <row r="54" spans="1:11" ht="13" x14ac:dyDescent="0.3">
      <c r="A54" s="1990" t="s">
        <v>624</v>
      </c>
      <c r="B54" s="1992" t="s">
        <v>630</v>
      </c>
      <c r="C54" s="1992"/>
      <c r="D54" s="1992"/>
      <c r="E54" s="1992"/>
      <c r="F54" s="1992"/>
      <c r="G54" s="1992"/>
      <c r="H54" s="1992"/>
      <c r="I54" s="1992"/>
      <c r="J54" s="1992"/>
      <c r="K54" s="1992"/>
    </row>
    <row r="55" spans="1:11" ht="13" x14ac:dyDescent="0.3">
      <c r="A55" s="1990"/>
      <c r="B55" s="1605">
        <f t="shared" ref="B55:K55" si="17">B5</f>
        <v>0</v>
      </c>
      <c r="C55" s="1605">
        <f t="shared" si="17"/>
        <v>0.05</v>
      </c>
      <c r="D55" s="1605">
        <f t="shared" si="17"/>
        <v>0.1</v>
      </c>
      <c r="E55" s="1605">
        <f t="shared" si="17"/>
        <v>0.15000000000000002</v>
      </c>
      <c r="F55" s="1605">
        <f t="shared" si="17"/>
        <v>0.2</v>
      </c>
      <c r="G55" s="1605">
        <f t="shared" si="17"/>
        <v>0.25</v>
      </c>
      <c r="H55" s="1605">
        <f t="shared" si="17"/>
        <v>0.3</v>
      </c>
      <c r="I55" s="1605">
        <f t="shared" si="17"/>
        <v>0.35</v>
      </c>
      <c r="J55" s="1605">
        <f t="shared" si="17"/>
        <v>0.39999999999999997</v>
      </c>
      <c r="K55" s="1605">
        <f t="shared" si="17"/>
        <v>0.44999999999999996</v>
      </c>
    </row>
    <row r="56" spans="1:11" ht="13" x14ac:dyDescent="0.3">
      <c r="A56" s="1990"/>
      <c r="B56" s="1605">
        <f t="shared" ref="B56:K56" si="18">B6</f>
        <v>1</v>
      </c>
      <c r="C56" s="1605">
        <f t="shared" si="18"/>
        <v>1.05</v>
      </c>
      <c r="D56" s="1605">
        <f t="shared" si="18"/>
        <v>1.1000000000000001</v>
      </c>
      <c r="E56" s="1605">
        <f t="shared" si="18"/>
        <v>1.1499999999999999</v>
      </c>
      <c r="F56" s="1605">
        <f t="shared" si="18"/>
        <v>1.2</v>
      </c>
      <c r="G56" s="1605">
        <f t="shared" si="18"/>
        <v>1.25</v>
      </c>
      <c r="H56" s="1605">
        <f t="shared" si="18"/>
        <v>1.3</v>
      </c>
      <c r="I56" s="1605">
        <f t="shared" si="18"/>
        <v>1.35</v>
      </c>
      <c r="J56" s="1605">
        <f t="shared" si="18"/>
        <v>1.4</v>
      </c>
      <c r="K56" s="1605">
        <f t="shared" si="18"/>
        <v>1.45</v>
      </c>
    </row>
    <row r="57" spans="1:11" ht="13" x14ac:dyDescent="0.3">
      <c r="A57" s="1605">
        <f>A7</f>
        <v>0</v>
      </c>
      <c r="B57" s="1602">
        <f>IF(B7=0,0,B42/B7)</f>
        <v>0</v>
      </c>
      <c r="C57" s="1602">
        <f t="shared" ref="C57:K57" si="19">IF(C7=0,0,C42/C7)</f>
        <v>0</v>
      </c>
      <c r="D57" s="1602">
        <f t="shared" si="19"/>
        <v>0</v>
      </c>
      <c r="E57" s="1602">
        <f t="shared" si="19"/>
        <v>0</v>
      </c>
      <c r="F57" s="1602">
        <f t="shared" si="19"/>
        <v>0</v>
      </c>
      <c r="G57" s="1602">
        <f t="shared" si="19"/>
        <v>0</v>
      </c>
      <c r="H57" s="1602">
        <f t="shared" si="19"/>
        <v>0</v>
      </c>
      <c r="I57" s="1602">
        <f t="shared" si="19"/>
        <v>0</v>
      </c>
      <c r="J57" s="1602">
        <f t="shared" si="19"/>
        <v>0</v>
      </c>
      <c r="K57" s="1602">
        <f t="shared" si="19"/>
        <v>0</v>
      </c>
    </row>
    <row r="58" spans="1:11" ht="13" x14ac:dyDescent="0.3">
      <c r="A58" s="1605">
        <f>A8</f>
        <v>-0.05</v>
      </c>
      <c r="B58" s="1602">
        <f t="shared" ref="B58:K65" si="20">IF(B8=0,0,B43/B8)</f>
        <v>0</v>
      </c>
      <c r="C58" s="1602">
        <f t="shared" si="20"/>
        <v>0</v>
      </c>
      <c r="D58" s="1602">
        <f t="shared" si="20"/>
        <v>0</v>
      </c>
      <c r="E58" s="1602">
        <f t="shared" si="20"/>
        <v>0</v>
      </c>
      <c r="F58" s="1602">
        <f t="shared" si="20"/>
        <v>0</v>
      </c>
      <c r="G58" s="1602">
        <f t="shared" si="20"/>
        <v>0</v>
      </c>
      <c r="H58" s="1602">
        <f t="shared" si="20"/>
        <v>0</v>
      </c>
      <c r="I58" s="1602">
        <f t="shared" si="20"/>
        <v>0</v>
      </c>
      <c r="J58" s="1602">
        <f t="shared" si="20"/>
        <v>0</v>
      </c>
      <c r="K58" s="1602">
        <f t="shared" si="20"/>
        <v>0</v>
      </c>
    </row>
    <row r="59" spans="1:11" ht="13" x14ac:dyDescent="0.3">
      <c r="A59" s="1605">
        <f>A9</f>
        <v>-0.1</v>
      </c>
      <c r="B59" s="1602">
        <f t="shared" si="20"/>
        <v>0</v>
      </c>
      <c r="C59" s="1602">
        <f t="shared" si="20"/>
        <v>0</v>
      </c>
      <c r="D59" s="1602">
        <f t="shared" si="20"/>
        <v>0</v>
      </c>
      <c r="E59" s="1602">
        <f t="shared" si="20"/>
        <v>0</v>
      </c>
      <c r="F59" s="1602">
        <f t="shared" si="20"/>
        <v>0</v>
      </c>
      <c r="G59" s="1602">
        <f t="shared" si="20"/>
        <v>0</v>
      </c>
      <c r="H59" s="1602">
        <f t="shared" si="20"/>
        <v>0</v>
      </c>
      <c r="I59" s="1602">
        <f t="shared" si="20"/>
        <v>0</v>
      </c>
      <c r="J59" s="1602">
        <f t="shared" si="20"/>
        <v>0</v>
      </c>
      <c r="K59" s="1602">
        <f t="shared" si="20"/>
        <v>0</v>
      </c>
    </row>
    <row r="60" spans="1:11" ht="13" x14ac:dyDescent="0.3">
      <c r="A60" s="1605">
        <f t="shared" ref="A60:A65" si="21">A10</f>
        <v>-0.15000000000000002</v>
      </c>
      <c r="B60" s="1602">
        <f t="shared" si="20"/>
        <v>0</v>
      </c>
      <c r="C60" s="1602">
        <f t="shared" si="20"/>
        <v>0</v>
      </c>
      <c r="D60" s="1602">
        <f t="shared" si="20"/>
        <v>0</v>
      </c>
      <c r="E60" s="1602">
        <f t="shared" si="20"/>
        <v>0</v>
      </c>
      <c r="F60" s="1602">
        <f t="shared" si="20"/>
        <v>0</v>
      </c>
      <c r="G60" s="1602">
        <f t="shared" si="20"/>
        <v>0</v>
      </c>
      <c r="H60" s="1602">
        <f t="shared" si="20"/>
        <v>0</v>
      </c>
      <c r="I60" s="1602">
        <f t="shared" si="20"/>
        <v>0</v>
      </c>
      <c r="J60" s="1602">
        <f t="shared" si="20"/>
        <v>0</v>
      </c>
      <c r="K60" s="1602">
        <f t="shared" si="20"/>
        <v>0</v>
      </c>
    </row>
    <row r="61" spans="1:11" ht="13" x14ac:dyDescent="0.3">
      <c r="A61" s="1605">
        <f t="shared" si="21"/>
        <v>-0.2</v>
      </c>
      <c r="B61" s="1602">
        <f t="shared" si="20"/>
        <v>0</v>
      </c>
      <c r="C61" s="1602">
        <f t="shared" si="20"/>
        <v>0</v>
      </c>
      <c r="D61" s="1602">
        <f t="shared" si="20"/>
        <v>0</v>
      </c>
      <c r="E61" s="1602">
        <f t="shared" si="20"/>
        <v>0</v>
      </c>
      <c r="F61" s="1602">
        <f t="shared" si="20"/>
        <v>0</v>
      </c>
      <c r="G61" s="1602">
        <f t="shared" si="20"/>
        <v>0</v>
      </c>
      <c r="H61" s="1602">
        <f t="shared" si="20"/>
        <v>0</v>
      </c>
      <c r="I61" s="1602">
        <f t="shared" si="20"/>
        <v>0</v>
      </c>
      <c r="J61" s="1602">
        <f t="shared" si="20"/>
        <v>0</v>
      </c>
      <c r="K61" s="1602">
        <f t="shared" si="20"/>
        <v>0</v>
      </c>
    </row>
    <row r="62" spans="1:11" ht="13" x14ac:dyDescent="0.3">
      <c r="A62" s="1605">
        <f t="shared" si="21"/>
        <v>-0.25</v>
      </c>
      <c r="B62" s="1602">
        <f t="shared" si="20"/>
        <v>0</v>
      </c>
      <c r="C62" s="1602">
        <f t="shared" si="20"/>
        <v>0</v>
      </c>
      <c r="D62" s="1602">
        <f t="shared" si="20"/>
        <v>0</v>
      </c>
      <c r="E62" s="1602">
        <f t="shared" si="20"/>
        <v>0</v>
      </c>
      <c r="F62" s="1602">
        <f t="shared" si="20"/>
        <v>0</v>
      </c>
      <c r="G62" s="1602">
        <f t="shared" si="20"/>
        <v>0</v>
      </c>
      <c r="H62" s="1602">
        <f t="shared" si="20"/>
        <v>0</v>
      </c>
      <c r="I62" s="1602">
        <f t="shared" si="20"/>
        <v>0</v>
      </c>
      <c r="J62" s="1602">
        <f t="shared" si="20"/>
        <v>0</v>
      </c>
      <c r="K62" s="1602">
        <f t="shared" si="20"/>
        <v>0</v>
      </c>
    </row>
    <row r="63" spans="1:11" ht="13" x14ac:dyDescent="0.3">
      <c r="A63" s="1605">
        <f t="shared" si="21"/>
        <v>-0.3</v>
      </c>
      <c r="B63" s="1602">
        <f t="shared" si="20"/>
        <v>0</v>
      </c>
      <c r="C63" s="1602">
        <f t="shared" si="20"/>
        <v>0</v>
      </c>
      <c r="D63" s="1602">
        <f t="shared" si="20"/>
        <v>0</v>
      </c>
      <c r="E63" s="1602">
        <f t="shared" si="20"/>
        <v>0</v>
      </c>
      <c r="F63" s="1602">
        <f t="shared" si="20"/>
        <v>0</v>
      </c>
      <c r="G63" s="1602">
        <f t="shared" si="20"/>
        <v>0</v>
      </c>
      <c r="H63" s="1602">
        <f t="shared" si="20"/>
        <v>0</v>
      </c>
      <c r="I63" s="1602">
        <f t="shared" si="20"/>
        <v>0</v>
      </c>
      <c r="J63" s="1602">
        <f t="shared" si="20"/>
        <v>0</v>
      </c>
      <c r="K63" s="1602">
        <f t="shared" si="20"/>
        <v>0</v>
      </c>
    </row>
    <row r="64" spans="1:11" ht="13" x14ac:dyDescent="0.3">
      <c r="A64" s="1605">
        <f t="shared" si="21"/>
        <v>-0.35</v>
      </c>
      <c r="B64" s="1602">
        <f t="shared" si="20"/>
        <v>0</v>
      </c>
      <c r="C64" s="1602">
        <f t="shared" si="20"/>
        <v>0</v>
      </c>
      <c r="D64" s="1602">
        <f t="shared" si="20"/>
        <v>0</v>
      </c>
      <c r="E64" s="1602">
        <f t="shared" si="20"/>
        <v>0</v>
      </c>
      <c r="F64" s="1602">
        <f t="shared" si="20"/>
        <v>0</v>
      </c>
      <c r="G64" s="1602">
        <f t="shared" si="20"/>
        <v>0</v>
      </c>
      <c r="H64" s="1602">
        <f t="shared" si="20"/>
        <v>0</v>
      </c>
      <c r="I64" s="1602">
        <f t="shared" si="20"/>
        <v>0</v>
      </c>
      <c r="J64" s="1602">
        <f t="shared" si="20"/>
        <v>0</v>
      </c>
      <c r="K64" s="1602">
        <f t="shared" si="20"/>
        <v>0</v>
      </c>
    </row>
    <row r="65" spans="1:11" ht="13" x14ac:dyDescent="0.3">
      <c r="A65" s="1605">
        <f t="shared" si="21"/>
        <v>-0.39999999999999997</v>
      </c>
      <c r="B65" s="1602">
        <f t="shared" si="20"/>
        <v>0</v>
      </c>
      <c r="C65" s="1602">
        <f t="shared" si="20"/>
        <v>0</v>
      </c>
      <c r="D65" s="1602">
        <f t="shared" si="20"/>
        <v>0</v>
      </c>
      <c r="E65" s="1602">
        <f t="shared" si="20"/>
        <v>0</v>
      </c>
      <c r="F65" s="1602">
        <f t="shared" si="20"/>
        <v>0</v>
      </c>
      <c r="G65" s="1602">
        <f t="shared" si="20"/>
        <v>0</v>
      </c>
      <c r="H65" s="1602">
        <f t="shared" si="20"/>
        <v>0</v>
      </c>
      <c r="I65" s="1602">
        <f t="shared" si="20"/>
        <v>0</v>
      </c>
      <c r="J65" s="1602">
        <f t="shared" si="20"/>
        <v>0</v>
      </c>
      <c r="K65" s="1602">
        <f t="shared" si="20"/>
        <v>0</v>
      </c>
    </row>
    <row r="68" spans="1:11" ht="13" x14ac:dyDescent="0.3">
      <c r="B68" s="1993" t="s">
        <v>635</v>
      </c>
      <c r="C68" s="1993"/>
      <c r="D68" s="1993"/>
      <c r="E68" s="1993"/>
      <c r="F68" s="1993"/>
    </row>
    <row r="69" spans="1:11" ht="13" x14ac:dyDescent="0.3">
      <c r="A69" s="1990" t="s">
        <v>624</v>
      </c>
      <c r="B69" s="1992" t="s">
        <v>630</v>
      </c>
      <c r="C69" s="1992"/>
      <c r="D69" s="1992"/>
      <c r="E69" s="1992"/>
      <c r="F69" s="1992"/>
      <c r="G69" s="1992"/>
      <c r="H69" s="1992"/>
      <c r="I69" s="1992"/>
      <c r="J69" s="1992"/>
      <c r="K69" s="1992"/>
    </row>
    <row r="70" spans="1:11" ht="13" x14ac:dyDescent="0.3">
      <c r="A70" s="1990"/>
      <c r="B70" s="1605">
        <f t="shared" ref="B70:K70" si="22">B5</f>
        <v>0</v>
      </c>
      <c r="C70" s="1605">
        <f t="shared" si="22"/>
        <v>0.05</v>
      </c>
      <c r="D70" s="1605">
        <f t="shared" si="22"/>
        <v>0.1</v>
      </c>
      <c r="E70" s="1605">
        <f t="shared" si="22"/>
        <v>0.15000000000000002</v>
      </c>
      <c r="F70" s="1605">
        <f t="shared" si="22"/>
        <v>0.2</v>
      </c>
      <c r="G70" s="1605">
        <f t="shared" si="22"/>
        <v>0.25</v>
      </c>
      <c r="H70" s="1605">
        <f t="shared" si="22"/>
        <v>0.3</v>
      </c>
      <c r="I70" s="1605">
        <f t="shared" si="22"/>
        <v>0.35</v>
      </c>
      <c r="J70" s="1605">
        <f t="shared" si="22"/>
        <v>0.39999999999999997</v>
      </c>
      <c r="K70" s="1605">
        <f t="shared" si="22"/>
        <v>0.44999999999999996</v>
      </c>
    </row>
    <row r="71" spans="1:11" ht="13" x14ac:dyDescent="0.3">
      <c r="A71" s="1990"/>
      <c r="B71" s="1605">
        <f t="shared" ref="B71:K71" si="23">B6</f>
        <v>1</v>
      </c>
      <c r="C71" s="1605">
        <f t="shared" si="23"/>
        <v>1.05</v>
      </c>
      <c r="D71" s="1605">
        <f t="shared" si="23"/>
        <v>1.1000000000000001</v>
      </c>
      <c r="E71" s="1605">
        <f t="shared" si="23"/>
        <v>1.1499999999999999</v>
      </c>
      <c r="F71" s="1605">
        <f t="shared" si="23"/>
        <v>1.2</v>
      </c>
      <c r="G71" s="1605">
        <f t="shared" si="23"/>
        <v>1.25</v>
      </c>
      <c r="H71" s="1605">
        <f t="shared" si="23"/>
        <v>1.3</v>
      </c>
      <c r="I71" s="1605">
        <f t="shared" si="23"/>
        <v>1.35</v>
      </c>
      <c r="J71" s="1605">
        <f t="shared" si="23"/>
        <v>1.4</v>
      </c>
      <c r="K71" s="1605">
        <f t="shared" si="23"/>
        <v>1.45</v>
      </c>
    </row>
    <row r="72" spans="1:11" ht="13" x14ac:dyDescent="0.3">
      <c r="A72" s="1605">
        <f>A7</f>
        <v>0</v>
      </c>
      <c r="B72" s="1602">
        <f>IF($B$1=1,IF('Anàlisi bàsica'!$B$9+B27=0,0,B42/('Anàlisi bàsica'!$B$9+B27)),0)+IF($B$1=2,IF('Anàlisi bàsica'!$C$9+B27=0,0,B42/('Anàlisi bàsica'!$C$9+B27)),0)+IF($B$1=3,IF('Anàlisi bàsica'!$D$9+B27=0,0,B42/('Anàlisi bàsica'!$D$9+B27)),0)</f>
        <v>0</v>
      </c>
      <c r="C72" s="1602">
        <f>IF($B$1=1,IF('Anàlisi bàsica'!$B$9+C27=0,0,C42/('Anàlisi bàsica'!$B$9+C27)),0)+IF($B$1=2,IF('Anàlisi bàsica'!$C$9+C27=0,0,C42/('Anàlisi bàsica'!$C$9+C27)),0)+IF($B$1=3,IF('Anàlisi bàsica'!$D$9+C27=0,0,C42/('Anàlisi bàsica'!$D$9+C27)),0)</f>
        <v>0</v>
      </c>
      <c r="D72" s="1602">
        <f>IF($B$1=1,IF('Anàlisi bàsica'!$B$9+D27=0,0,D42/('Anàlisi bàsica'!$B$9+D27)),0)+IF($B$1=2,IF('Anàlisi bàsica'!$C$9+D27=0,0,D42/('Anàlisi bàsica'!$C$9+D27)),0)+IF($B$1=3,IF('Anàlisi bàsica'!$D$9+D27=0,0,D42/('Anàlisi bàsica'!$D$9+D27)),0)</f>
        <v>0</v>
      </c>
      <c r="E72" s="1602">
        <f>IF($B$1=1,IF('Anàlisi bàsica'!$B$9+E27=0,0,E42/('Anàlisi bàsica'!$B$9+E27)),0)+IF($B$1=2,IF('Anàlisi bàsica'!$C$9+E27=0,0,E42/('Anàlisi bàsica'!$C$9+E27)),0)+IF($B$1=3,IF('Anàlisi bàsica'!$D$9+E27=0,0,E42/('Anàlisi bàsica'!$D$9+E27)),0)</f>
        <v>0</v>
      </c>
      <c r="F72" s="1602">
        <f>IF($B$1=1,IF('Anàlisi bàsica'!$B$9+F27=0,0,F42/('Anàlisi bàsica'!$B$9+F27)),0)+IF($B$1=2,IF('Anàlisi bàsica'!$C$9+F27=0,0,F42/('Anàlisi bàsica'!$C$9+F27)),0)+IF($B$1=3,IF('Anàlisi bàsica'!$D$9+F27=0,0,F42/('Anàlisi bàsica'!$D$9+F27)),0)</f>
        <v>0</v>
      </c>
      <c r="G72" s="1602">
        <f>IF($B$1=1,IF('Anàlisi bàsica'!$B$9+G27=0,0,G42/('Anàlisi bàsica'!$B$9+G27)),0)+IF($B$1=2,IF('Anàlisi bàsica'!$C$9+G27=0,0,G42/('Anàlisi bàsica'!$C$9+G27)),0)+IF($B$1=3,IF('Anàlisi bàsica'!$D$9+G27=0,0,G42/('Anàlisi bàsica'!$D$9+G27)),0)</f>
        <v>0</v>
      </c>
      <c r="H72" s="1602">
        <f>IF($B$1=1,IF('Anàlisi bàsica'!$B$9+H27=0,0,H42/('Anàlisi bàsica'!$B$9+H27)),0)+IF($B$1=2,IF('Anàlisi bàsica'!$C$9+H27=0,0,H42/('Anàlisi bàsica'!$C$9+H27)),0)+IF($B$1=3,IF('Anàlisi bàsica'!$D$9+H27=0,0,H42/('Anàlisi bàsica'!$D$9+H27)),0)</f>
        <v>0</v>
      </c>
      <c r="I72" s="1602">
        <f>IF($B$1=1,IF('Anàlisi bàsica'!$B$9+I27=0,0,I42/('Anàlisi bàsica'!$B$9+I27)),0)+IF($B$1=2,IF('Anàlisi bàsica'!$C$9+I27=0,0,I42/('Anàlisi bàsica'!$C$9+I27)),0)+IF($B$1=3,IF('Anàlisi bàsica'!$D$9+I27=0,0,I42/('Anàlisi bàsica'!$D$9+I27)),0)</f>
        <v>0</v>
      </c>
      <c r="J72" s="1602">
        <f>IF($B$1=1,IF('Anàlisi bàsica'!$B$9+J27=0,0,J42/('Anàlisi bàsica'!$B$9+J27)),0)+IF($B$1=2,IF('Anàlisi bàsica'!$C$9+J27=0,0,J42/('Anàlisi bàsica'!$C$9+J27)),0)+IF($B$1=3,IF('Anàlisi bàsica'!$D$9+J27=0,0,J42/('Anàlisi bàsica'!$D$9+J27)),0)</f>
        <v>0</v>
      </c>
      <c r="K72" s="1602">
        <f>IF($B$1=1,IF('Anàlisi bàsica'!$B$9+K27=0,0,K42/('Anàlisi bàsica'!$B$9+K27)),0)+IF($B$1=2,IF('Anàlisi bàsica'!$C$9+K27=0,0,K42/('Anàlisi bàsica'!$C$9+K27)),0)+IF($B$1=3,IF('Anàlisi bàsica'!$D$9+K27=0,0,K42/('Anàlisi bàsica'!$D$9+K27)),0)</f>
        <v>0</v>
      </c>
    </row>
    <row r="73" spans="1:11" ht="13" x14ac:dyDescent="0.3">
      <c r="A73" s="1605">
        <f>A8</f>
        <v>-0.05</v>
      </c>
      <c r="B73" s="1602">
        <f>IF($B$1=1,IF('Anàlisi bàsica'!$B$9+B28=0,0,B43/('Anàlisi bàsica'!$B$9+B28)),0)+IF($B$1=2,IF('Anàlisi bàsica'!$C$9+B28=0,0,B43/('Anàlisi bàsica'!$C$9+B28)),0)+IF($B$1=3,IF('Anàlisi bàsica'!$D$9+B28=0,0,B43/('Anàlisi bàsica'!$D$9+B28)),0)</f>
        <v>0</v>
      </c>
      <c r="C73" s="1602">
        <f>IF($B$1=1,IF('Anàlisi bàsica'!$B$9+C28=0,0,C43/('Anàlisi bàsica'!$B$9+C28)),0)+IF($B$1=2,IF('Anàlisi bàsica'!$C$9+C28=0,0,C43/('Anàlisi bàsica'!$C$9+C28)),0)+IF($B$1=3,IF('Anàlisi bàsica'!$D$9+C28=0,0,C43/('Anàlisi bàsica'!$D$9+C28)),0)</f>
        <v>0</v>
      </c>
      <c r="D73" s="1602">
        <f>IF($B$1=1,IF('Anàlisi bàsica'!$B$9+D28=0,0,D43/('Anàlisi bàsica'!$B$9+D28)),0)+IF($B$1=2,IF('Anàlisi bàsica'!$C$9+D28=0,0,D43/('Anàlisi bàsica'!$C$9+D28)),0)+IF($B$1=3,IF('Anàlisi bàsica'!$D$9+D28=0,0,D43/('Anàlisi bàsica'!$D$9+D28)),0)</f>
        <v>0</v>
      </c>
      <c r="E73" s="1602">
        <f>IF($B$1=1,IF('Anàlisi bàsica'!$B$9+E28=0,0,E43/('Anàlisi bàsica'!$B$9+E28)),0)+IF($B$1=2,IF('Anàlisi bàsica'!$C$9+E28=0,0,E43/('Anàlisi bàsica'!$C$9+E28)),0)+IF($B$1=3,IF('Anàlisi bàsica'!$D$9+E28=0,0,E43/('Anàlisi bàsica'!$D$9+E28)),0)</f>
        <v>0</v>
      </c>
      <c r="F73" s="1602">
        <f>IF($B$1=1,IF('Anàlisi bàsica'!$B$9+F28=0,0,F43/('Anàlisi bàsica'!$B$9+F28)),0)+IF($B$1=2,IF('Anàlisi bàsica'!$C$9+F28=0,0,F43/('Anàlisi bàsica'!$C$9+F28)),0)+IF($B$1=3,IF('Anàlisi bàsica'!$D$9+F28=0,0,F43/('Anàlisi bàsica'!$D$9+F28)),0)</f>
        <v>0</v>
      </c>
      <c r="G73" s="1602">
        <f>IF($B$1=1,IF('Anàlisi bàsica'!$B$9+G28=0,0,G43/('Anàlisi bàsica'!$B$9+G28)),0)+IF($B$1=2,IF('Anàlisi bàsica'!$C$9+G28=0,0,G43/('Anàlisi bàsica'!$C$9+G28)),0)+IF($B$1=3,IF('Anàlisi bàsica'!$D$9+G28=0,0,G43/('Anàlisi bàsica'!$D$9+G28)),0)</f>
        <v>0</v>
      </c>
      <c r="H73" s="1602">
        <f>IF($B$1=1,IF('Anàlisi bàsica'!$B$9+H28=0,0,H43/('Anàlisi bàsica'!$B$9+H28)),0)+IF($B$1=2,IF('Anàlisi bàsica'!$C$9+H28=0,0,H43/('Anàlisi bàsica'!$C$9+H28)),0)+IF($B$1=3,IF('Anàlisi bàsica'!$D$9+H28=0,0,H43/('Anàlisi bàsica'!$D$9+H28)),0)</f>
        <v>0</v>
      </c>
      <c r="I73" s="1602">
        <f>IF($B$1=1,IF('Anàlisi bàsica'!$B$9+I28=0,0,I43/('Anàlisi bàsica'!$B$9+I28)),0)+IF($B$1=2,IF('Anàlisi bàsica'!$C$9+I28=0,0,I43/('Anàlisi bàsica'!$C$9+I28)),0)+IF($B$1=3,IF('Anàlisi bàsica'!$D$9+I28=0,0,I43/('Anàlisi bàsica'!$D$9+I28)),0)</f>
        <v>0</v>
      </c>
      <c r="J73" s="1602">
        <f>IF($B$1=1,IF('Anàlisi bàsica'!$B$9+J28=0,0,J43/('Anàlisi bàsica'!$B$9+J28)),0)+IF($B$1=2,IF('Anàlisi bàsica'!$C$9+J28=0,0,J43/('Anàlisi bàsica'!$C$9+J28)),0)+IF($B$1=3,IF('Anàlisi bàsica'!$D$9+J28=0,0,J43/('Anàlisi bàsica'!$D$9+J28)),0)</f>
        <v>0</v>
      </c>
      <c r="K73" s="1602">
        <f>IF($B$1=1,IF('Anàlisi bàsica'!$B$9+K28=0,0,K43/('Anàlisi bàsica'!$B$9+K28)),0)+IF($B$1=2,IF('Anàlisi bàsica'!$C$9+K28=0,0,K43/('Anàlisi bàsica'!$C$9+K28)),0)+IF($B$1=3,IF('Anàlisi bàsica'!$D$9+K28=0,0,K43/('Anàlisi bàsica'!$D$9+K28)),0)</f>
        <v>0</v>
      </c>
    </row>
    <row r="74" spans="1:11" ht="13" x14ac:dyDescent="0.3">
      <c r="A74" s="1605">
        <f>A9</f>
        <v>-0.1</v>
      </c>
      <c r="B74" s="1602">
        <f>IF($B$1=1,IF('Anàlisi bàsica'!$B$9+B29=0,0,B44/('Anàlisi bàsica'!$B$9+B29)),0)+IF($B$1=2,IF('Anàlisi bàsica'!$C$9+B29=0,0,B44/('Anàlisi bàsica'!$C$9+B29)),0)+IF($B$1=3,IF('Anàlisi bàsica'!$D$9+B29=0,0,B44/('Anàlisi bàsica'!$D$9+B29)),0)</f>
        <v>0</v>
      </c>
      <c r="C74" s="1602">
        <f>IF($B$1=1,IF('Anàlisi bàsica'!$B$9+C29=0,0,C44/('Anàlisi bàsica'!$B$9+C29)),0)+IF($B$1=2,IF('Anàlisi bàsica'!$C$9+C29=0,0,C44/('Anàlisi bàsica'!$C$9+C29)),0)+IF($B$1=3,IF('Anàlisi bàsica'!$D$9+C29=0,0,C44/('Anàlisi bàsica'!$D$9+C29)),0)</f>
        <v>0</v>
      </c>
      <c r="D74" s="1602">
        <f>IF($B$1=1,IF('Anàlisi bàsica'!$B$9+D29=0,0,D44/('Anàlisi bàsica'!$B$9+D29)),0)+IF($B$1=2,IF('Anàlisi bàsica'!$C$9+D29=0,0,D44/('Anàlisi bàsica'!$C$9+D29)),0)+IF($B$1=3,IF('Anàlisi bàsica'!$D$9+D29=0,0,D44/('Anàlisi bàsica'!$D$9+D29)),0)</f>
        <v>0</v>
      </c>
      <c r="E74" s="1602">
        <f>IF($B$1=1,IF('Anàlisi bàsica'!$B$9+E29=0,0,E44/('Anàlisi bàsica'!$B$9+E29)),0)+IF($B$1=2,IF('Anàlisi bàsica'!$C$9+E29=0,0,E44/('Anàlisi bàsica'!$C$9+E29)),0)+IF($B$1=3,IF('Anàlisi bàsica'!$D$9+E29=0,0,E44/('Anàlisi bàsica'!$D$9+E29)),0)</f>
        <v>0</v>
      </c>
      <c r="F74" s="1602">
        <f>IF($B$1=1,IF('Anàlisi bàsica'!$B$9+F29=0,0,F44/('Anàlisi bàsica'!$B$9+F29)),0)+IF($B$1=2,IF('Anàlisi bàsica'!$C$9+F29=0,0,F44/('Anàlisi bàsica'!$C$9+F29)),0)+IF($B$1=3,IF('Anàlisi bàsica'!$D$9+F29=0,0,F44/('Anàlisi bàsica'!$D$9+F29)),0)</f>
        <v>0</v>
      </c>
      <c r="G74" s="1602">
        <f>IF($B$1=1,IF('Anàlisi bàsica'!$B$9+G29=0,0,G44/('Anàlisi bàsica'!$B$9+G29)),0)+IF($B$1=2,IF('Anàlisi bàsica'!$C$9+G29=0,0,G44/('Anàlisi bàsica'!$C$9+G29)),0)+IF($B$1=3,IF('Anàlisi bàsica'!$D$9+G29=0,0,G44/('Anàlisi bàsica'!$D$9+G29)),0)</f>
        <v>0</v>
      </c>
      <c r="H74" s="1602">
        <f>IF($B$1=1,IF('Anàlisi bàsica'!$B$9+H29=0,0,H44/('Anàlisi bàsica'!$B$9+H29)),0)+IF($B$1=2,IF('Anàlisi bàsica'!$C$9+H29=0,0,H44/('Anàlisi bàsica'!$C$9+H29)),0)+IF($B$1=3,IF('Anàlisi bàsica'!$D$9+H29=0,0,H44/('Anàlisi bàsica'!$D$9+H29)),0)</f>
        <v>0</v>
      </c>
      <c r="I74" s="1602">
        <f>IF($B$1=1,IF('Anàlisi bàsica'!$B$9+I29=0,0,I44/('Anàlisi bàsica'!$B$9+I29)),0)+IF($B$1=2,IF('Anàlisi bàsica'!$C$9+I29=0,0,I44/('Anàlisi bàsica'!$C$9+I29)),0)+IF($B$1=3,IF('Anàlisi bàsica'!$D$9+I29=0,0,I44/('Anàlisi bàsica'!$D$9+I29)),0)</f>
        <v>0</v>
      </c>
      <c r="J74" s="1602">
        <f>IF($B$1=1,IF('Anàlisi bàsica'!$B$9+J29=0,0,J44/('Anàlisi bàsica'!$B$9+J29)),0)+IF($B$1=2,IF('Anàlisi bàsica'!$C$9+J29=0,0,J44/('Anàlisi bàsica'!$C$9+J29)),0)+IF($B$1=3,IF('Anàlisi bàsica'!$D$9+J29=0,0,J44/('Anàlisi bàsica'!$D$9+J29)),0)</f>
        <v>0</v>
      </c>
      <c r="K74" s="1602">
        <f>IF($B$1=1,IF('Anàlisi bàsica'!$B$9+K29=0,0,K44/('Anàlisi bàsica'!$B$9+K29)),0)+IF($B$1=2,IF('Anàlisi bàsica'!$C$9+K29=0,0,K44/('Anàlisi bàsica'!$C$9+K29)),0)+IF($B$1=3,IF('Anàlisi bàsica'!$D$9+K29=0,0,K44/('Anàlisi bàsica'!$D$9+K29)),0)</f>
        <v>0</v>
      </c>
    </row>
    <row r="75" spans="1:11" ht="13" x14ac:dyDescent="0.3">
      <c r="A75" s="1605">
        <f t="shared" ref="A75:A80" si="24">A10</f>
        <v>-0.15000000000000002</v>
      </c>
      <c r="B75" s="1602">
        <f>IF($B$1=1,IF('Anàlisi bàsica'!$B$9+B30=0,0,B45/('Anàlisi bàsica'!$B$9+B30)),0)+IF($B$1=2,IF('Anàlisi bàsica'!$C$9+B30=0,0,B45/('Anàlisi bàsica'!$C$9+B30)),0)+IF($B$1=3,IF('Anàlisi bàsica'!$D$9+B30=0,0,B45/('Anàlisi bàsica'!$D$9+B30)),0)</f>
        <v>0</v>
      </c>
      <c r="C75" s="1602">
        <f>IF($B$1=1,IF('Anàlisi bàsica'!$B$9+C30=0,0,C45/('Anàlisi bàsica'!$B$9+C30)),0)+IF($B$1=2,IF('Anàlisi bàsica'!$C$9+C30=0,0,C45/('Anàlisi bàsica'!$C$9+C30)),0)+IF($B$1=3,IF('Anàlisi bàsica'!$D$9+C30=0,0,C45/('Anàlisi bàsica'!$D$9+C30)),0)</f>
        <v>0</v>
      </c>
      <c r="D75" s="1602">
        <f>IF($B$1=1,IF('Anàlisi bàsica'!$B$9+D30=0,0,D45/('Anàlisi bàsica'!$B$9+D30)),0)+IF($B$1=2,IF('Anàlisi bàsica'!$C$9+D30=0,0,D45/('Anàlisi bàsica'!$C$9+D30)),0)+IF($B$1=3,IF('Anàlisi bàsica'!$D$9+D30=0,0,D45/('Anàlisi bàsica'!$D$9+D30)),0)</f>
        <v>0</v>
      </c>
      <c r="E75" s="1602">
        <f>IF($B$1=1,IF('Anàlisi bàsica'!$B$9+E30=0,0,E45/('Anàlisi bàsica'!$B$9+E30)),0)+IF($B$1=2,IF('Anàlisi bàsica'!$C$9+E30=0,0,E45/('Anàlisi bàsica'!$C$9+E30)),0)+IF($B$1=3,IF('Anàlisi bàsica'!$D$9+E30=0,0,E45/('Anàlisi bàsica'!$D$9+E30)),0)</f>
        <v>0</v>
      </c>
      <c r="F75" s="1602">
        <f>IF($B$1=1,IF('Anàlisi bàsica'!$B$9+F30=0,0,F45/('Anàlisi bàsica'!$B$9+F30)),0)+IF($B$1=2,IF('Anàlisi bàsica'!$C$9+F30=0,0,F45/('Anàlisi bàsica'!$C$9+F30)),0)+IF($B$1=3,IF('Anàlisi bàsica'!$D$9+F30=0,0,F45/('Anàlisi bàsica'!$D$9+F30)),0)</f>
        <v>0</v>
      </c>
      <c r="G75" s="1602">
        <f>IF($B$1=1,IF('Anàlisi bàsica'!$B$9+G30=0,0,G45/('Anàlisi bàsica'!$B$9+G30)),0)+IF($B$1=2,IF('Anàlisi bàsica'!$C$9+G30=0,0,G45/('Anàlisi bàsica'!$C$9+G30)),0)+IF($B$1=3,IF('Anàlisi bàsica'!$D$9+G30=0,0,G45/('Anàlisi bàsica'!$D$9+G30)),0)</f>
        <v>0</v>
      </c>
      <c r="H75" s="1602">
        <f>IF($B$1=1,IF('Anàlisi bàsica'!$B$9+H30=0,0,H45/('Anàlisi bàsica'!$B$9+H30)),0)+IF($B$1=2,IF('Anàlisi bàsica'!$C$9+H30=0,0,H45/('Anàlisi bàsica'!$C$9+H30)),0)+IF($B$1=3,IF('Anàlisi bàsica'!$D$9+H30=0,0,H45/('Anàlisi bàsica'!$D$9+H30)),0)</f>
        <v>0</v>
      </c>
      <c r="I75" s="1602">
        <f>IF($B$1=1,IF('Anàlisi bàsica'!$B$9+I30=0,0,I45/('Anàlisi bàsica'!$B$9+I30)),0)+IF($B$1=2,IF('Anàlisi bàsica'!$C$9+I30=0,0,I45/('Anàlisi bàsica'!$C$9+I30)),0)+IF($B$1=3,IF('Anàlisi bàsica'!$D$9+I30=0,0,I45/('Anàlisi bàsica'!$D$9+I30)),0)</f>
        <v>0</v>
      </c>
      <c r="J75" s="1602">
        <f>IF($B$1=1,IF('Anàlisi bàsica'!$B$9+J30=0,0,J45/('Anàlisi bàsica'!$B$9+J30)),0)+IF($B$1=2,IF('Anàlisi bàsica'!$C$9+J30=0,0,J45/('Anàlisi bàsica'!$C$9+J30)),0)+IF($B$1=3,IF('Anàlisi bàsica'!$D$9+J30=0,0,J45/('Anàlisi bàsica'!$D$9+J30)),0)</f>
        <v>0</v>
      </c>
      <c r="K75" s="1602">
        <f>IF($B$1=1,IF('Anàlisi bàsica'!$B$9+K30=0,0,K45/('Anàlisi bàsica'!$B$9+K30)),0)+IF($B$1=2,IF('Anàlisi bàsica'!$C$9+K30=0,0,K45/('Anàlisi bàsica'!$C$9+K30)),0)+IF($B$1=3,IF('Anàlisi bàsica'!$D$9+K30=0,0,K45/('Anàlisi bàsica'!$D$9+K30)),0)</f>
        <v>0</v>
      </c>
    </row>
    <row r="76" spans="1:11" ht="13" x14ac:dyDescent="0.3">
      <c r="A76" s="1605">
        <f t="shared" si="24"/>
        <v>-0.2</v>
      </c>
      <c r="B76" s="1602">
        <f>IF($B$1=1,IF('Anàlisi bàsica'!$B$9+B31=0,0,B46/('Anàlisi bàsica'!$B$9+B31)),0)+IF($B$1=2,IF('Anàlisi bàsica'!$C$9+B31=0,0,B46/('Anàlisi bàsica'!$C$9+B31)),0)+IF($B$1=3,IF('Anàlisi bàsica'!$D$9+B31=0,0,B46/('Anàlisi bàsica'!$D$9+B31)),0)</f>
        <v>0</v>
      </c>
      <c r="C76" s="1602">
        <f>IF($B$1=1,IF('Anàlisi bàsica'!$B$9+C31=0,0,C46/('Anàlisi bàsica'!$B$9+C31)),0)+IF($B$1=2,IF('Anàlisi bàsica'!$C$9+C31=0,0,C46/('Anàlisi bàsica'!$C$9+C31)),0)+IF($B$1=3,IF('Anàlisi bàsica'!$D$9+C31=0,0,C46/('Anàlisi bàsica'!$D$9+C31)),0)</f>
        <v>0</v>
      </c>
      <c r="D76" s="1602">
        <f>IF($B$1=1,IF('Anàlisi bàsica'!$B$9+D31=0,0,D46/('Anàlisi bàsica'!$B$9+D31)),0)+IF($B$1=2,IF('Anàlisi bàsica'!$C$9+D31=0,0,D46/('Anàlisi bàsica'!$C$9+D31)),0)+IF($B$1=3,IF('Anàlisi bàsica'!$D$9+D31=0,0,D46/('Anàlisi bàsica'!$D$9+D31)),0)</f>
        <v>0</v>
      </c>
      <c r="E76" s="1602">
        <f>IF($B$1=1,IF('Anàlisi bàsica'!$B$9+E31=0,0,E46/('Anàlisi bàsica'!$B$9+E31)),0)+IF($B$1=2,IF('Anàlisi bàsica'!$C$9+E31=0,0,E46/('Anàlisi bàsica'!$C$9+E31)),0)+IF($B$1=3,IF('Anàlisi bàsica'!$D$9+E31=0,0,E46/('Anàlisi bàsica'!$D$9+E31)),0)</f>
        <v>0</v>
      </c>
      <c r="F76" s="1602">
        <f>IF($B$1=1,IF('Anàlisi bàsica'!$B$9+F31=0,0,F46/('Anàlisi bàsica'!$B$9+F31)),0)+IF($B$1=2,IF('Anàlisi bàsica'!$C$9+F31=0,0,F46/('Anàlisi bàsica'!$C$9+F31)),0)+IF($B$1=3,IF('Anàlisi bàsica'!$D$9+F31=0,0,F46/('Anàlisi bàsica'!$D$9+F31)),0)</f>
        <v>0</v>
      </c>
      <c r="G76" s="1602">
        <f>IF($B$1=1,IF('Anàlisi bàsica'!$B$9+G31=0,0,G46/('Anàlisi bàsica'!$B$9+G31)),0)+IF($B$1=2,IF('Anàlisi bàsica'!$C$9+G31=0,0,G46/('Anàlisi bàsica'!$C$9+G31)),0)+IF($B$1=3,IF('Anàlisi bàsica'!$D$9+G31=0,0,G46/('Anàlisi bàsica'!$D$9+G31)),0)</f>
        <v>0</v>
      </c>
      <c r="H76" s="1602">
        <f>IF($B$1=1,IF('Anàlisi bàsica'!$B$9+H31=0,0,H46/('Anàlisi bàsica'!$B$9+H31)),0)+IF($B$1=2,IF('Anàlisi bàsica'!$C$9+H31=0,0,H46/('Anàlisi bàsica'!$C$9+H31)),0)+IF($B$1=3,IF('Anàlisi bàsica'!$D$9+H31=0,0,H46/('Anàlisi bàsica'!$D$9+H31)),0)</f>
        <v>0</v>
      </c>
      <c r="I76" s="1602">
        <f>IF($B$1=1,IF('Anàlisi bàsica'!$B$9+I31=0,0,I46/('Anàlisi bàsica'!$B$9+I31)),0)+IF($B$1=2,IF('Anàlisi bàsica'!$C$9+I31=0,0,I46/('Anàlisi bàsica'!$C$9+I31)),0)+IF($B$1=3,IF('Anàlisi bàsica'!$D$9+I31=0,0,I46/('Anàlisi bàsica'!$D$9+I31)),0)</f>
        <v>0</v>
      </c>
      <c r="J76" s="1602">
        <f>IF($B$1=1,IF('Anàlisi bàsica'!$B$9+J31=0,0,J46/('Anàlisi bàsica'!$B$9+J31)),0)+IF($B$1=2,IF('Anàlisi bàsica'!$C$9+J31=0,0,J46/('Anàlisi bàsica'!$C$9+J31)),0)+IF($B$1=3,IF('Anàlisi bàsica'!$D$9+J31=0,0,J46/('Anàlisi bàsica'!$D$9+J31)),0)</f>
        <v>0</v>
      </c>
      <c r="K76" s="1602">
        <f>IF($B$1=1,IF('Anàlisi bàsica'!$B$9+K31=0,0,K46/('Anàlisi bàsica'!$B$9+K31)),0)+IF($B$1=2,IF('Anàlisi bàsica'!$C$9+K31=0,0,K46/('Anàlisi bàsica'!$C$9+K31)),0)+IF($B$1=3,IF('Anàlisi bàsica'!$D$9+K31=0,0,K46/('Anàlisi bàsica'!$D$9+K31)),0)</f>
        <v>0</v>
      </c>
    </row>
    <row r="77" spans="1:11" ht="13" x14ac:dyDescent="0.3">
      <c r="A77" s="1605">
        <f t="shared" si="24"/>
        <v>-0.25</v>
      </c>
      <c r="B77" s="1602">
        <f>IF($B$1=1,IF('Anàlisi bàsica'!$B$9+B32=0,0,B47/('Anàlisi bàsica'!$B$9+B32)),0)+IF($B$1=2,IF('Anàlisi bàsica'!$C$9+B32=0,0,B47/('Anàlisi bàsica'!$C$9+B32)),0)+IF($B$1=3,IF('Anàlisi bàsica'!$D$9+B32=0,0,B47/('Anàlisi bàsica'!$D$9+B32)),0)</f>
        <v>0</v>
      </c>
      <c r="C77" s="1602">
        <f>IF($B$1=1,IF('Anàlisi bàsica'!$B$9+C32=0,0,C47/('Anàlisi bàsica'!$B$9+C32)),0)+IF($B$1=2,IF('Anàlisi bàsica'!$C$9+C32=0,0,C47/('Anàlisi bàsica'!$C$9+C32)),0)+IF($B$1=3,IF('Anàlisi bàsica'!$D$9+C32=0,0,C47/('Anàlisi bàsica'!$D$9+C32)),0)</f>
        <v>0</v>
      </c>
      <c r="D77" s="1602">
        <f>IF($B$1=1,IF('Anàlisi bàsica'!$B$9+D32=0,0,D47/('Anàlisi bàsica'!$B$9+D32)),0)+IF($B$1=2,IF('Anàlisi bàsica'!$C$9+D32=0,0,D47/('Anàlisi bàsica'!$C$9+D32)),0)+IF($B$1=3,IF('Anàlisi bàsica'!$D$9+D32=0,0,D47/('Anàlisi bàsica'!$D$9+D32)),0)</f>
        <v>0</v>
      </c>
      <c r="E77" s="1602">
        <f>IF($B$1=1,IF('Anàlisi bàsica'!$B$9+E32=0,0,E47/('Anàlisi bàsica'!$B$9+E32)),0)+IF($B$1=2,IF('Anàlisi bàsica'!$C$9+E32=0,0,E47/('Anàlisi bàsica'!$C$9+E32)),0)+IF($B$1=3,IF('Anàlisi bàsica'!$D$9+E32=0,0,E47/('Anàlisi bàsica'!$D$9+E32)),0)</f>
        <v>0</v>
      </c>
      <c r="F77" s="1602">
        <f>IF($B$1=1,IF('Anàlisi bàsica'!$B$9+F32=0,0,F47/('Anàlisi bàsica'!$B$9+F32)),0)+IF($B$1=2,IF('Anàlisi bàsica'!$C$9+F32=0,0,F47/('Anàlisi bàsica'!$C$9+F32)),0)+IF($B$1=3,IF('Anàlisi bàsica'!$D$9+F32=0,0,F47/('Anàlisi bàsica'!$D$9+F32)),0)</f>
        <v>0</v>
      </c>
      <c r="G77" s="1602">
        <f>IF($B$1=1,IF('Anàlisi bàsica'!$B$9+G32=0,0,G47/('Anàlisi bàsica'!$B$9+G32)),0)+IF($B$1=2,IF('Anàlisi bàsica'!$C$9+G32=0,0,G47/('Anàlisi bàsica'!$C$9+G32)),0)+IF($B$1=3,IF('Anàlisi bàsica'!$D$9+G32=0,0,G47/('Anàlisi bàsica'!$D$9+G32)),0)</f>
        <v>0</v>
      </c>
      <c r="H77" s="1602">
        <f>IF($B$1=1,IF('Anàlisi bàsica'!$B$9+H32=0,0,H47/('Anàlisi bàsica'!$B$9+H32)),0)+IF($B$1=2,IF('Anàlisi bàsica'!$C$9+H32=0,0,H47/('Anàlisi bàsica'!$C$9+H32)),0)+IF($B$1=3,IF('Anàlisi bàsica'!$D$9+H32=0,0,H47/('Anàlisi bàsica'!$D$9+H32)),0)</f>
        <v>0</v>
      </c>
      <c r="I77" s="1602">
        <f>IF($B$1=1,IF('Anàlisi bàsica'!$B$9+I32=0,0,I47/('Anàlisi bàsica'!$B$9+I32)),0)+IF($B$1=2,IF('Anàlisi bàsica'!$C$9+I32=0,0,I47/('Anàlisi bàsica'!$C$9+I32)),0)+IF($B$1=3,IF('Anàlisi bàsica'!$D$9+I32=0,0,I47/('Anàlisi bàsica'!$D$9+I32)),0)</f>
        <v>0</v>
      </c>
      <c r="J77" s="1602">
        <f>IF($B$1=1,IF('Anàlisi bàsica'!$B$9+J32=0,0,J47/('Anàlisi bàsica'!$B$9+J32)),0)+IF($B$1=2,IF('Anàlisi bàsica'!$C$9+J32=0,0,J47/('Anàlisi bàsica'!$C$9+J32)),0)+IF($B$1=3,IF('Anàlisi bàsica'!$D$9+J32=0,0,J47/('Anàlisi bàsica'!$D$9+J32)),0)</f>
        <v>0</v>
      </c>
      <c r="K77" s="1602">
        <f>IF($B$1=1,IF('Anàlisi bàsica'!$B$9+K32=0,0,K47/('Anàlisi bàsica'!$B$9+K32)),0)+IF($B$1=2,IF('Anàlisi bàsica'!$C$9+K32=0,0,K47/('Anàlisi bàsica'!$C$9+K32)),0)+IF($B$1=3,IF('Anàlisi bàsica'!$D$9+K32=0,0,K47/('Anàlisi bàsica'!$D$9+K32)),0)</f>
        <v>0</v>
      </c>
    </row>
    <row r="78" spans="1:11" ht="13" x14ac:dyDescent="0.3">
      <c r="A78" s="1605">
        <f t="shared" si="24"/>
        <v>-0.3</v>
      </c>
      <c r="B78" s="1602">
        <f>IF($B$1=1,IF('Anàlisi bàsica'!$B$9+B33=0,0,B48/('Anàlisi bàsica'!$B$9+B33)),0)+IF($B$1=2,IF('Anàlisi bàsica'!$C$9+B33=0,0,B48/('Anàlisi bàsica'!$C$9+B33)),0)+IF($B$1=3,IF('Anàlisi bàsica'!$D$9+B33=0,0,B48/('Anàlisi bàsica'!$D$9+B33)),0)</f>
        <v>0</v>
      </c>
      <c r="C78" s="1602">
        <f>IF($B$1=1,IF('Anàlisi bàsica'!$B$9+C33=0,0,C48/('Anàlisi bàsica'!$B$9+C33)),0)+IF($B$1=2,IF('Anàlisi bàsica'!$C$9+C33=0,0,C48/('Anàlisi bàsica'!$C$9+C33)),0)+IF($B$1=3,IF('Anàlisi bàsica'!$D$9+C33=0,0,C48/('Anàlisi bàsica'!$D$9+C33)),0)</f>
        <v>0</v>
      </c>
      <c r="D78" s="1602">
        <f>IF($B$1=1,IF('Anàlisi bàsica'!$B$9+D33=0,0,D48/('Anàlisi bàsica'!$B$9+D33)),0)+IF($B$1=2,IF('Anàlisi bàsica'!$C$9+D33=0,0,D48/('Anàlisi bàsica'!$C$9+D33)),0)+IF($B$1=3,IF('Anàlisi bàsica'!$D$9+D33=0,0,D48/('Anàlisi bàsica'!$D$9+D33)),0)</f>
        <v>0</v>
      </c>
      <c r="E78" s="1602">
        <f>IF($B$1=1,IF('Anàlisi bàsica'!$B$9+E33=0,0,E48/('Anàlisi bàsica'!$B$9+E33)),0)+IF($B$1=2,IF('Anàlisi bàsica'!$C$9+E33=0,0,E48/('Anàlisi bàsica'!$C$9+E33)),0)+IF($B$1=3,IF('Anàlisi bàsica'!$D$9+E33=0,0,E48/('Anàlisi bàsica'!$D$9+E33)),0)</f>
        <v>0</v>
      </c>
      <c r="F78" s="1602">
        <f>IF($B$1=1,IF('Anàlisi bàsica'!$B$9+F33=0,0,F48/('Anàlisi bàsica'!$B$9+F33)),0)+IF($B$1=2,IF('Anàlisi bàsica'!$C$9+F33=0,0,F48/('Anàlisi bàsica'!$C$9+F33)),0)+IF($B$1=3,IF('Anàlisi bàsica'!$D$9+F33=0,0,F48/('Anàlisi bàsica'!$D$9+F33)),0)</f>
        <v>0</v>
      </c>
      <c r="G78" s="1602">
        <f>IF($B$1=1,IF('Anàlisi bàsica'!$B$9+G33=0,0,G48/('Anàlisi bàsica'!$B$9+G33)),0)+IF($B$1=2,IF('Anàlisi bàsica'!$C$9+G33=0,0,G48/('Anàlisi bàsica'!$C$9+G33)),0)+IF($B$1=3,IF('Anàlisi bàsica'!$D$9+G33=0,0,G48/('Anàlisi bàsica'!$D$9+G33)),0)</f>
        <v>0</v>
      </c>
      <c r="H78" s="1602">
        <f>IF($B$1=1,IF('Anàlisi bàsica'!$B$9+H33=0,0,H48/('Anàlisi bàsica'!$B$9+H33)),0)+IF($B$1=2,IF('Anàlisi bàsica'!$C$9+H33=0,0,H48/('Anàlisi bàsica'!$C$9+H33)),0)+IF($B$1=3,IF('Anàlisi bàsica'!$D$9+H33=0,0,H48/('Anàlisi bàsica'!$D$9+H33)),0)</f>
        <v>0</v>
      </c>
      <c r="I78" s="1602">
        <f>IF($B$1=1,IF('Anàlisi bàsica'!$B$9+I33=0,0,I48/('Anàlisi bàsica'!$B$9+I33)),0)+IF($B$1=2,IF('Anàlisi bàsica'!$C$9+I33=0,0,I48/('Anàlisi bàsica'!$C$9+I33)),0)+IF($B$1=3,IF('Anàlisi bàsica'!$D$9+I33=0,0,I48/('Anàlisi bàsica'!$D$9+I33)),0)</f>
        <v>0</v>
      </c>
      <c r="J78" s="1602">
        <f>IF($B$1=1,IF('Anàlisi bàsica'!$B$9+J33=0,0,J48/('Anàlisi bàsica'!$B$9+J33)),0)+IF($B$1=2,IF('Anàlisi bàsica'!$C$9+J33=0,0,J48/('Anàlisi bàsica'!$C$9+J33)),0)+IF($B$1=3,IF('Anàlisi bàsica'!$D$9+J33=0,0,J48/('Anàlisi bàsica'!$D$9+J33)),0)</f>
        <v>0</v>
      </c>
      <c r="K78" s="1602">
        <f>IF($B$1=1,IF('Anàlisi bàsica'!$B$9+K33=0,0,K48/('Anàlisi bàsica'!$B$9+K33)),0)+IF($B$1=2,IF('Anàlisi bàsica'!$C$9+K33=0,0,K48/('Anàlisi bàsica'!$C$9+K33)),0)+IF($B$1=3,IF('Anàlisi bàsica'!$D$9+K33=0,0,K48/('Anàlisi bàsica'!$D$9+K33)),0)</f>
        <v>0</v>
      </c>
    </row>
    <row r="79" spans="1:11" ht="13" x14ac:dyDescent="0.3">
      <c r="A79" s="1605">
        <f t="shared" si="24"/>
        <v>-0.35</v>
      </c>
      <c r="B79" s="1602">
        <f>IF($B$1=1,IF('Anàlisi bàsica'!$B$9+B34=0,0,B49/('Anàlisi bàsica'!$B$9+B34)),0)+IF($B$1=2,IF('Anàlisi bàsica'!$C$9+B34=0,0,B49/('Anàlisi bàsica'!$C$9+B34)),0)+IF($B$1=3,IF('Anàlisi bàsica'!$D$9+B34=0,0,B49/('Anàlisi bàsica'!$D$9+B34)),0)</f>
        <v>0</v>
      </c>
      <c r="C79" s="1602">
        <f>IF($B$1=1,IF('Anàlisi bàsica'!$B$9+C34=0,0,C49/('Anàlisi bàsica'!$B$9+C34)),0)+IF($B$1=2,IF('Anàlisi bàsica'!$C$9+C34=0,0,C49/('Anàlisi bàsica'!$C$9+C34)),0)+IF($B$1=3,IF('Anàlisi bàsica'!$D$9+C34=0,0,C49/('Anàlisi bàsica'!$D$9+C34)),0)</f>
        <v>0</v>
      </c>
      <c r="D79" s="1602">
        <f>IF($B$1=1,IF('Anàlisi bàsica'!$B$9+D34=0,0,D49/('Anàlisi bàsica'!$B$9+D34)),0)+IF($B$1=2,IF('Anàlisi bàsica'!$C$9+D34=0,0,D49/('Anàlisi bàsica'!$C$9+D34)),0)+IF($B$1=3,IF('Anàlisi bàsica'!$D$9+D34=0,0,D49/('Anàlisi bàsica'!$D$9+D34)),0)</f>
        <v>0</v>
      </c>
      <c r="E79" s="1602">
        <f>IF($B$1=1,IF('Anàlisi bàsica'!$B$9+E34=0,0,E49/('Anàlisi bàsica'!$B$9+E34)),0)+IF($B$1=2,IF('Anàlisi bàsica'!$C$9+E34=0,0,E49/('Anàlisi bàsica'!$C$9+E34)),0)+IF($B$1=3,IF('Anàlisi bàsica'!$D$9+E34=0,0,E49/('Anàlisi bàsica'!$D$9+E34)),0)</f>
        <v>0</v>
      </c>
      <c r="F79" s="1602">
        <f>IF($B$1=1,IF('Anàlisi bàsica'!$B$9+F34=0,0,F49/('Anàlisi bàsica'!$B$9+F34)),0)+IF($B$1=2,IF('Anàlisi bàsica'!$C$9+F34=0,0,F49/('Anàlisi bàsica'!$C$9+F34)),0)+IF($B$1=3,IF('Anàlisi bàsica'!$D$9+F34=0,0,F49/('Anàlisi bàsica'!$D$9+F34)),0)</f>
        <v>0</v>
      </c>
      <c r="G79" s="1602">
        <f>IF($B$1=1,IF('Anàlisi bàsica'!$B$9+G34=0,0,G49/('Anàlisi bàsica'!$B$9+G34)),0)+IF($B$1=2,IF('Anàlisi bàsica'!$C$9+G34=0,0,G49/('Anàlisi bàsica'!$C$9+G34)),0)+IF($B$1=3,IF('Anàlisi bàsica'!$D$9+G34=0,0,G49/('Anàlisi bàsica'!$D$9+G34)),0)</f>
        <v>0</v>
      </c>
      <c r="H79" s="1602">
        <f>IF($B$1=1,IF('Anàlisi bàsica'!$B$9+H34=0,0,H49/('Anàlisi bàsica'!$B$9+H34)),0)+IF($B$1=2,IF('Anàlisi bàsica'!$C$9+H34=0,0,H49/('Anàlisi bàsica'!$C$9+H34)),0)+IF($B$1=3,IF('Anàlisi bàsica'!$D$9+H34=0,0,H49/('Anàlisi bàsica'!$D$9+H34)),0)</f>
        <v>0</v>
      </c>
      <c r="I79" s="1602">
        <f>IF($B$1=1,IF('Anàlisi bàsica'!$B$9+I34=0,0,I49/('Anàlisi bàsica'!$B$9+I34)),0)+IF($B$1=2,IF('Anàlisi bàsica'!$C$9+I34=0,0,I49/('Anàlisi bàsica'!$C$9+I34)),0)+IF($B$1=3,IF('Anàlisi bàsica'!$D$9+I34=0,0,I49/('Anàlisi bàsica'!$D$9+I34)),0)</f>
        <v>0</v>
      </c>
      <c r="J79" s="1602">
        <f>IF($B$1=1,IF('Anàlisi bàsica'!$B$9+J34=0,0,J49/('Anàlisi bàsica'!$B$9+J34)),0)+IF($B$1=2,IF('Anàlisi bàsica'!$C$9+J34=0,0,J49/('Anàlisi bàsica'!$C$9+J34)),0)+IF($B$1=3,IF('Anàlisi bàsica'!$D$9+J34=0,0,J49/('Anàlisi bàsica'!$D$9+J34)),0)</f>
        <v>0</v>
      </c>
      <c r="K79" s="1602">
        <f>IF($B$1=1,IF('Anàlisi bàsica'!$B$9+K34=0,0,K49/('Anàlisi bàsica'!$B$9+K34)),0)+IF($B$1=2,IF('Anàlisi bàsica'!$C$9+K34=0,0,K49/('Anàlisi bàsica'!$C$9+K34)),0)+IF($B$1=3,IF('Anàlisi bàsica'!$D$9+K34=0,0,K49/('Anàlisi bàsica'!$D$9+K34)),0)</f>
        <v>0</v>
      </c>
    </row>
    <row r="80" spans="1:11" ht="13" x14ac:dyDescent="0.3">
      <c r="A80" s="1605">
        <f t="shared" si="24"/>
        <v>-0.39999999999999997</v>
      </c>
      <c r="B80" s="1602">
        <f>IF($B$1=1,IF('Anàlisi bàsica'!$B$9+B35=0,0,B50/('Anàlisi bàsica'!$B$9+B35)),0)+IF($B$1=2,IF('Anàlisi bàsica'!$C$9+B35=0,0,B50/('Anàlisi bàsica'!$C$9+B35)),0)+IF($B$1=3,IF('Anàlisi bàsica'!$D$9+B35=0,0,B50/('Anàlisi bàsica'!$D$9+B35)),0)</f>
        <v>0</v>
      </c>
      <c r="C80" s="1602">
        <f>IF($B$1=1,IF('Anàlisi bàsica'!$B$9+C35=0,0,C50/('Anàlisi bàsica'!$B$9+C35)),0)+IF($B$1=2,IF('Anàlisi bàsica'!$C$9+C35=0,0,C50/('Anàlisi bàsica'!$C$9+C35)),0)+IF($B$1=3,IF('Anàlisi bàsica'!$D$9+C35=0,0,C50/('Anàlisi bàsica'!$D$9+C35)),0)</f>
        <v>0</v>
      </c>
      <c r="D80" s="1602">
        <f>IF($B$1=1,IF('Anàlisi bàsica'!$B$9+D35=0,0,D50/('Anàlisi bàsica'!$B$9+D35)),0)+IF($B$1=2,IF('Anàlisi bàsica'!$C$9+D35=0,0,D50/('Anàlisi bàsica'!$C$9+D35)),0)+IF($B$1=3,IF('Anàlisi bàsica'!$D$9+D35=0,0,D50/('Anàlisi bàsica'!$D$9+D35)),0)</f>
        <v>0</v>
      </c>
      <c r="E80" s="1602">
        <f>IF($B$1=1,IF('Anàlisi bàsica'!$B$9+E35=0,0,E50/('Anàlisi bàsica'!$B$9+E35)),0)+IF($B$1=2,IF('Anàlisi bàsica'!$C$9+E35=0,0,E50/('Anàlisi bàsica'!$C$9+E35)),0)+IF($B$1=3,IF('Anàlisi bàsica'!$D$9+E35=0,0,E50/('Anàlisi bàsica'!$D$9+E35)),0)</f>
        <v>0</v>
      </c>
      <c r="F80" s="1602">
        <f>IF($B$1=1,IF('Anàlisi bàsica'!$B$9+F35=0,0,F50/('Anàlisi bàsica'!$B$9+F35)),0)+IF($B$1=2,IF('Anàlisi bàsica'!$C$9+F35=0,0,F50/('Anàlisi bàsica'!$C$9+F35)),0)+IF($B$1=3,IF('Anàlisi bàsica'!$D$9+F35=0,0,F50/('Anàlisi bàsica'!$D$9+F35)),0)</f>
        <v>0</v>
      </c>
      <c r="G80" s="1602">
        <f>IF($B$1=1,IF('Anàlisi bàsica'!$B$9+G35=0,0,G50/('Anàlisi bàsica'!$B$9+G35)),0)+IF($B$1=2,IF('Anàlisi bàsica'!$C$9+G35=0,0,G50/('Anàlisi bàsica'!$C$9+G35)),0)+IF($B$1=3,IF('Anàlisi bàsica'!$D$9+G35=0,0,G50/('Anàlisi bàsica'!$D$9+G35)),0)</f>
        <v>0</v>
      </c>
      <c r="H80" s="1602">
        <f>IF($B$1=1,IF('Anàlisi bàsica'!$B$9+H35=0,0,H50/('Anàlisi bàsica'!$B$9+H35)),0)+IF($B$1=2,IF('Anàlisi bàsica'!$C$9+H35=0,0,H50/('Anàlisi bàsica'!$C$9+H35)),0)+IF($B$1=3,IF('Anàlisi bàsica'!$D$9+H35=0,0,H50/('Anàlisi bàsica'!$D$9+H35)),0)</f>
        <v>0</v>
      </c>
      <c r="I80" s="1602">
        <f>IF($B$1=1,IF('Anàlisi bàsica'!$B$9+I35=0,0,I50/('Anàlisi bàsica'!$B$9+I35)),0)+IF($B$1=2,IF('Anàlisi bàsica'!$C$9+I35=0,0,I50/('Anàlisi bàsica'!$C$9+I35)),0)+IF($B$1=3,IF('Anàlisi bàsica'!$D$9+I35=0,0,I50/('Anàlisi bàsica'!$D$9+I35)),0)</f>
        <v>0</v>
      </c>
      <c r="J80" s="1602">
        <f>IF($B$1=1,IF('Anàlisi bàsica'!$B$9+J35=0,0,J50/('Anàlisi bàsica'!$B$9+J35)),0)+IF($B$1=2,IF('Anàlisi bàsica'!$C$9+J35=0,0,J50/('Anàlisi bàsica'!$C$9+J35)),0)+IF($B$1=3,IF('Anàlisi bàsica'!$D$9+J35=0,0,J50/('Anàlisi bàsica'!$D$9+J35)),0)</f>
        <v>0</v>
      </c>
      <c r="K80" s="1602">
        <f>IF($B$1=1,IF('Anàlisi bàsica'!$B$9+K35=0,0,K50/('Anàlisi bàsica'!$B$9+K35)),0)+IF($B$1=2,IF('Anàlisi bàsica'!$C$9+K35=0,0,K50/('Anàlisi bàsica'!$C$9+K35)),0)+IF($B$1=3,IF('Anàlisi bàsica'!$D$9+K35=0,0,K50/('Anàlisi bàsica'!$D$9+K35)),0)</f>
        <v>0</v>
      </c>
    </row>
  </sheetData>
  <sheetProtection sheet="1" objects="1" scenarios="1"/>
  <mergeCells count="15">
    <mergeCell ref="B38:F38"/>
    <mergeCell ref="A39:A41"/>
    <mergeCell ref="B39:K39"/>
    <mergeCell ref="A69:A71"/>
    <mergeCell ref="B69:K69"/>
    <mergeCell ref="B53:F53"/>
    <mergeCell ref="A54:A56"/>
    <mergeCell ref="B54:K54"/>
    <mergeCell ref="B68:F68"/>
    <mergeCell ref="B3:F3"/>
    <mergeCell ref="A4:A6"/>
    <mergeCell ref="B4:K4"/>
    <mergeCell ref="B23:F23"/>
    <mergeCell ref="A24:A26"/>
    <mergeCell ref="B24:K24"/>
  </mergeCells>
  <phoneticPr fontId="22" type="noConversion"/>
  <conditionalFormatting sqref="B7:K15 B27:K35 B42:K50">
    <cfRule type="cellIs" dxfId="5" priority="1" stopIfTrue="1" operator="greaterThan">
      <formula>0</formula>
    </cfRule>
    <cfRule type="cellIs" dxfId="4" priority="2" stopIfTrue="1" operator="lessThan">
      <formula>0</formula>
    </cfRule>
    <cfRule type="cellIs" dxfId="3" priority="3" stopIfTrue="1" operator="equal">
      <formula>0</formula>
    </cfRule>
  </conditionalFormatting>
  <conditionalFormatting sqref="B57:K65 B72:K80">
    <cfRule type="cellIs" dxfId="2" priority="4" stopIfTrue="1" operator="greaterThan">
      <formula>0.05</formula>
    </cfRule>
    <cfRule type="cellIs" dxfId="1" priority="5" stopIfTrue="1" operator="between">
      <formula>0</formula>
      <formula>0.05</formula>
    </cfRule>
    <cfRule type="cellIs" dxfId="0" priority="6" stopIfTrue="1" operator="lessThan">
      <formula>0</formula>
    </cfRule>
  </conditionalFormatting>
  <printOptions horizontalCentered="1"/>
  <pageMargins left="0.39374999999999999" right="0.39374999999999999" top="0.98402777777777772" bottom="0.78749999999999998" header="0.39374999999999999" footer="0.51180555555555562"/>
  <pageSetup paperSize="9" scale="76" firstPageNumber="0" orientation="portrait" horizontalDpi="300" verticalDpi="300" r:id="rId1"/>
  <headerFooter alignWithMargins="0">
    <oddHeader>&amp;L&amp;"Arial,Negrita"&amp;16&amp;A&amp;R&amp;"Arial,Negrita"&amp;16&amp;F</oddHeader>
  </headerFooter>
  <rowBreaks count="1" manualBreakCount="1">
    <brk id="71" max="16383"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16"/>
  <dimension ref="A1:D211"/>
  <sheetViews>
    <sheetView workbookViewId="0">
      <selection activeCell="E21" sqref="E21"/>
    </sheetView>
  </sheetViews>
  <sheetFormatPr defaultColWidth="11.453125" defaultRowHeight="10" x14ac:dyDescent="0.2"/>
  <cols>
    <col min="1" max="1" width="44.26953125" style="1609" customWidth="1"/>
    <col min="2" max="4" width="13.7265625" style="1610" customWidth="1"/>
    <col min="5" max="16384" width="11.453125" style="788"/>
  </cols>
  <sheetData>
    <row r="1" spans="1:4" ht="13" x14ac:dyDescent="0.3">
      <c r="A1" s="1611" t="s">
        <v>636</v>
      </c>
    </row>
    <row r="3" spans="1:4" ht="13" x14ac:dyDescent="0.3">
      <c r="A3" s="1612"/>
      <c r="B3" s="1611" t="s">
        <v>68</v>
      </c>
      <c r="C3" s="1611" t="s">
        <v>69</v>
      </c>
      <c r="D3" s="1611" t="s">
        <v>70</v>
      </c>
    </row>
    <row r="4" spans="1:4" x14ac:dyDescent="0.2">
      <c r="A4" s="1613" t="s">
        <v>637</v>
      </c>
      <c r="B4" s="1614">
        <f>B24</f>
        <v>0</v>
      </c>
      <c r="C4" s="1614">
        <f>C24</f>
        <v>0</v>
      </c>
      <c r="D4" s="1614">
        <f>D24</f>
        <v>0</v>
      </c>
    </row>
    <row r="5" spans="1:4" x14ac:dyDescent="0.2">
      <c r="A5" s="1613" t="s">
        <v>638</v>
      </c>
      <c r="B5" s="1614">
        <f>B19</f>
        <v>0</v>
      </c>
      <c r="C5" s="1614">
        <f>C19</f>
        <v>0</v>
      </c>
      <c r="D5" s="1614">
        <f>D19</f>
        <v>0</v>
      </c>
    </row>
    <row r="6" spans="1:4" x14ac:dyDescent="0.2">
      <c r="A6" s="1613" t="s">
        <v>639</v>
      </c>
      <c r="B6" s="1614">
        <f>B21</f>
        <v>0</v>
      </c>
      <c r="C6" s="1614">
        <f>C21</f>
        <v>0</v>
      </c>
      <c r="D6" s="1614">
        <f>D21</f>
        <v>0</v>
      </c>
    </row>
    <row r="7" spans="1:4" x14ac:dyDescent="0.2">
      <c r="A7" s="1613" t="s">
        <v>634</v>
      </c>
      <c r="B7" s="1615">
        <f t="shared" ref="B7:D8" si="0">B80</f>
        <v>0</v>
      </c>
      <c r="C7" s="1615">
        <f t="shared" si="0"/>
        <v>0</v>
      </c>
      <c r="D7" s="1615">
        <f t="shared" si="0"/>
        <v>0</v>
      </c>
    </row>
    <row r="8" spans="1:4" x14ac:dyDescent="0.2">
      <c r="A8" s="1613" t="s">
        <v>640</v>
      </c>
      <c r="B8" s="1616">
        <f t="shared" si="0"/>
        <v>0</v>
      </c>
      <c r="C8" s="1616">
        <f t="shared" si="0"/>
        <v>0</v>
      </c>
      <c r="D8" s="1616">
        <f t="shared" si="0"/>
        <v>0</v>
      </c>
    </row>
    <row r="9" spans="1:4" x14ac:dyDescent="0.2">
      <c r="A9" s="1613" t="s">
        <v>641</v>
      </c>
      <c r="B9" s="1615">
        <f>B86</f>
        <v>0</v>
      </c>
      <c r="C9" s="1615">
        <f>C86</f>
        <v>0</v>
      </c>
      <c r="D9" s="1615">
        <f>D86</f>
        <v>0</v>
      </c>
    </row>
    <row r="10" spans="1:4" x14ac:dyDescent="0.2">
      <c r="A10" s="1613" t="s">
        <v>642</v>
      </c>
      <c r="B10" s="1617">
        <f>IF(B193=0,0,B189/B193)</f>
        <v>0</v>
      </c>
      <c r="C10" s="1617">
        <f>IF(C193=0,0,C189/C193)</f>
        <v>0</v>
      </c>
      <c r="D10" s="1617">
        <f>IF(D193=0,0,D189/D193)</f>
        <v>0</v>
      </c>
    </row>
    <row r="11" spans="1:4" x14ac:dyDescent="0.2">
      <c r="A11" s="1613" t="s">
        <v>643</v>
      </c>
      <c r="B11" s="1617">
        <f>IF(B193=0,0,B190/B193)</f>
        <v>0</v>
      </c>
      <c r="C11" s="1617">
        <f>IF(C193=0,0,C190/C193)</f>
        <v>0</v>
      </c>
      <c r="D11" s="1617">
        <f>IF(D193=0,0,D190/D193)</f>
        <v>0</v>
      </c>
    </row>
    <row r="12" spans="1:4" x14ac:dyDescent="0.2">
      <c r="A12" s="1613" t="s">
        <v>644</v>
      </c>
      <c r="B12" s="1614">
        <f>B55</f>
        <v>0</v>
      </c>
      <c r="C12" s="1614">
        <f>C55</f>
        <v>0</v>
      </c>
      <c r="D12" s="1614">
        <f>D55</f>
        <v>0</v>
      </c>
    </row>
    <row r="13" spans="1:4" x14ac:dyDescent="0.2">
      <c r="A13" s="1613" t="s">
        <v>645</v>
      </c>
      <c r="B13" s="1618"/>
      <c r="C13" s="1617">
        <f>IF(B179=0,0,(C179-B179)/B179)</f>
        <v>0</v>
      </c>
      <c r="D13" s="1617">
        <f>IF(C179=0,0,(D179-C179)/C179)</f>
        <v>0</v>
      </c>
    </row>
    <row r="16" spans="1:4" ht="13" x14ac:dyDescent="0.3">
      <c r="A16" s="1619" t="s">
        <v>646</v>
      </c>
    </row>
    <row r="18" spans="1:4" ht="13" x14ac:dyDescent="0.3">
      <c r="B18" s="1014" t="str">
        <f>+B3</f>
        <v>ANY 1</v>
      </c>
      <c r="C18" s="1014" t="str">
        <f>+C3</f>
        <v>ANY 2</v>
      </c>
      <c r="D18" s="1014" t="str">
        <f>+D3</f>
        <v>ANY 3</v>
      </c>
    </row>
    <row r="19" spans="1:4" x14ac:dyDescent="0.2">
      <c r="A19" s="1620" t="s">
        <v>638</v>
      </c>
      <c r="B19" s="1621">
        <f>IF(B169=0,0,B168/B169)</f>
        <v>0</v>
      </c>
      <c r="C19" s="1621">
        <f>IF(C169=0,0,C168/C169)</f>
        <v>0</v>
      </c>
      <c r="D19" s="1621">
        <f>IF(D169=0,0,D168/D169)</f>
        <v>0</v>
      </c>
    </row>
    <row r="20" spans="1:4" x14ac:dyDescent="0.2">
      <c r="A20" s="1620" t="s">
        <v>647</v>
      </c>
      <c r="B20" s="1621">
        <f>IF(B168=0,0,(B130+B132)/B168)</f>
        <v>0</v>
      </c>
      <c r="C20" s="1621">
        <f>IF(C168=0,0,(C130+C132)/C168)</f>
        <v>0</v>
      </c>
      <c r="D20" s="1621">
        <f>IF(D168=0,0,(D130+D132)/D168)</f>
        <v>0</v>
      </c>
    </row>
    <row r="21" spans="1:4" x14ac:dyDescent="0.2">
      <c r="A21" s="1620" t="s">
        <v>639</v>
      </c>
      <c r="B21" s="1621">
        <f>IF(B169=0,0,(B168-B120)/B169)</f>
        <v>0</v>
      </c>
      <c r="C21" s="1621">
        <f>IF(C169=0,0,(C168-C120)/C169)</f>
        <v>0</v>
      </c>
      <c r="D21" s="1621">
        <f>IF(D169=0,0,(D168-D120)/D169)</f>
        <v>0</v>
      </c>
    </row>
    <row r="22" spans="1:4" x14ac:dyDescent="0.2">
      <c r="A22" s="1620" t="s">
        <v>648</v>
      </c>
      <c r="B22" s="1621">
        <f>IF(B169=0,0,(B130+B132)/B169)</f>
        <v>0</v>
      </c>
      <c r="C22" s="1621">
        <f>IF(C169=0,0,(C130+C132)/C169)</f>
        <v>0</v>
      </c>
      <c r="D22" s="1621">
        <f>IF(D169=0,0,(D130+D132)/D169)</f>
        <v>0</v>
      </c>
    </row>
    <row r="23" spans="1:4" x14ac:dyDescent="0.2">
      <c r="A23" s="1620" t="s">
        <v>649</v>
      </c>
      <c r="B23" s="1621">
        <f>IF(B168=0,0,(B35*B120+B32*B124)/B168)</f>
        <v>0</v>
      </c>
      <c r="C23" s="1621">
        <f>IF(C168=0,0,(C35*C120+C32*C124)/C168)</f>
        <v>0</v>
      </c>
      <c r="D23" s="1621">
        <f>IF(D168=0,0,(D35*D120+D32*D124)/D168)</f>
        <v>0</v>
      </c>
    </row>
    <row r="24" spans="1:4" x14ac:dyDescent="0.2">
      <c r="A24" s="1622" t="s">
        <v>637</v>
      </c>
      <c r="B24" s="1623">
        <f>B168-B169</f>
        <v>0</v>
      </c>
      <c r="C24" s="1623">
        <f>C168-C169</f>
        <v>0</v>
      </c>
      <c r="D24" s="1623">
        <f>D168-D169</f>
        <v>0</v>
      </c>
    </row>
    <row r="26" spans="1:4" ht="10.5" x14ac:dyDescent="0.25">
      <c r="A26" s="1624" t="s">
        <v>650</v>
      </c>
    </row>
    <row r="27" spans="1:4" customFormat="1" ht="12.5" x14ac:dyDescent="0.25">
      <c r="A27" s="90"/>
      <c r="B27" s="1215"/>
      <c r="C27" s="1215"/>
      <c r="D27" s="1215"/>
    </row>
    <row r="28" spans="1:4" ht="13" x14ac:dyDescent="0.3">
      <c r="B28" s="1014" t="str">
        <f>+B18</f>
        <v>ANY 1</v>
      </c>
      <c r="C28" s="1014" t="str">
        <f>+C18</f>
        <v>ANY 2</v>
      </c>
      <c r="D28" s="1014" t="str">
        <f>+D18</f>
        <v>ANY 3</v>
      </c>
    </row>
    <row r="29" spans="1:4" x14ac:dyDescent="0.2">
      <c r="A29" s="1622" t="s">
        <v>651</v>
      </c>
      <c r="B29" s="1621">
        <f>IF(B124=0,0,B179/B124)</f>
        <v>0</v>
      </c>
      <c r="C29" s="1621">
        <f>IF(C124=0,0,C179/C124)</f>
        <v>0</v>
      </c>
      <c r="D29" s="1621">
        <f>IF(D124=0,0,D179/D124)</f>
        <v>0</v>
      </c>
    </row>
    <row r="30" spans="1:4" x14ac:dyDescent="0.2">
      <c r="A30" s="1622" t="s">
        <v>652</v>
      </c>
      <c r="B30" s="1621">
        <f>IF(B120=0,0,(B185+B186)/B120)</f>
        <v>0</v>
      </c>
      <c r="C30" s="1621">
        <f>IF(C120=0,0,(C185+C186)/C120)</f>
        <v>0</v>
      </c>
      <c r="D30" s="1621">
        <f>IF(D120=0,0,(D185+D186)/D120)</f>
        <v>0</v>
      </c>
    </row>
    <row r="31" spans="1:4" x14ac:dyDescent="0.2">
      <c r="A31" s="1622" t="s">
        <v>653</v>
      </c>
      <c r="B31" s="1621">
        <f>IF(B152=0,0,B185/B152)</f>
        <v>0</v>
      </c>
      <c r="C31" s="1621">
        <f>IF(C152=0,0,C185/C152)</f>
        <v>0</v>
      </c>
      <c r="D31" s="1621">
        <f>IF(D152=0,0,D185/D152)</f>
        <v>0</v>
      </c>
    </row>
    <row r="32" spans="1:4" x14ac:dyDescent="0.2">
      <c r="A32" s="1622" t="s">
        <v>654</v>
      </c>
      <c r="B32" s="1621">
        <f t="shared" ref="B32:D34" si="1">IF(B29=0,0,365/B29)</f>
        <v>0</v>
      </c>
      <c r="C32" s="1621">
        <f t="shared" si="1"/>
        <v>0</v>
      </c>
      <c r="D32" s="1621">
        <f t="shared" si="1"/>
        <v>0</v>
      </c>
    </row>
    <row r="33" spans="1:4" x14ac:dyDescent="0.2">
      <c r="A33" s="1622" t="s">
        <v>655</v>
      </c>
      <c r="B33" s="1621">
        <f t="shared" si="1"/>
        <v>0</v>
      </c>
      <c r="C33" s="1621">
        <f t="shared" si="1"/>
        <v>0</v>
      </c>
      <c r="D33" s="1621">
        <f t="shared" si="1"/>
        <v>0</v>
      </c>
    </row>
    <row r="34" spans="1:4" x14ac:dyDescent="0.2">
      <c r="A34" s="1622" t="s">
        <v>656</v>
      </c>
      <c r="B34" s="1621">
        <f t="shared" si="1"/>
        <v>0</v>
      </c>
      <c r="C34" s="1621">
        <f t="shared" si="1"/>
        <v>0</v>
      </c>
      <c r="D34" s="1621">
        <f t="shared" si="1"/>
        <v>0</v>
      </c>
    </row>
    <row r="35" spans="1:4" x14ac:dyDescent="0.2">
      <c r="A35" s="1622" t="s">
        <v>657</v>
      </c>
      <c r="B35" s="1621">
        <f>B32+B33</f>
        <v>0</v>
      </c>
      <c r="C35" s="1621">
        <f>C32+C33</f>
        <v>0</v>
      </c>
      <c r="D35" s="1621">
        <f>D32+D33</f>
        <v>0</v>
      </c>
    </row>
    <row r="36" spans="1:4" x14ac:dyDescent="0.2">
      <c r="A36" s="1622" t="s">
        <v>658</v>
      </c>
      <c r="B36" s="1621">
        <f>B35-B34</f>
        <v>0</v>
      </c>
      <c r="C36" s="1621">
        <f>C35-C34</f>
        <v>0</v>
      </c>
      <c r="D36" s="1621">
        <f>D35-D34</f>
        <v>0</v>
      </c>
    </row>
    <row r="39" spans="1:4" ht="13" x14ac:dyDescent="0.3">
      <c r="A39" s="1994" t="s">
        <v>659</v>
      </c>
      <c r="B39" s="1994"/>
      <c r="C39" s="1994"/>
      <c r="D39" s="1994"/>
    </row>
    <row r="41" spans="1:4" ht="13" x14ac:dyDescent="0.3">
      <c r="B41" s="1014" t="str">
        <f>+B28</f>
        <v>ANY 1</v>
      </c>
      <c r="C41" s="1014" t="str">
        <f>+C28</f>
        <v>ANY 2</v>
      </c>
      <c r="D41" s="1014" t="str">
        <f>+D28</f>
        <v>ANY 3</v>
      </c>
    </row>
    <row r="42" spans="1:4" x14ac:dyDescent="0.2">
      <c r="A42" s="1622" t="s">
        <v>660</v>
      </c>
      <c r="B42" s="1621">
        <f>B190</f>
        <v>0</v>
      </c>
      <c r="C42" s="1621">
        <f>C190</f>
        <v>0</v>
      </c>
      <c r="D42" s="1621">
        <f>D190</f>
        <v>0</v>
      </c>
    </row>
    <row r="43" spans="1:4" x14ac:dyDescent="0.2">
      <c r="A43" s="1622" t="s">
        <v>404</v>
      </c>
      <c r="B43" s="1625">
        <v>0.3</v>
      </c>
      <c r="C43" s="1625">
        <f>B43</f>
        <v>0.3</v>
      </c>
      <c r="D43" s="1625">
        <f>C43</f>
        <v>0.3</v>
      </c>
    </row>
    <row r="44" spans="1:4" x14ac:dyDescent="0.2">
      <c r="A44" s="1622" t="s">
        <v>661</v>
      </c>
      <c r="B44" s="1621">
        <f>B42*(1-B43)</f>
        <v>0</v>
      </c>
      <c r="C44" s="1621">
        <f>C42*(1-C43)</f>
        <v>0</v>
      </c>
      <c r="D44" s="1621">
        <f>D42*(1-D43)</f>
        <v>0</v>
      </c>
    </row>
    <row r="45" spans="1:4" x14ac:dyDescent="0.2">
      <c r="A45" s="1622" t="s">
        <v>662</v>
      </c>
      <c r="B45" s="1626">
        <f>IF(B137=0,0,(B196+B44)/B137)</f>
        <v>0</v>
      </c>
      <c r="C45" s="1626">
        <f>IF(C137=0,0,(C196+C44)/C137)</f>
        <v>0</v>
      </c>
      <c r="D45" s="1626">
        <f>IF(D137=0,0,(D196+D44)/D137)</f>
        <v>0</v>
      </c>
    </row>
    <row r="46" spans="1:4" x14ac:dyDescent="0.2">
      <c r="A46" s="1622" t="s">
        <v>641</v>
      </c>
      <c r="B46" s="1626">
        <f>IF(B172=0,0,B196/B172)</f>
        <v>0</v>
      </c>
      <c r="C46" s="1626">
        <f>IF(C172=0,0,C196/C172)</f>
        <v>0</v>
      </c>
      <c r="D46" s="1626">
        <f>IF(D172=0,0,D196/D172)</f>
        <v>0</v>
      </c>
    </row>
    <row r="47" spans="1:4" x14ac:dyDescent="0.2">
      <c r="A47" s="1622" t="s">
        <v>663</v>
      </c>
      <c r="B47" s="1626">
        <f>B46-B45</f>
        <v>0</v>
      </c>
      <c r="C47" s="1626">
        <f>C46-C45</f>
        <v>0</v>
      </c>
      <c r="D47" s="1626">
        <f>D46-D45</f>
        <v>0</v>
      </c>
    </row>
    <row r="48" spans="1:4" x14ac:dyDescent="0.2">
      <c r="A48" s="1622" t="s">
        <v>664</v>
      </c>
      <c r="B48" s="1621">
        <f>IF(B45=0,0,B46/B45)</f>
        <v>0</v>
      </c>
      <c r="C48" s="1621">
        <f>IF(C45=0,0,C46/C45)</f>
        <v>0</v>
      </c>
      <c r="D48" s="1621">
        <f>IF(D45=0,0,D46/D45)</f>
        <v>0</v>
      </c>
    </row>
    <row r="49" spans="1:4" x14ac:dyDescent="0.2">
      <c r="A49" s="1622" t="s">
        <v>665</v>
      </c>
      <c r="B49" s="1621">
        <f>IF(B141=0,0,B137/B141)</f>
        <v>0</v>
      </c>
      <c r="C49" s="1621">
        <f>IF(C141=0,0,C137/C141)</f>
        <v>0</v>
      </c>
      <c r="D49" s="1621">
        <f>IF(D141=0,0,D137/D141)</f>
        <v>0</v>
      </c>
    </row>
    <row r="51" spans="1:4" ht="10.5" x14ac:dyDescent="0.25">
      <c r="A51" s="1624" t="s">
        <v>666</v>
      </c>
    </row>
    <row r="53" spans="1:4" ht="13" x14ac:dyDescent="0.3">
      <c r="B53" s="1014" t="str">
        <f>+B41</f>
        <v>ANY 1</v>
      </c>
      <c r="C53" s="1014" t="str">
        <f>+C41</f>
        <v>ANY 2</v>
      </c>
      <c r="D53" s="1014" t="str">
        <f>+D41</f>
        <v>ANY 3</v>
      </c>
    </row>
    <row r="54" spans="1:4" x14ac:dyDescent="0.2">
      <c r="A54" s="1622" t="s">
        <v>667</v>
      </c>
      <c r="B54" s="1621">
        <f>IF(B172=0,0,(B169+B171)/B172)</f>
        <v>0</v>
      </c>
      <c r="C54" s="1621">
        <f>IF(C172=0,0,(C169+C171)/C172)</f>
        <v>0</v>
      </c>
      <c r="D54" s="1621">
        <f>IF(D172=0,0,(D169+D171)/D172)</f>
        <v>0</v>
      </c>
    </row>
    <row r="55" spans="1:4" x14ac:dyDescent="0.2">
      <c r="A55" s="1622" t="s">
        <v>644</v>
      </c>
      <c r="B55" s="1621">
        <f>IF(B54=0,0,1/B54)</f>
        <v>0</v>
      </c>
      <c r="C55" s="1621">
        <f>IF(C54=0,0,1/C54)</f>
        <v>0</v>
      </c>
      <c r="D55" s="1621">
        <f>IF(D54=0,0,1/D54)</f>
        <v>0</v>
      </c>
    </row>
    <row r="56" spans="1:4" x14ac:dyDescent="0.2">
      <c r="A56" s="1622" t="s">
        <v>668</v>
      </c>
      <c r="B56" s="1621">
        <f>IF(B172=0,0,B171/B172)</f>
        <v>0</v>
      </c>
      <c r="C56" s="1621">
        <f>IF(C172=0,0,C171/C172)</f>
        <v>0</v>
      </c>
      <c r="D56" s="1621">
        <f>IF(D172=0,0,D171/D172)</f>
        <v>0</v>
      </c>
    </row>
    <row r="57" spans="1:4" x14ac:dyDescent="0.2">
      <c r="A57" s="1622" t="s">
        <v>669</v>
      </c>
      <c r="B57" s="1621">
        <f>IF(B169+B171=0,0,B169/(B169+B171))</f>
        <v>0</v>
      </c>
      <c r="C57" s="1621">
        <f>IF(C169+C171=0,0,C169/(C169+C171))</f>
        <v>0</v>
      </c>
      <c r="D57" s="1621">
        <f>IF(D169+D171=0,0,D169/(D169+D171))</f>
        <v>0</v>
      </c>
    </row>
    <row r="59" spans="1:4" ht="10.5" x14ac:dyDescent="0.25">
      <c r="A59" s="1624" t="s">
        <v>670</v>
      </c>
    </row>
    <row r="61" spans="1:4" ht="13" x14ac:dyDescent="0.3">
      <c r="B61" s="1014" t="str">
        <f>+B53</f>
        <v>ANY 1</v>
      </c>
      <c r="C61" s="1014" t="str">
        <f>+C53</f>
        <v>ANY 2</v>
      </c>
      <c r="D61" s="1014" t="str">
        <f>+D53</f>
        <v>ANY 3</v>
      </c>
    </row>
    <row r="62" spans="1:4" x14ac:dyDescent="0.2">
      <c r="A62" s="1622" t="s">
        <v>671</v>
      </c>
      <c r="B62" s="1621">
        <f>IF(B172=0,0,B170/B172)</f>
        <v>0</v>
      </c>
      <c r="C62" s="1621">
        <f>IF(C172=0,0,C170/C172)</f>
        <v>0</v>
      </c>
      <c r="D62" s="1621">
        <f>IF(D172=0,0,D170/D172)</f>
        <v>0</v>
      </c>
    </row>
    <row r="63" spans="1:4" x14ac:dyDescent="0.2">
      <c r="A63" s="1622" t="s">
        <v>672</v>
      </c>
      <c r="B63" s="1621">
        <f>IF(B171=0,0,B107/B171)</f>
        <v>0</v>
      </c>
      <c r="C63" s="1621">
        <f>IF(C171=0,0,C107/C171)</f>
        <v>0</v>
      </c>
      <c r="D63" s="1621">
        <f>IF(D171=0,0,D107/D171)</f>
        <v>0</v>
      </c>
    </row>
    <row r="64" spans="1:4" x14ac:dyDescent="0.2">
      <c r="A64" s="1622" t="s">
        <v>673</v>
      </c>
      <c r="B64" s="1621">
        <f>IF(B107+B168-B169=0,0,(B169+B171)/(B107+B168-B169))</f>
        <v>0</v>
      </c>
      <c r="C64" s="1621">
        <f>IF(C107+C168-C169=0,0,(C169+C171)/(C107+C168-C169))</f>
        <v>0</v>
      </c>
      <c r="D64" s="1621">
        <f>IF(D107+D168-D169=0,0,(D169+D171)/(D107+D168-D169))</f>
        <v>0</v>
      </c>
    </row>
    <row r="65" spans="1:4" x14ac:dyDescent="0.2">
      <c r="A65" s="1622" t="s">
        <v>674</v>
      </c>
      <c r="B65" s="1621">
        <f>IF(B190=0,0,(B196+B190)/B190)</f>
        <v>0</v>
      </c>
      <c r="C65" s="1621">
        <f>IF(C190=0,0,(C196+C190)/C190)</f>
        <v>0</v>
      </c>
      <c r="D65" s="1621">
        <f>IF(D190=0,0,(D196+D190)/D190)</f>
        <v>0</v>
      </c>
    </row>
    <row r="66" spans="1:4" x14ac:dyDescent="0.2">
      <c r="A66" s="1622" t="s">
        <v>675</v>
      </c>
      <c r="B66" s="1621">
        <f>IF(B190+TRESORERIA!O52=0,0,(B196+B190+B191)/(B190+TRESORERIA!O52))</f>
        <v>0</v>
      </c>
      <c r="C66" s="1621">
        <f>IF(C190+TRESORERIA!O137=0,0,(C196+C190+C191)/(C190+TRESORERIA!O137))</f>
        <v>0</v>
      </c>
      <c r="D66" s="1621">
        <f>IF(D190+TRESORERIA!O222=0,0,(D196+D190+D191)/(D190+TRESORERIA!O222))</f>
        <v>0</v>
      </c>
    </row>
    <row r="67" spans="1:4" x14ac:dyDescent="0.2">
      <c r="A67" s="1622" t="s">
        <v>676</v>
      </c>
      <c r="B67" s="1621">
        <f>IF(B190=0,0,(B132+B190)/B190)</f>
        <v>0</v>
      </c>
      <c r="C67" s="1621">
        <f>IF(C190=0,0,(C132+C190)/C190)</f>
        <v>0</v>
      </c>
      <c r="D67" s="1621">
        <f>IF(D190=0,0,(D132+D190)/D190)</f>
        <v>0</v>
      </c>
    </row>
    <row r="70" spans="1:4" ht="13" x14ac:dyDescent="0.3">
      <c r="A70" s="1994" t="s">
        <v>677</v>
      </c>
      <c r="B70" s="1994"/>
      <c r="C70" s="1994"/>
      <c r="D70" s="1994"/>
    </row>
    <row r="72" spans="1:4" ht="13" x14ac:dyDescent="0.3">
      <c r="B72" s="1014" t="str">
        <f>+B61</f>
        <v>ANY 1</v>
      </c>
      <c r="C72" s="1014" t="str">
        <f>+C61</f>
        <v>ANY 2</v>
      </c>
      <c r="D72" s="1014" t="str">
        <f>+D61</f>
        <v>ANY 3</v>
      </c>
    </row>
    <row r="73" spans="1:4" x14ac:dyDescent="0.2">
      <c r="A73" s="1622" t="s">
        <v>678</v>
      </c>
      <c r="B73" s="1626">
        <f>IF(B137=0,0,(B196+B190*(1-B43))/B137)</f>
        <v>0</v>
      </c>
      <c r="C73" s="1626">
        <f>IF(C137=0,0,(C196+C190*(1-C43))/C137)</f>
        <v>0</v>
      </c>
      <c r="D73" s="1626">
        <f>IF(D137=0,0,(D196+D190*(1-D43))/D137)</f>
        <v>0</v>
      </c>
    </row>
    <row r="74" spans="1:4" x14ac:dyDescent="0.2">
      <c r="A74" s="1622" t="s">
        <v>679</v>
      </c>
      <c r="B74" s="1626">
        <f>IF(B173=0,0,(B196+B190*(1-B43))/B173)</f>
        <v>0</v>
      </c>
      <c r="C74" s="1626">
        <f>IF(C173=0,0,(C196+C190*(1-C43))/C173)</f>
        <v>0</v>
      </c>
      <c r="D74" s="1626">
        <f>IF(D173=0,0,(D196+D190*(1-D43))/D173)</f>
        <v>0</v>
      </c>
    </row>
    <row r="75" spans="1:4" x14ac:dyDescent="0.2">
      <c r="A75" s="1622" t="s">
        <v>680</v>
      </c>
      <c r="B75" s="1626">
        <f>IF(B172=0,0,B196/B172)</f>
        <v>0</v>
      </c>
      <c r="C75" s="1626">
        <f>IF(C172=0,0,C196/C172)</f>
        <v>0</v>
      </c>
      <c r="D75" s="1626">
        <f>IF(D172=0,0,D196/D172)</f>
        <v>0</v>
      </c>
    </row>
    <row r="77" spans="1:4" x14ac:dyDescent="0.2">
      <c r="A77" s="1627" t="s">
        <v>681</v>
      </c>
    </row>
    <row r="79" spans="1:4" ht="13" x14ac:dyDescent="0.3">
      <c r="B79" s="1014" t="str">
        <f>+B72</f>
        <v>ANY 1</v>
      </c>
      <c r="C79" s="1014" t="str">
        <f>+C72</f>
        <v>ANY 2</v>
      </c>
      <c r="D79" s="1014" t="str">
        <f>+D72</f>
        <v>ANY 3</v>
      </c>
    </row>
    <row r="80" spans="1:4" x14ac:dyDescent="0.2">
      <c r="A80" s="1622" t="s">
        <v>634</v>
      </c>
      <c r="B80" s="1628">
        <f>IF(B179=0,0,B196/B179)</f>
        <v>0</v>
      </c>
      <c r="C80" s="1628">
        <f>IF(C179=0,0,C196/C179)</f>
        <v>0</v>
      </c>
      <c r="D80" s="1628">
        <f>IF(D179=0,0,D196/D179)</f>
        <v>0</v>
      </c>
    </row>
    <row r="81" spans="1:4" x14ac:dyDescent="0.2">
      <c r="A81" s="1622" t="s">
        <v>640</v>
      </c>
      <c r="B81" s="1629">
        <f>IF(B137=0,0,B179/B137)</f>
        <v>0</v>
      </c>
      <c r="C81" s="1629">
        <f>IF(C137=0,0,C179/C137)</f>
        <v>0</v>
      </c>
      <c r="D81" s="1629">
        <f>IF(D137=0,0,D179/D137)</f>
        <v>0</v>
      </c>
    </row>
    <row r="82" spans="1:4" x14ac:dyDescent="0.2">
      <c r="A82" s="1622" t="s">
        <v>665</v>
      </c>
      <c r="B82" s="1629">
        <f>IF(B172=0,0,B137/B172)</f>
        <v>0</v>
      </c>
      <c r="C82" s="1629">
        <f>IF(C172=0,0,C137/C172)</f>
        <v>0</v>
      </c>
      <c r="D82" s="1629">
        <f>IF(D172=0,0,D137/D172)</f>
        <v>0</v>
      </c>
    </row>
    <row r="83" spans="1:4" x14ac:dyDescent="0.2">
      <c r="A83" s="1622" t="s">
        <v>682</v>
      </c>
      <c r="B83" s="1629">
        <f>IF(B179=0,0,B194/B179)</f>
        <v>0</v>
      </c>
      <c r="C83" s="1629">
        <f>IF(C179=0,0,C194/C179)</f>
        <v>0</v>
      </c>
      <c r="D83" s="1629">
        <f>IF(D179=0,0,D194/D179)</f>
        <v>0</v>
      </c>
    </row>
    <row r="84" spans="1:4" x14ac:dyDescent="0.2">
      <c r="A84" s="1622" t="s">
        <v>683</v>
      </c>
      <c r="B84" s="1630">
        <f>1-B43</f>
        <v>0.7</v>
      </c>
      <c r="C84" s="1630">
        <f>1-C43</f>
        <v>0.7</v>
      </c>
      <c r="D84" s="1630">
        <f>1-D43</f>
        <v>0.7</v>
      </c>
    </row>
    <row r="86" spans="1:4" x14ac:dyDescent="0.2">
      <c r="A86" s="1622" t="s">
        <v>641</v>
      </c>
      <c r="B86" s="1628">
        <f>IF(B172=0,0,B196/B172)</f>
        <v>0</v>
      </c>
      <c r="C86" s="1628">
        <f>IF(C172=0,0,C196/C172)</f>
        <v>0</v>
      </c>
      <c r="D86" s="1628">
        <f>IF(D172=0,0,D196/D172)</f>
        <v>0</v>
      </c>
    </row>
    <row r="88" spans="1:4" ht="10.5" x14ac:dyDescent="0.25">
      <c r="A88" s="1624" t="s">
        <v>684</v>
      </c>
    </row>
    <row r="90" spans="1:4" ht="13" x14ac:dyDescent="0.3">
      <c r="B90" s="1631" t="s">
        <v>68</v>
      </c>
      <c r="C90" s="1631" t="s">
        <v>69</v>
      </c>
      <c r="D90" s="1631" t="s">
        <v>70</v>
      </c>
    </row>
    <row r="91" spans="1:4" x14ac:dyDescent="0.2">
      <c r="A91" s="1622" t="s">
        <v>72</v>
      </c>
      <c r="B91" s="1621">
        <f>IF(B134=0,0,B179/B134)</f>
        <v>0</v>
      </c>
      <c r="C91" s="1621">
        <f>IF(C134=0,0,C179/C134)</f>
        <v>0</v>
      </c>
      <c r="D91" s="1621">
        <f>IF(D134=0,0,D179/D134)</f>
        <v>0</v>
      </c>
    </row>
    <row r="92" spans="1:4" x14ac:dyDescent="0.2">
      <c r="A92" s="1622" t="s">
        <v>685</v>
      </c>
      <c r="B92" s="1621">
        <f>IF(B124=0,0,B179/B124)</f>
        <v>0</v>
      </c>
      <c r="C92" s="1621">
        <f>IF(C124=0,0,C179/C124)</f>
        <v>0</v>
      </c>
      <c r="D92" s="1621">
        <f>IF(D124=0,0,D179/D124)</f>
        <v>0</v>
      </c>
    </row>
    <row r="93" spans="1:4" x14ac:dyDescent="0.2">
      <c r="A93" s="1622" t="s">
        <v>505</v>
      </c>
      <c r="B93" s="1621">
        <f>IF(B120=0,0,B179/B120)</f>
        <v>0</v>
      </c>
      <c r="C93" s="1621">
        <f>IF(C120=0,0,C179/C120)</f>
        <v>0</v>
      </c>
      <c r="D93" s="1621">
        <f>IF(D120=0,0,D179/D120)</f>
        <v>0</v>
      </c>
    </row>
    <row r="94" spans="1:4" x14ac:dyDescent="0.2">
      <c r="A94" s="1622" t="s">
        <v>541</v>
      </c>
      <c r="B94" s="1621">
        <f>IF(B101=0,0,B179/B101)</f>
        <v>0</v>
      </c>
      <c r="C94" s="1621">
        <f>IF(C101=0,0,C179/C101)</f>
        <v>0</v>
      </c>
      <c r="D94" s="1621">
        <f>IF(D101=0,0,D179/D101)</f>
        <v>0</v>
      </c>
    </row>
    <row r="95" spans="1:4" x14ac:dyDescent="0.2">
      <c r="A95" s="1622" t="s">
        <v>686</v>
      </c>
      <c r="B95" s="1621">
        <f>IF(B1562+B153=0,0,B179/(B152+B153))</f>
        <v>0</v>
      </c>
      <c r="C95" s="1621">
        <f>IF(C1562+C153=0,0,C179/(C152+C153))</f>
        <v>0</v>
      </c>
      <c r="D95" s="1621">
        <f>IF(D1562+D153=0,0,D179/(D152+D153))</f>
        <v>0</v>
      </c>
    </row>
    <row r="96" spans="1:4" ht="13.5" customHeight="1" x14ac:dyDescent="0.2">
      <c r="A96" s="1622" t="s">
        <v>687</v>
      </c>
      <c r="B96" s="1628">
        <f>IF(B172=0,0,B196/B172)</f>
        <v>0</v>
      </c>
      <c r="C96" s="1628">
        <f>IF(C172=0,0,C196/C172)</f>
        <v>0</v>
      </c>
      <c r="D96" s="1628">
        <f>IF(D172=0,0,D196/D172)</f>
        <v>0</v>
      </c>
    </row>
    <row r="98" spans="1:4" ht="12.75" hidden="1" customHeight="1" x14ac:dyDescent="0.2">
      <c r="A98" s="1632"/>
      <c r="B98" s="1633"/>
      <c r="C98" s="1633"/>
      <c r="D98" s="1633"/>
    </row>
    <row r="99" spans="1:4" hidden="1" x14ac:dyDescent="0.2"/>
    <row r="100" spans="1:4" ht="13" hidden="1" x14ac:dyDescent="0.3">
      <c r="A100" s="1634" t="s">
        <v>539</v>
      </c>
      <c r="B100" s="1631" t="s">
        <v>68</v>
      </c>
      <c r="C100" s="1631" t="s">
        <v>69</v>
      </c>
      <c r="D100" s="1631" t="s">
        <v>70</v>
      </c>
    </row>
    <row r="101" spans="1:4" ht="13" hidden="1" x14ac:dyDescent="0.3">
      <c r="A101" s="1635" t="s">
        <v>541</v>
      </c>
      <c r="B101" s="801">
        <f>+B102+B107+B117</f>
        <v>0</v>
      </c>
      <c r="C101" s="801">
        <f>+C102+C107+C117</f>
        <v>0</v>
      </c>
      <c r="D101" s="801">
        <f>+D102+D107+D117</f>
        <v>0</v>
      </c>
    </row>
    <row r="102" spans="1:4" ht="13" hidden="1" x14ac:dyDescent="0.3">
      <c r="A102" s="1635" t="s">
        <v>688</v>
      </c>
      <c r="B102" s="801">
        <f>SUM(B103:B106)</f>
        <v>0</v>
      </c>
      <c r="C102" s="801">
        <f>SUM(C103:C106)</f>
        <v>0</v>
      </c>
      <c r="D102" s="801">
        <f>SUM(D103:D106)</f>
        <v>0</v>
      </c>
    </row>
    <row r="103" spans="1:4" ht="12.5" hidden="1" x14ac:dyDescent="0.25">
      <c r="A103" s="1636" t="s">
        <v>95</v>
      </c>
      <c r="B103" s="1637">
        <f>'Balanç de situació'!D5</f>
        <v>0</v>
      </c>
      <c r="C103" s="1637">
        <f>'Balanç de situació'!F5</f>
        <v>0</v>
      </c>
      <c r="D103" s="1637">
        <f>'Balanç de situació'!H5</f>
        <v>0</v>
      </c>
    </row>
    <row r="104" spans="1:4" ht="12.5" hidden="1" x14ac:dyDescent="0.25">
      <c r="A104" s="1636" t="s">
        <v>96</v>
      </c>
      <c r="B104" s="1637">
        <f>'Balanç de situació'!D6</f>
        <v>0</v>
      </c>
      <c r="C104" s="1637">
        <f>'Balanç de situació'!F6</f>
        <v>0</v>
      </c>
      <c r="D104" s="1637">
        <f>'Balanç de situació'!H6</f>
        <v>0</v>
      </c>
    </row>
    <row r="105" spans="1:4" ht="12.5" hidden="1" x14ac:dyDescent="0.25">
      <c r="A105" s="1636" t="s">
        <v>97</v>
      </c>
      <c r="B105" s="1637">
        <f>'Balanç de situació'!D7</f>
        <v>0</v>
      </c>
      <c r="C105" s="1637">
        <f>'Balanç de situació'!F7</f>
        <v>0</v>
      </c>
      <c r="D105" s="1637">
        <f>'Balanç de situació'!H7</f>
        <v>0</v>
      </c>
    </row>
    <row r="106" spans="1:4" ht="12.5" hidden="1" x14ac:dyDescent="0.25">
      <c r="A106" s="1636" t="s">
        <v>542</v>
      </c>
      <c r="B106" s="1637">
        <f>'Balanç de situació'!D8</f>
        <v>0</v>
      </c>
      <c r="C106" s="1637">
        <f>'Balanç de situació'!F8</f>
        <v>0</v>
      </c>
      <c r="D106" s="1637">
        <f>'Balanç de situació'!H8</f>
        <v>0</v>
      </c>
    </row>
    <row r="107" spans="1:4" ht="13" hidden="1" x14ac:dyDescent="0.3">
      <c r="A107" s="1635" t="s">
        <v>689</v>
      </c>
      <c r="B107" s="801">
        <f>SUM(B108:B116)</f>
        <v>0</v>
      </c>
      <c r="C107" s="801">
        <f>SUM(C108:C116)</f>
        <v>0</v>
      </c>
      <c r="D107" s="801">
        <f>SUM(D108:D116)</f>
        <v>0</v>
      </c>
    </row>
    <row r="108" spans="1:4" ht="12.5" hidden="1" x14ac:dyDescent="0.25">
      <c r="A108" s="1636" t="s">
        <v>100</v>
      </c>
      <c r="B108" s="1637">
        <f>'Balanç de situació'!D10</f>
        <v>0</v>
      </c>
      <c r="C108" s="1637">
        <f>'Balanç de situació'!F10</f>
        <v>0</v>
      </c>
      <c r="D108" s="1637">
        <f>'Balanç de situació'!H10</f>
        <v>0</v>
      </c>
    </row>
    <row r="109" spans="1:4" ht="12.5" hidden="1" x14ac:dyDescent="0.25">
      <c r="A109" s="1636" t="s">
        <v>101</v>
      </c>
      <c r="B109" s="1637">
        <f>'Balanç de situació'!D11</f>
        <v>0</v>
      </c>
      <c r="C109" s="1637">
        <f>'Balanç de situació'!F11</f>
        <v>0</v>
      </c>
      <c r="D109" s="1637">
        <f>'Balanç de situació'!H11</f>
        <v>0</v>
      </c>
    </row>
    <row r="110" spans="1:4" ht="12.5" hidden="1" x14ac:dyDescent="0.25">
      <c r="A110" s="1636" t="s">
        <v>102</v>
      </c>
      <c r="B110" s="1637">
        <f>'Balanç de situació'!D12</f>
        <v>0</v>
      </c>
      <c r="C110" s="1637">
        <f>'Balanç de situació'!F12</f>
        <v>0</v>
      </c>
      <c r="D110" s="1637">
        <f>'Balanç de situació'!H12</f>
        <v>0</v>
      </c>
    </row>
    <row r="111" spans="1:4" ht="12.5" hidden="1" x14ac:dyDescent="0.25">
      <c r="A111" s="1636" t="s">
        <v>103</v>
      </c>
      <c r="B111" s="1637">
        <f>'Balanç de situació'!D13</f>
        <v>0</v>
      </c>
      <c r="C111" s="1637">
        <f>'Balanç de situació'!F13</f>
        <v>0</v>
      </c>
      <c r="D111" s="1637">
        <f>'Balanç de situació'!H13</f>
        <v>0</v>
      </c>
    </row>
    <row r="112" spans="1:4" ht="12.5" hidden="1" x14ac:dyDescent="0.25">
      <c r="A112" s="1636" t="s">
        <v>104</v>
      </c>
      <c r="B112" s="1637">
        <f>'Balanç de situació'!D14</f>
        <v>0</v>
      </c>
      <c r="C112" s="1637">
        <f>'Balanç de situació'!F14</f>
        <v>0</v>
      </c>
      <c r="D112" s="1637">
        <f>'Balanç de situació'!H14</f>
        <v>0</v>
      </c>
    </row>
    <row r="113" spans="1:4" ht="12.5" hidden="1" x14ac:dyDescent="0.25">
      <c r="A113" s="1636" t="s">
        <v>690</v>
      </c>
      <c r="B113" s="1637">
        <f>'Balanç de situació'!D15</f>
        <v>0</v>
      </c>
      <c r="C113" s="1637">
        <f>'Balanç de situació'!F15</f>
        <v>0</v>
      </c>
      <c r="D113" s="1637">
        <f>'Balanç de situació'!H15</f>
        <v>0</v>
      </c>
    </row>
    <row r="114" spans="1:4" ht="12.5" hidden="1" x14ac:dyDescent="0.25">
      <c r="A114" s="1636" t="s">
        <v>106</v>
      </c>
      <c r="B114" s="1637">
        <f>'Balanç de situació'!D16</f>
        <v>0</v>
      </c>
      <c r="C114" s="1637">
        <f>'Balanç de situació'!F16</f>
        <v>0</v>
      </c>
      <c r="D114" s="1637">
        <f>'Balanç de situació'!H16</f>
        <v>0</v>
      </c>
    </row>
    <row r="115" spans="1:4" ht="12.5" hidden="1" x14ac:dyDescent="0.25">
      <c r="A115" s="1636" t="s">
        <v>107</v>
      </c>
      <c r="B115" s="1637">
        <f>'Balanç de situació'!D17</f>
        <v>0</v>
      </c>
      <c r="C115" s="1637">
        <f>'Balanç de situació'!F17</f>
        <v>0</v>
      </c>
      <c r="D115" s="1637">
        <f>'Balanç de situació'!H17</f>
        <v>0</v>
      </c>
    </row>
    <row r="116" spans="1:4" ht="12.5" hidden="1" x14ac:dyDescent="0.25">
      <c r="A116" s="1636" t="s">
        <v>543</v>
      </c>
      <c r="B116" s="1637">
        <f>'Balanç de situació'!D18</f>
        <v>0</v>
      </c>
      <c r="C116" s="1637">
        <f>'Balanç de situació'!F18</f>
        <v>0</v>
      </c>
      <c r="D116" s="1637">
        <f>'Balanç de situació'!H18</f>
        <v>0</v>
      </c>
    </row>
    <row r="117" spans="1:4" ht="13" hidden="1" x14ac:dyDescent="0.3">
      <c r="A117" s="1635" t="s">
        <v>249</v>
      </c>
      <c r="B117" s="801">
        <f>SUM(B118:B119)</f>
        <v>0</v>
      </c>
      <c r="C117" s="801">
        <f>SUM(C118:C119)</f>
        <v>0</v>
      </c>
      <c r="D117" s="801">
        <f>SUM(D118:D119)</f>
        <v>0</v>
      </c>
    </row>
    <row r="118" spans="1:4" ht="12.5" hidden="1" x14ac:dyDescent="0.25">
      <c r="A118" s="1636" t="s">
        <v>250</v>
      </c>
      <c r="B118" s="1637">
        <f>'Balanç de situació'!D20</f>
        <v>0</v>
      </c>
      <c r="C118" s="1637">
        <f>'Balanç de situació'!F20</f>
        <v>0</v>
      </c>
      <c r="D118" s="1637">
        <f>'Balanç de situació'!H20</f>
        <v>0</v>
      </c>
    </row>
    <row r="119" spans="1:4" ht="12.5" hidden="1" x14ac:dyDescent="0.25">
      <c r="A119" s="1636" t="s">
        <v>251</v>
      </c>
      <c r="B119" s="1637">
        <f>'Balanç de situació'!D21</f>
        <v>0</v>
      </c>
      <c r="C119" s="1637">
        <f>'Balanç de situació'!F21</f>
        <v>0</v>
      </c>
      <c r="D119" s="1637">
        <f>'Balanç de situació'!H21</f>
        <v>0</v>
      </c>
    </row>
    <row r="120" spans="1:4" ht="13" hidden="1" x14ac:dyDescent="0.3">
      <c r="A120" s="1635" t="s">
        <v>505</v>
      </c>
      <c r="B120" s="801">
        <f>B121</f>
        <v>0</v>
      </c>
      <c r="C120" s="801">
        <f>C121</f>
        <v>0</v>
      </c>
      <c r="D120" s="801">
        <f>D121</f>
        <v>0</v>
      </c>
    </row>
    <row r="121" spans="1:4" ht="12.5" hidden="1" x14ac:dyDescent="0.25">
      <c r="A121" s="1636" t="s">
        <v>443</v>
      </c>
      <c r="B121" s="1637">
        <f>'Balanç de situació'!D23</f>
        <v>0</v>
      </c>
      <c r="C121" s="1637">
        <f>'Balanç de situació'!F23</f>
        <v>0</v>
      </c>
      <c r="D121" s="1637">
        <f>'Balanç de situació'!H23</f>
        <v>0</v>
      </c>
    </row>
    <row r="122" spans="1:4" ht="13" hidden="1" x14ac:dyDescent="0.3">
      <c r="A122" s="1635" t="s">
        <v>544</v>
      </c>
      <c r="B122" s="1637">
        <f>SUM(B123:B129)</f>
        <v>0</v>
      </c>
      <c r="C122" s="1637">
        <f>SUM(C123:C129)</f>
        <v>0</v>
      </c>
      <c r="D122" s="1637">
        <f>SUM(D123:D129)</f>
        <v>0</v>
      </c>
    </row>
    <row r="123" spans="1:4" ht="12.5" hidden="1" x14ac:dyDescent="0.25">
      <c r="A123" s="1636" t="s">
        <v>545</v>
      </c>
      <c r="B123" s="1637">
        <f>'Balanç de situació'!D25</f>
        <v>0</v>
      </c>
      <c r="C123" s="1637">
        <f>'Balanç de situació'!F25</f>
        <v>0</v>
      </c>
      <c r="D123" s="1637">
        <f>'Balanç de situació'!H25</f>
        <v>0</v>
      </c>
    </row>
    <row r="124" spans="1:4" ht="12.5" hidden="1" x14ac:dyDescent="0.25">
      <c r="A124" s="1636" t="s">
        <v>546</v>
      </c>
      <c r="B124" s="1637">
        <f>'Balanç de situació'!D26</f>
        <v>0</v>
      </c>
      <c r="C124" s="1637">
        <f>'Balanç de situació'!F26</f>
        <v>0</v>
      </c>
      <c r="D124" s="1637">
        <f>'Balanç de situació'!H26</f>
        <v>0</v>
      </c>
    </row>
    <row r="125" spans="1:4" ht="12.5" hidden="1" x14ac:dyDescent="0.25">
      <c r="A125" s="1636" t="s">
        <v>547</v>
      </c>
      <c r="B125" s="1637">
        <f>'Balanç de situació'!D27</f>
        <v>0</v>
      </c>
      <c r="C125" s="1637">
        <f>'Balanç de situació'!F27</f>
        <v>0</v>
      </c>
      <c r="D125" s="1637">
        <f>'Balanç de situació'!H27</f>
        <v>0</v>
      </c>
    </row>
    <row r="126" spans="1:4" ht="12.5" hidden="1" x14ac:dyDescent="0.25">
      <c r="A126" s="1636" t="s">
        <v>548</v>
      </c>
      <c r="B126" s="1637">
        <f>'Balanç de situació'!D28</f>
        <v>0</v>
      </c>
      <c r="C126" s="1637">
        <f>'Balanç de situació'!F28</f>
        <v>0</v>
      </c>
      <c r="D126" s="1637">
        <f>'Balanç de situació'!H28</f>
        <v>0</v>
      </c>
    </row>
    <row r="127" spans="1:4" ht="12.5" hidden="1" x14ac:dyDescent="0.25">
      <c r="A127" s="1636" t="s">
        <v>549</v>
      </c>
      <c r="B127" s="1637">
        <f>'Balanç de situació'!D29</f>
        <v>0</v>
      </c>
      <c r="C127" s="1637">
        <f>'Balanç de situació'!F29</f>
        <v>0</v>
      </c>
      <c r="D127" s="1637">
        <f>'Balanç de situació'!H29</f>
        <v>0</v>
      </c>
    </row>
    <row r="128" spans="1:4" ht="12.5" hidden="1" x14ac:dyDescent="0.25">
      <c r="A128" s="1636" t="s">
        <v>550</v>
      </c>
      <c r="B128" s="1637">
        <f>'Balanç de situació'!D30</f>
        <v>0</v>
      </c>
      <c r="C128" s="1637">
        <f>'Balanç de situació'!F30</f>
        <v>0</v>
      </c>
      <c r="D128" s="1637">
        <f>'Balanç de situació'!H30</f>
        <v>0</v>
      </c>
    </row>
    <row r="129" spans="1:4" ht="12.5" hidden="1" x14ac:dyDescent="0.25">
      <c r="A129" s="1636" t="s">
        <v>691</v>
      </c>
      <c r="B129" s="1637">
        <f>'Balanç de situació'!D31</f>
        <v>0</v>
      </c>
      <c r="C129" s="1637">
        <f>'Balanç de situació'!F31</f>
        <v>0</v>
      </c>
      <c r="D129" s="1637">
        <f>'Balanç de situació'!H31</f>
        <v>0</v>
      </c>
    </row>
    <row r="130" spans="1:4" ht="13" hidden="1" x14ac:dyDescent="0.3">
      <c r="A130" s="1635" t="s">
        <v>552</v>
      </c>
      <c r="B130" s="801">
        <f>B131</f>
        <v>0</v>
      </c>
      <c r="C130" s="801">
        <f>C131</f>
        <v>0</v>
      </c>
      <c r="D130" s="801">
        <f>D131</f>
        <v>0</v>
      </c>
    </row>
    <row r="131" spans="1:4" ht="12.5" hidden="1" x14ac:dyDescent="0.25">
      <c r="A131" s="1636" t="s">
        <v>553</v>
      </c>
      <c r="B131" s="1637">
        <f>'Balanç de situació'!D33</f>
        <v>0</v>
      </c>
      <c r="C131" s="1637">
        <f>'Balanç de situació'!F33</f>
        <v>0</v>
      </c>
      <c r="D131" s="1637">
        <f>'Balanç de situació'!H33</f>
        <v>0</v>
      </c>
    </row>
    <row r="132" spans="1:4" ht="13" hidden="1" x14ac:dyDescent="0.3">
      <c r="A132" s="1635" t="s">
        <v>554</v>
      </c>
      <c r="B132" s="801">
        <f>SUM(B133:B134)</f>
        <v>0</v>
      </c>
      <c r="C132" s="801">
        <f>SUM(C133:C134)</f>
        <v>0</v>
      </c>
      <c r="D132" s="801">
        <f>SUM(D133:D134)</f>
        <v>0</v>
      </c>
    </row>
    <row r="133" spans="1:4" ht="12.5" hidden="1" x14ac:dyDescent="0.25">
      <c r="A133" s="1636" t="s">
        <v>555</v>
      </c>
      <c r="B133" s="1637">
        <f>'Balanç de situació'!D35</f>
        <v>0</v>
      </c>
      <c r="C133" s="1637">
        <f>'Balanç de situació'!F35</f>
        <v>0</v>
      </c>
      <c r="D133" s="1637">
        <f>'Balanç de situació'!H35</f>
        <v>0</v>
      </c>
    </row>
    <row r="134" spans="1:4" ht="12.5" hidden="1" x14ac:dyDescent="0.25">
      <c r="A134" s="1636" t="s">
        <v>556</v>
      </c>
      <c r="B134" s="1637">
        <f>'Balanç de situació'!D36</f>
        <v>0</v>
      </c>
      <c r="C134" s="1637">
        <f>'Balanç de situació'!F36</f>
        <v>0</v>
      </c>
      <c r="D134" s="1637">
        <f>'Balanç de situació'!H36</f>
        <v>0</v>
      </c>
    </row>
    <row r="135" spans="1:4" ht="13" hidden="1" x14ac:dyDescent="0.3">
      <c r="A135" s="1635" t="s">
        <v>557</v>
      </c>
      <c r="B135" s="801">
        <f>B136</f>
        <v>0</v>
      </c>
      <c r="C135" s="801">
        <f>C136</f>
        <v>0</v>
      </c>
      <c r="D135" s="801">
        <f>D136</f>
        <v>0</v>
      </c>
    </row>
    <row r="136" spans="1:4" ht="12.5" hidden="1" x14ac:dyDescent="0.25">
      <c r="A136" s="1636" t="s">
        <v>30</v>
      </c>
      <c r="B136" s="1637">
        <f>'Balanç de situació'!D38</f>
        <v>0</v>
      </c>
      <c r="C136" s="1637">
        <f>'Balanç de situació'!F38</f>
        <v>0</v>
      </c>
      <c r="D136" s="1637">
        <f>'Balanç de situació'!H38</f>
        <v>0</v>
      </c>
    </row>
    <row r="137" spans="1:4" ht="13" hidden="1" x14ac:dyDescent="0.3">
      <c r="A137" s="1635" t="s">
        <v>692</v>
      </c>
      <c r="B137" s="801">
        <f>B101+B120+B122+B130+B132+B135</f>
        <v>0</v>
      </c>
      <c r="C137" s="801">
        <f>C101+C120+C122+C130+C132+C135</f>
        <v>0</v>
      </c>
      <c r="D137" s="801">
        <f>D101+D120+D122+D130+D132+D135</f>
        <v>0</v>
      </c>
    </row>
    <row r="138" spans="1:4" ht="12.5" hidden="1" x14ac:dyDescent="0.25">
      <c r="A138" s="90"/>
      <c r="B138" s="1215"/>
      <c r="C138" s="1215"/>
      <c r="D138" s="1215"/>
    </row>
    <row r="139" spans="1:4" ht="12.5" hidden="1" x14ac:dyDescent="0.25">
      <c r="A139" s="90"/>
      <c r="B139" s="1215"/>
      <c r="C139" s="1215"/>
      <c r="D139" s="1215"/>
    </row>
    <row r="140" spans="1:4" ht="13" hidden="1" x14ac:dyDescent="0.3">
      <c r="A140" s="1634" t="s">
        <v>559</v>
      </c>
      <c r="B140" s="1631" t="s">
        <v>68</v>
      </c>
      <c r="C140" s="1631" t="s">
        <v>69</v>
      </c>
      <c r="D140" s="1631" t="s">
        <v>70</v>
      </c>
    </row>
    <row r="141" spans="1:4" ht="13" hidden="1" x14ac:dyDescent="0.3">
      <c r="A141" s="1634" t="s">
        <v>560</v>
      </c>
      <c r="B141" s="801">
        <f>SUM(B142:B147)</f>
        <v>0</v>
      </c>
      <c r="C141" s="801">
        <f>SUM(C142:C147)</f>
        <v>0</v>
      </c>
      <c r="D141" s="801">
        <f>SUM(D142:D147)</f>
        <v>0</v>
      </c>
    </row>
    <row r="142" spans="1:4" ht="12.5" hidden="1" x14ac:dyDescent="0.25">
      <c r="A142" s="1638" t="s">
        <v>561</v>
      </c>
      <c r="B142" s="1637">
        <f>'Balanç de situació'!D45</f>
        <v>0</v>
      </c>
      <c r="C142" s="1637">
        <f>'Balanç de situació'!F45</f>
        <v>0</v>
      </c>
      <c r="D142" s="1637">
        <f>'Balanç de situació'!H45</f>
        <v>0</v>
      </c>
    </row>
    <row r="143" spans="1:4" ht="12.5" hidden="1" x14ac:dyDescent="0.25">
      <c r="A143" s="1638" t="s">
        <v>492</v>
      </c>
      <c r="B143" s="1637">
        <f>'Balanç de situació'!D46</f>
        <v>0</v>
      </c>
      <c r="C143" s="1637">
        <f>'Balanç de situació'!F46</f>
        <v>0</v>
      </c>
      <c r="D143" s="1637">
        <f>'Balanç de situació'!H46</f>
        <v>0</v>
      </c>
    </row>
    <row r="144" spans="1:4" ht="12.5" hidden="1" x14ac:dyDescent="0.25">
      <c r="A144" s="1638" t="s">
        <v>562</v>
      </c>
      <c r="B144" s="1637">
        <f>'Balanç de situació'!D47</f>
        <v>0</v>
      </c>
      <c r="C144" s="1637">
        <f>'Balanç de situació'!F47</f>
        <v>0</v>
      </c>
      <c r="D144" s="1637">
        <f>'Balanç de situació'!H47</f>
        <v>0</v>
      </c>
    </row>
    <row r="145" spans="1:4" ht="12.5" hidden="1" x14ac:dyDescent="0.25">
      <c r="A145" s="1638" t="s">
        <v>693</v>
      </c>
      <c r="B145" s="1637">
        <f>'Balanç de situació'!D48</f>
        <v>0</v>
      </c>
      <c r="C145" s="1637">
        <f>'Balanç de situació'!F48</f>
        <v>0</v>
      </c>
      <c r="D145" s="1637">
        <f>'Balanç de situació'!H48</f>
        <v>0</v>
      </c>
    </row>
    <row r="146" spans="1:4" ht="12.5" hidden="1" x14ac:dyDescent="0.25">
      <c r="A146" s="1638" t="s">
        <v>564</v>
      </c>
      <c r="B146" s="1637">
        <f>'Balanç de situació'!D49</f>
        <v>0</v>
      </c>
      <c r="C146" s="1637">
        <f>'Balanç de situació'!F49</f>
        <v>0</v>
      </c>
      <c r="D146" s="1637">
        <f>'Balanç de situació'!H49</f>
        <v>0</v>
      </c>
    </row>
    <row r="147" spans="1:4" ht="12.5" hidden="1" x14ac:dyDescent="0.25">
      <c r="A147" s="1638" t="s">
        <v>565</v>
      </c>
      <c r="B147" s="1637">
        <f>'Balanç de situació'!D50</f>
        <v>0</v>
      </c>
      <c r="C147" s="1637">
        <f>'Balanç de situació'!F50</f>
        <v>0</v>
      </c>
      <c r="D147" s="1637">
        <f>'Balanç de situació'!H50</f>
        <v>0</v>
      </c>
    </row>
    <row r="148" spans="1:4" ht="13" hidden="1" x14ac:dyDescent="0.3">
      <c r="A148" s="1634" t="s">
        <v>566</v>
      </c>
      <c r="B148" s="801">
        <f>SUM(B149:B150)</f>
        <v>0</v>
      </c>
      <c r="C148" s="801">
        <f>SUM(C149:C150)</f>
        <v>0</v>
      </c>
      <c r="D148" s="801">
        <f>SUM(D149:D150)</f>
        <v>0</v>
      </c>
    </row>
    <row r="149" spans="1:4" ht="12.5" hidden="1" x14ac:dyDescent="0.25">
      <c r="A149" s="1638" t="s">
        <v>694</v>
      </c>
      <c r="B149" s="1637">
        <f>'Balanç de situació'!D52</f>
        <v>0</v>
      </c>
      <c r="C149" s="1637">
        <f>'Balanç de situació'!F52</f>
        <v>0</v>
      </c>
      <c r="D149" s="1637">
        <f>'Balanç de situació'!H52</f>
        <v>0</v>
      </c>
    </row>
    <row r="150" spans="1:4" ht="12.5" hidden="1" x14ac:dyDescent="0.25">
      <c r="A150" s="1638" t="s">
        <v>568</v>
      </c>
      <c r="B150" s="1637">
        <f>'Balanç de situació'!D53</f>
        <v>0</v>
      </c>
      <c r="C150" s="1637">
        <f>'Balanç de situació'!F53</f>
        <v>0</v>
      </c>
      <c r="D150" s="1637">
        <f>'Balanç de situació'!H53</f>
        <v>0</v>
      </c>
    </row>
    <row r="151" spans="1:4" ht="13" hidden="1" x14ac:dyDescent="0.3">
      <c r="A151" s="1634" t="s">
        <v>569</v>
      </c>
      <c r="B151" s="801">
        <f>SUM(B152:B156)+B160+SUM(B163:B164)</f>
        <v>0</v>
      </c>
      <c r="C151" s="801">
        <f>SUM(C152:C156)+C160+SUM(C163:C164)</f>
        <v>0</v>
      </c>
      <c r="D151" s="801">
        <f>SUM(D152:D156)+D160+SUM(D163:D164)</f>
        <v>0</v>
      </c>
    </row>
    <row r="152" spans="1:4" ht="12.5" hidden="1" x14ac:dyDescent="0.25">
      <c r="A152" s="1638" t="s">
        <v>570</v>
      </c>
      <c r="B152" s="1637">
        <f>'Balanç de situació'!D55</f>
        <v>0</v>
      </c>
      <c r="C152" s="1637">
        <f>'Balanç de situació'!F55</f>
        <v>0</v>
      </c>
      <c r="D152" s="1637">
        <f>'Balanç de situació'!H55</f>
        <v>0</v>
      </c>
    </row>
    <row r="153" spans="1:4" ht="12.5" hidden="1" x14ac:dyDescent="0.25">
      <c r="A153" s="1638" t="s">
        <v>571</v>
      </c>
      <c r="B153" s="1637">
        <f>'Balanç de situació'!D56</f>
        <v>0</v>
      </c>
      <c r="C153" s="1637">
        <f>'Balanç de situació'!F56</f>
        <v>0</v>
      </c>
      <c r="D153" s="1637">
        <f>'Balanç de situació'!H56</f>
        <v>0</v>
      </c>
    </row>
    <row r="154" spans="1:4" ht="12.5" hidden="1" x14ac:dyDescent="0.25">
      <c r="A154" s="1638" t="s">
        <v>572</v>
      </c>
      <c r="B154" s="1637">
        <f>'Balanç de situació'!D57</f>
        <v>0</v>
      </c>
      <c r="C154" s="1637">
        <f>'Balanç de situació'!F57</f>
        <v>0</v>
      </c>
      <c r="D154" s="1637">
        <f>'Balanç de situació'!H57</f>
        <v>0</v>
      </c>
    </row>
    <row r="155" spans="1:4" ht="12.5" hidden="1" x14ac:dyDescent="0.25">
      <c r="A155" s="1638" t="s">
        <v>695</v>
      </c>
      <c r="B155" s="1637">
        <f>'Balanç de situació'!D58</f>
        <v>0</v>
      </c>
      <c r="C155" s="1637">
        <f>'Balanç de situació'!F58</f>
        <v>0</v>
      </c>
      <c r="D155" s="1637">
        <f>'Balanç de situació'!H58</f>
        <v>0</v>
      </c>
    </row>
    <row r="156" spans="1:4" ht="12.5" hidden="1" x14ac:dyDescent="0.25">
      <c r="A156" s="1638" t="s">
        <v>573</v>
      </c>
      <c r="B156" s="1637">
        <f>SUM(B157:B159)</f>
        <v>0</v>
      </c>
      <c r="C156" s="1637">
        <f>SUM(C157:C159)</f>
        <v>0</v>
      </c>
      <c r="D156" s="1637">
        <f>SUM(D157:D159)</f>
        <v>0</v>
      </c>
    </row>
    <row r="157" spans="1:4" hidden="1" x14ac:dyDescent="0.2">
      <c r="A157" s="1622" t="s">
        <v>574</v>
      </c>
      <c r="B157" s="1621">
        <f>'Balanç de situació'!D60</f>
        <v>0</v>
      </c>
      <c r="C157" s="1621">
        <f>'Balanç de situació'!F60</f>
        <v>0</v>
      </c>
      <c r="D157" s="1621">
        <f>'Balanç de situació'!H60</f>
        <v>0</v>
      </c>
    </row>
    <row r="158" spans="1:4" hidden="1" x14ac:dyDescent="0.2">
      <c r="A158" s="1622" t="s">
        <v>575</v>
      </c>
      <c r="B158" s="1621">
        <f>'Balanç de situació'!D61</f>
        <v>0</v>
      </c>
      <c r="C158" s="1621">
        <f>'Balanç de situació'!F61</f>
        <v>0</v>
      </c>
      <c r="D158" s="1621">
        <f>'Balanç de situació'!H61</f>
        <v>0</v>
      </c>
    </row>
    <row r="159" spans="1:4" hidden="1" x14ac:dyDescent="0.2">
      <c r="A159" s="1622" t="s">
        <v>576</v>
      </c>
      <c r="B159" s="1621">
        <f>'Balanç de situació'!D62</f>
        <v>0</v>
      </c>
      <c r="C159" s="1621">
        <f>'Balanç de situació'!F62</f>
        <v>0</v>
      </c>
      <c r="D159" s="1621">
        <f>'Balanç de situació'!H62</f>
        <v>0</v>
      </c>
    </row>
    <row r="160" spans="1:4" ht="12.5" hidden="1" x14ac:dyDescent="0.25">
      <c r="A160" s="1638" t="s">
        <v>577</v>
      </c>
      <c r="B160" s="1637">
        <f>SUM(B161:B162)</f>
        <v>0</v>
      </c>
      <c r="C160" s="1637">
        <f>SUM(C161:C162)</f>
        <v>0</v>
      </c>
      <c r="D160" s="1637">
        <f>SUM(D161:D162)</f>
        <v>0</v>
      </c>
    </row>
    <row r="161" spans="1:4" hidden="1" x14ac:dyDescent="0.2">
      <c r="A161" s="1622" t="s">
        <v>76</v>
      </c>
      <c r="B161" s="1621">
        <f>'Balanç de situació'!D64</f>
        <v>0</v>
      </c>
      <c r="C161" s="1621">
        <f>'Balanç de situació'!F64</f>
        <v>0</v>
      </c>
      <c r="D161" s="1621">
        <f>'Balanç de situació'!H64</f>
        <v>0</v>
      </c>
    </row>
    <row r="162" spans="1:4" hidden="1" x14ac:dyDescent="0.2">
      <c r="A162" s="1622" t="s">
        <v>75</v>
      </c>
      <c r="B162" s="1621">
        <f>'Balanç de situació'!D65</f>
        <v>0</v>
      </c>
      <c r="C162" s="1621">
        <f>'Balanç de situació'!F65</f>
        <v>0</v>
      </c>
      <c r="D162" s="1621">
        <f>'Balanç de situació'!H65</f>
        <v>0</v>
      </c>
    </row>
    <row r="163" spans="1:4" ht="12.5" hidden="1" x14ac:dyDescent="0.25">
      <c r="A163" s="1638" t="s">
        <v>578</v>
      </c>
      <c r="B163" s="1637">
        <f>'Balanç de situació'!D66</f>
        <v>0</v>
      </c>
      <c r="C163" s="1637">
        <f>'Balanç de situació'!F66</f>
        <v>0</v>
      </c>
      <c r="D163" s="1637">
        <f>'Balanç de situació'!H66</f>
        <v>0</v>
      </c>
    </row>
    <row r="164" spans="1:4" ht="12.5" hidden="1" x14ac:dyDescent="0.25">
      <c r="A164" s="1638" t="s">
        <v>555</v>
      </c>
      <c r="B164" s="1637">
        <f>'Balanç de situació'!D67</f>
        <v>0</v>
      </c>
      <c r="C164" s="1637">
        <f>'Balanç de situació'!F67</f>
        <v>0</v>
      </c>
      <c r="D164" s="1637">
        <f>'Balanç de situació'!H67</f>
        <v>0</v>
      </c>
    </row>
    <row r="165" spans="1:4" ht="13" hidden="1" x14ac:dyDescent="0.3">
      <c r="A165" s="1634" t="s">
        <v>696</v>
      </c>
      <c r="B165" s="801">
        <f>B141+B148+B151</f>
        <v>0</v>
      </c>
      <c r="C165" s="801">
        <f>C141+C148+C151</f>
        <v>0</v>
      </c>
      <c r="D165" s="801">
        <f>D141+D148+D151</f>
        <v>0</v>
      </c>
    </row>
    <row r="166" spans="1:4" hidden="1" x14ac:dyDescent="0.2">
      <c r="B166" s="1639"/>
      <c r="C166" s="1639"/>
      <c r="D166" s="1639"/>
    </row>
    <row r="167" spans="1:4" ht="13" hidden="1" x14ac:dyDescent="0.3">
      <c r="B167" s="801" t="s">
        <v>68</v>
      </c>
      <c r="C167" s="801" t="s">
        <v>69</v>
      </c>
      <c r="D167" s="801" t="s">
        <v>70</v>
      </c>
    </row>
    <row r="168" spans="1:4" hidden="1" x14ac:dyDescent="0.2">
      <c r="A168" s="1640" t="s">
        <v>697</v>
      </c>
      <c r="B168" s="1621">
        <f>B135+B132+B130+B122+B120</f>
        <v>0</v>
      </c>
      <c r="C168" s="1621">
        <f>C135+C132+C130+C122+C120</f>
        <v>0</v>
      </c>
      <c r="D168" s="1621">
        <f>D135+D132+D130+D122+D120</f>
        <v>0</v>
      </c>
    </row>
    <row r="169" spans="1:4" hidden="1" x14ac:dyDescent="0.2">
      <c r="A169" s="1640" t="s">
        <v>698</v>
      </c>
      <c r="B169" s="1621">
        <f>B151</f>
        <v>0</v>
      </c>
      <c r="C169" s="1621">
        <f>C151</f>
        <v>0</v>
      </c>
      <c r="D169" s="1621">
        <f>D151</f>
        <v>0</v>
      </c>
    </row>
    <row r="170" spans="1:4" hidden="1" x14ac:dyDescent="0.2">
      <c r="A170" s="1640" t="s">
        <v>699</v>
      </c>
      <c r="B170" s="1621">
        <f>B137-B168</f>
        <v>0</v>
      </c>
      <c r="C170" s="1621">
        <f>C137-C168</f>
        <v>0</v>
      </c>
      <c r="D170" s="1621">
        <f>D137-D168</f>
        <v>0</v>
      </c>
    </row>
    <row r="171" spans="1:4" hidden="1" x14ac:dyDescent="0.2">
      <c r="A171" s="1640" t="s">
        <v>700</v>
      </c>
      <c r="B171" s="1621">
        <f>B148</f>
        <v>0</v>
      </c>
      <c r="C171" s="1621">
        <f>C148</f>
        <v>0</v>
      </c>
      <c r="D171" s="1621">
        <f>D148</f>
        <v>0</v>
      </c>
    </row>
    <row r="172" spans="1:4" hidden="1" x14ac:dyDescent="0.2">
      <c r="A172" s="1640" t="s">
        <v>701</v>
      </c>
      <c r="B172" s="1621">
        <f>B141</f>
        <v>0</v>
      </c>
      <c r="C172" s="1621">
        <f>C141</f>
        <v>0</v>
      </c>
      <c r="D172" s="1621">
        <f>D141</f>
        <v>0</v>
      </c>
    </row>
    <row r="173" spans="1:4" hidden="1" x14ac:dyDescent="0.2">
      <c r="A173" s="1640" t="s">
        <v>702</v>
      </c>
      <c r="B173" s="1621">
        <f>B172+B171</f>
        <v>0</v>
      </c>
      <c r="C173" s="1621">
        <f>C172+C171</f>
        <v>0</v>
      </c>
      <c r="D173" s="1621">
        <f>D172+D171</f>
        <v>0</v>
      </c>
    </row>
    <row r="174" spans="1:4" hidden="1" x14ac:dyDescent="0.2"/>
    <row r="175" spans="1:4" ht="5.15" hidden="1" customHeight="1" x14ac:dyDescent="0.2">
      <c r="A175" s="1632"/>
      <c r="B175" s="1633"/>
      <c r="C175" s="1633"/>
      <c r="D175" s="1633"/>
    </row>
    <row r="176" spans="1:4" hidden="1" x14ac:dyDescent="0.2"/>
    <row r="177" spans="1:4" ht="13" hidden="1" x14ac:dyDescent="0.3">
      <c r="B177" s="801" t="s">
        <v>68</v>
      </c>
      <c r="C177" s="801" t="s">
        <v>69</v>
      </c>
      <c r="D177" s="801" t="s">
        <v>70</v>
      </c>
    </row>
    <row r="178" spans="1:4" s="1092" customFormat="1" ht="13" hidden="1" x14ac:dyDescent="0.3">
      <c r="A178" s="14" t="s">
        <v>58</v>
      </c>
      <c r="B178" s="1641"/>
      <c r="C178" s="1641"/>
      <c r="D178" s="1641"/>
    </row>
    <row r="179" spans="1:4" ht="12.5" hidden="1" x14ac:dyDescent="0.25">
      <c r="A179" s="1642" t="s">
        <v>511</v>
      </c>
      <c r="B179" s="1637">
        <f>'Resultats per mesos'!I29</f>
        <v>0</v>
      </c>
      <c r="C179" s="1637">
        <f>'Resultats per mesos'!I76</f>
        <v>0</v>
      </c>
      <c r="D179" s="1637">
        <f>'Resultats per mesos'!I123</f>
        <v>0</v>
      </c>
    </row>
    <row r="180" spans="1:4" ht="12.5" hidden="1" x14ac:dyDescent="0.25">
      <c r="A180" s="1642" t="s">
        <v>512</v>
      </c>
      <c r="B180" s="1637">
        <f>'Resultats per mesos'!I30</f>
        <v>0</v>
      </c>
      <c r="C180" s="1637">
        <f>'Resultats per mesos'!I77</f>
        <v>0</v>
      </c>
      <c r="D180" s="1637">
        <f>'Resultats per mesos'!I124</f>
        <v>0</v>
      </c>
    </row>
    <row r="181" spans="1:4" ht="12.5" hidden="1" x14ac:dyDescent="0.25">
      <c r="A181" s="1642" t="s">
        <v>513</v>
      </c>
      <c r="B181" s="1637">
        <f>'Resultats per mesos'!I31</f>
        <v>0</v>
      </c>
      <c r="C181" s="1637">
        <f>'Resultats per mesos'!I78</f>
        <v>0</v>
      </c>
      <c r="D181" s="1637">
        <f>'Resultats per mesos'!I125</f>
        <v>0</v>
      </c>
    </row>
    <row r="182" spans="1:4" ht="12.5" hidden="1" x14ac:dyDescent="0.25">
      <c r="A182" s="1642" t="s">
        <v>437</v>
      </c>
      <c r="B182" s="1637">
        <f>'Resultats per mesos'!I32</f>
        <v>0</v>
      </c>
      <c r="C182" s="1637">
        <f>'Resultats per mesos'!I79</f>
        <v>0</v>
      </c>
      <c r="D182" s="1637">
        <f>'Resultats per mesos'!I126</f>
        <v>0</v>
      </c>
    </row>
    <row r="183" spans="1:4" s="1092" customFormat="1" ht="13" hidden="1" x14ac:dyDescent="0.3">
      <c r="A183" s="14" t="s">
        <v>514</v>
      </c>
      <c r="B183" s="801">
        <f>SUM(B179:B182)</f>
        <v>0</v>
      </c>
      <c r="C183" s="801">
        <f>SUM(C179:C182)</f>
        <v>0</v>
      </c>
      <c r="D183" s="801">
        <f>SUM(D179:D182)</f>
        <v>0</v>
      </c>
    </row>
    <row r="184" spans="1:4" s="1092" customFormat="1" ht="13" hidden="1" x14ac:dyDescent="0.3">
      <c r="A184" s="14" t="s">
        <v>59</v>
      </c>
      <c r="B184" s="801"/>
      <c r="C184" s="801"/>
      <c r="D184" s="801"/>
    </row>
    <row r="185" spans="1:4" ht="12.5" hidden="1" x14ac:dyDescent="0.25">
      <c r="A185" s="1642" t="s">
        <v>703</v>
      </c>
      <c r="B185" s="1637">
        <f>'Resultats per mesos'!I35</f>
        <v>0</v>
      </c>
      <c r="C185" s="1637">
        <f>'Resultats per mesos'!I82</f>
        <v>0</v>
      </c>
      <c r="D185" s="1637">
        <f>'Resultats per mesos'!I129</f>
        <v>0</v>
      </c>
    </row>
    <row r="186" spans="1:4" ht="12.5" hidden="1" x14ac:dyDescent="0.25">
      <c r="A186" s="1642" t="s">
        <v>31</v>
      </c>
      <c r="B186" s="1637">
        <f>'Resultats per mesos'!I36</f>
        <v>0</v>
      </c>
      <c r="C186" s="1637">
        <f>'Resultats per mesos'!I83</f>
        <v>0</v>
      </c>
      <c r="D186" s="1637">
        <f>'Resultats per mesos'!I130</f>
        <v>0</v>
      </c>
    </row>
    <row r="187" spans="1:4" ht="12.5" hidden="1" x14ac:dyDescent="0.25">
      <c r="A187" s="1642" t="s">
        <v>444</v>
      </c>
      <c r="B187" s="1637">
        <f>'Resultats per mesos'!I38</f>
        <v>0</v>
      </c>
      <c r="C187" s="1637">
        <f>'Resultats per mesos'!I85</f>
        <v>0</v>
      </c>
      <c r="D187" s="1637">
        <f>'Resultats per mesos'!I132</f>
        <v>0</v>
      </c>
    </row>
    <row r="188" spans="1:4" ht="12.5" hidden="1" x14ac:dyDescent="0.25">
      <c r="A188" s="1642" t="s">
        <v>516</v>
      </c>
      <c r="B188" s="1637">
        <f>'Resultats per mesos'!I46</f>
        <v>0</v>
      </c>
      <c r="C188" s="1637">
        <f>'Resultats per mesos'!I93</f>
        <v>0</v>
      </c>
      <c r="D188" s="1637">
        <f>'Resultats per mesos'!I140</f>
        <v>0</v>
      </c>
    </row>
    <row r="189" spans="1:4" ht="12.5" hidden="1" x14ac:dyDescent="0.25">
      <c r="A189" s="1642" t="s">
        <v>454</v>
      </c>
      <c r="B189" s="1637">
        <f>'Resultats per mesos'!I39</f>
        <v>0</v>
      </c>
      <c r="C189" s="1637">
        <f>'Resultats per mesos'!I86</f>
        <v>0</v>
      </c>
      <c r="D189" s="1637">
        <f>'Resultats per mesos'!I133</f>
        <v>0</v>
      </c>
    </row>
    <row r="190" spans="1:4" ht="12.5" hidden="1" x14ac:dyDescent="0.25">
      <c r="A190" s="1642" t="s">
        <v>517</v>
      </c>
      <c r="B190" s="1637">
        <f>'Resultats per mesos'!I44</f>
        <v>0</v>
      </c>
      <c r="C190" s="1637">
        <f>'Resultats per mesos'!I91</f>
        <v>0</v>
      </c>
      <c r="D190" s="1637">
        <f>'Resultats per mesos'!I138</f>
        <v>0</v>
      </c>
    </row>
    <row r="191" spans="1:4" ht="12.5" hidden="1" x14ac:dyDescent="0.25">
      <c r="A191" s="1642" t="s">
        <v>35</v>
      </c>
      <c r="B191" s="1637">
        <f>'Resultats per mesos'!I41</f>
        <v>0</v>
      </c>
      <c r="C191" s="1637">
        <f>'Resultats per mesos'!I88</f>
        <v>0</v>
      </c>
      <c r="D191" s="1637">
        <f>'Resultats per mesos'!I135</f>
        <v>0</v>
      </c>
    </row>
    <row r="192" spans="1:4" ht="12.5" hidden="1" x14ac:dyDescent="0.25">
      <c r="A192" s="1642" t="s">
        <v>518</v>
      </c>
      <c r="B192" s="1637">
        <f>'Resultats per mesos'!I42</f>
        <v>0</v>
      </c>
      <c r="C192" s="1637">
        <f>'Resultats per mesos'!I89</f>
        <v>0</v>
      </c>
      <c r="D192" s="1637">
        <f>'Resultats per mesos'!I136</f>
        <v>0</v>
      </c>
    </row>
    <row r="193" spans="1:4" s="1092" customFormat="1" ht="13" hidden="1" x14ac:dyDescent="0.3">
      <c r="A193" s="14" t="s">
        <v>519</v>
      </c>
      <c r="B193" s="801">
        <f>SUM(B185:B192)</f>
        <v>0</v>
      </c>
      <c r="C193" s="801">
        <f>SUM(C185:C192)</f>
        <v>0</v>
      </c>
      <c r="D193" s="801">
        <f>SUM(D185:D192)</f>
        <v>0</v>
      </c>
    </row>
    <row r="194" spans="1:4" s="1092" customFormat="1" ht="13" hidden="1" x14ac:dyDescent="0.3">
      <c r="A194" s="1643" t="s">
        <v>704</v>
      </c>
      <c r="B194" s="1120">
        <f>B183-B193</f>
        <v>0</v>
      </c>
      <c r="C194" s="1120">
        <f>C183-C193</f>
        <v>0</v>
      </c>
      <c r="D194" s="1120">
        <f>D183-D193</f>
        <v>0</v>
      </c>
    </row>
    <row r="195" spans="1:4" ht="12.5" hidden="1" x14ac:dyDescent="0.25">
      <c r="A195" s="1642" t="s">
        <v>705</v>
      </c>
      <c r="B195" s="1637">
        <f>IF(B194&gt;0,B194*35%,0)</f>
        <v>0</v>
      </c>
      <c r="C195" s="1637">
        <f>IF(C194+B194&gt;0,(C194+B194)*35%-B195,0)</f>
        <v>0</v>
      </c>
      <c r="D195" s="1637">
        <f>IF(D194+C194+B194&gt;0,(D194+C194+B194)*35%-C195-B195,0)</f>
        <v>0</v>
      </c>
    </row>
    <row r="196" spans="1:4" ht="13" hidden="1" x14ac:dyDescent="0.3">
      <c r="A196" s="1643" t="s">
        <v>633</v>
      </c>
      <c r="B196" s="1120">
        <f>B194-B195</f>
        <v>0</v>
      </c>
      <c r="C196" s="1120">
        <f>C194-C195</f>
        <v>0</v>
      </c>
      <c r="D196" s="1120">
        <f>D194-D195</f>
        <v>0</v>
      </c>
    </row>
    <row r="197" spans="1:4" hidden="1" x14ac:dyDescent="0.2"/>
    <row r="198" spans="1:4" ht="12.75" hidden="1" customHeight="1" x14ac:dyDescent="0.2">
      <c r="A198" s="1632"/>
      <c r="B198" s="1633"/>
      <c r="C198" s="1633"/>
      <c r="D198" s="1633"/>
    </row>
    <row r="199" spans="1:4" hidden="1" x14ac:dyDescent="0.2"/>
    <row r="200" spans="1:4" ht="13" hidden="1" x14ac:dyDescent="0.3">
      <c r="A200" s="1873" t="s">
        <v>706</v>
      </c>
      <c r="B200" s="1873"/>
    </row>
    <row r="201" spans="1:4" hidden="1" x14ac:dyDescent="0.2"/>
    <row r="202" spans="1:4" s="7" customFormat="1" ht="13" hidden="1" x14ac:dyDescent="0.3">
      <c r="A202" s="1435" t="s">
        <v>58</v>
      </c>
      <c r="B202" s="1637">
        <f>SUM(B179:B181)</f>
        <v>0</v>
      </c>
      <c r="C202" s="1637">
        <f>SUM(C179:C181)</f>
        <v>0</v>
      </c>
      <c r="D202" s="1637">
        <f>SUM(D179:D181)</f>
        <v>0</v>
      </c>
    </row>
    <row r="203" spans="1:4" s="7" customFormat="1" ht="13" hidden="1" x14ac:dyDescent="0.3">
      <c r="A203" s="1435" t="s">
        <v>707</v>
      </c>
      <c r="B203" s="1637">
        <f>'Anàlisi bàsica'!B6</f>
        <v>0</v>
      </c>
      <c r="C203" s="1637">
        <f>'Anàlisi bàsica'!C6</f>
        <v>0</v>
      </c>
      <c r="D203" s="1637">
        <f>'Anàlisi bàsica'!D6</f>
        <v>0</v>
      </c>
    </row>
    <row r="204" spans="1:4" s="7" customFormat="1" ht="13" hidden="1" x14ac:dyDescent="0.3">
      <c r="A204" s="370" t="s">
        <v>708</v>
      </c>
      <c r="B204" s="1644">
        <f>B202-B203</f>
        <v>0</v>
      </c>
      <c r="C204" s="1644">
        <f>C202-C203</f>
        <v>0</v>
      </c>
      <c r="D204" s="1644">
        <f>D202-D203</f>
        <v>0</v>
      </c>
    </row>
    <row r="205" spans="1:4" s="7" customFormat="1" ht="13" hidden="1" x14ac:dyDescent="0.3">
      <c r="A205" s="1435" t="s">
        <v>709</v>
      </c>
      <c r="B205" s="1637">
        <f>'Anàlisi bàsica'!B9-B190</f>
        <v>0</v>
      </c>
      <c r="C205" s="1637">
        <f>'Anàlisi bàsica'!C9-C190</f>
        <v>0</v>
      </c>
      <c r="D205" s="1637">
        <f>'Anàlisi bàsica'!D9-D190</f>
        <v>0</v>
      </c>
    </row>
    <row r="206" spans="1:4" s="7" customFormat="1" ht="13" hidden="1" x14ac:dyDescent="0.3">
      <c r="A206" s="370" t="s">
        <v>710</v>
      </c>
      <c r="B206" s="1644">
        <f>B204-B205</f>
        <v>0</v>
      </c>
      <c r="C206" s="1644">
        <f>C204-C205</f>
        <v>0</v>
      </c>
      <c r="D206" s="1644">
        <f>D204-D205</f>
        <v>0</v>
      </c>
    </row>
    <row r="207" spans="1:4" s="7" customFormat="1" ht="13" hidden="1" x14ac:dyDescent="0.3">
      <c r="A207" s="1435" t="s">
        <v>711</v>
      </c>
      <c r="B207" s="1637">
        <f>B182-B190</f>
        <v>0</v>
      </c>
      <c r="C207" s="1637">
        <f>C182-C190</f>
        <v>0</v>
      </c>
      <c r="D207" s="1637">
        <f>D182-D190</f>
        <v>0</v>
      </c>
    </row>
    <row r="208" spans="1:4" s="7" customFormat="1" ht="13" hidden="1" x14ac:dyDescent="0.3">
      <c r="A208" s="370" t="s">
        <v>712</v>
      </c>
      <c r="B208" s="1644">
        <f>B206+B207</f>
        <v>0</v>
      </c>
      <c r="C208" s="1644">
        <f>C206+C207</f>
        <v>0</v>
      </c>
      <c r="D208" s="1644">
        <f>D206+D207</f>
        <v>0</v>
      </c>
    </row>
    <row r="209" spans="1:4" s="7" customFormat="1" ht="13" hidden="1" x14ac:dyDescent="0.3">
      <c r="A209" s="1435" t="s">
        <v>705</v>
      </c>
      <c r="B209" s="1637">
        <f>IF(B208&gt;0,B208*35%,0)</f>
        <v>0</v>
      </c>
      <c r="C209" s="1637">
        <f>IF(C208&gt;0,C208*35%,0)</f>
        <v>0</v>
      </c>
      <c r="D209" s="1637">
        <f>IF(D208&gt;0,D208*35%,0)</f>
        <v>0</v>
      </c>
    </row>
    <row r="210" spans="1:4" s="7" customFormat="1" ht="13" hidden="1" x14ac:dyDescent="0.3">
      <c r="A210" s="370" t="s">
        <v>713</v>
      </c>
      <c r="B210" s="1644">
        <f>B208-B209</f>
        <v>0</v>
      </c>
      <c r="C210" s="1644">
        <f>C208-C209</f>
        <v>0</v>
      </c>
      <c r="D210" s="1644">
        <f>D208-D209</f>
        <v>0</v>
      </c>
    </row>
    <row r="211" spans="1:4" x14ac:dyDescent="0.2">
      <c r="B211" s="1645"/>
      <c r="C211" s="1645"/>
      <c r="D211" s="1645"/>
    </row>
  </sheetData>
  <sheetProtection password="CC2F" sheet="1" objects="1" scenarios="1"/>
  <mergeCells count="3">
    <mergeCell ref="A39:D39"/>
    <mergeCell ref="A70:D70"/>
    <mergeCell ref="A200:B200"/>
  </mergeCells>
  <phoneticPr fontId="22" type="noConversion"/>
  <printOptions horizontalCentered="1"/>
  <pageMargins left="0.39374999999999999" right="0.39374999999999999" top="0.98402777777777772" bottom="0.78749999999999998" header="0.39374999999999999" footer="0.51180555555555562"/>
  <pageSetup paperSize="9" scale="90" firstPageNumber="0" orientation="portrait" horizontalDpi="300" verticalDpi="300" r:id="rId1"/>
  <headerFooter alignWithMargins="0">
    <oddHeader>&amp;L&amp;"Arial,Negrita"&amp;13&amp;A</oddHeader>
  </headerFooter>
  <rowBreaks count="1" manualBreakCount="1">
    <brk id="6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1749" r:id="rId4" name="Button 5">
              <controlPr defaultSize="0" autoFill="0" autoLine="0" autoPict="0">
                <anchor moveWithCells="1" sizeWithCells="1">
                  <from>
                    <xdr:col>1</xdr:col>
                    <xdr:colOff>107950</xdr:colOff>
                    <xdr:row>0</xdr:row>
                    <xdr:rowOff>12700</xdr:rowOff>
                  </from>
                  <to>
                    <xdr:col>2</xdr:col>
                    <xdr:colOff>241300</xdr:colOff>
                    <xdr:row>1</xdr:row>
                    <xdr:rowOff>76200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8"/>
  <dimension ref="B3:F12"/>
  <sheetViews>
    <sheetView workbookViewId="0">
      <selection activeCell="C200" sqref="C200"/>
    </sheetView>
  </sheetViews>
  <sheetFormatPr defaultColWidth="11.453125" defaultRowHeight="12.5" x14ac:dyDescent="0.25"/>
  <sheetData>
    <row r="3" spans="2:6" ht="13" x14ac:dyDescent="0.3">
      <c r="B3" s="1780"/>
      <c r="C3" s="1780"/>
      <c r="D3" s="27" t="s">
        <v>68</v>
      </c>
      <c r="E3" s="28" t="s">
        <v>69</v>
      </c>
      <c r="F3" s="28" t="s">
        <v>70</v>
      </c>
    </row>
    <row r="4" spans="2:6" ht="13" x14ac:dyDescent="0.3">
      <c r="B4" s="1781" t="s">
        <v>71</v>
      </c>
      <c r="C4" s="1781"/>
      <c r="D4" s="29">
        <f>ROUND('Balanç de situació'!D68-'Balanç de situació'!D39,0)</f>
        <v>0</v>
      </c>
      <c r="E4" s="29">
        <f>ROUND('Balanç de situació'!F68-'Balanç de situació'!F39,0)</f>
        <v>0</v>
      </c>
      <c r="F4" s="29">
        <f>ROUND('Balanç de situació'!H68-'Balanç de situació'!H39,0)</f>
        <v>0</v>
      </c>
    </row>
    <row r="5" spans="2:6" ht="13" x14ac:dyDescent="0.3">
      <c r="B5" s="1781" t="s">
        <v>72</v>
      </c>
      <c r="C5" s="1781"/>
      <c r="D5" s="29">
        <f>TRESORERIA!R6</f>
        <v>0</v>
      </c>
      <c r="E5" s="29">
        <f>TRESORERIA!R92</f>
        <v>0</v>
      </c>
      <c r="F5" s="29">
        <f>TRESORERIA!R177</f>
        <v>0</v>
      </c>
    </row>
    <row r="8" spans="2:6" ht="13" x14ac:dyDescent="0.3">
      <c r="C8" s="1782" t="s">
        <v>73</v>
      </c>
      <c r="D8" s="1782"/>
      <c r="E8" s="1782"/>
      <c r="F8" s="1782"/>
    </row>
    <row r="9" spans="2:6" ht="13" x14ac:dyDescent="0.3">
      <c r="B9" s="26"/>
      <c r="C9" s="31" t="s">
        <v>74</v>
      </c>
      <c r="D9" s="31" t="s">
        <v>75</v>
      </c>
      <c r="E9" s="31" t="s">
        <v>76</v>
      </c>
      <c r="F9" s="32" t="s">
        <v>77</v>
      </c>
    </row>
    <row r="10" spans="2:6" ht="13" x14ac:dyDescent="0.3">
      <c r="B10" s="30" t="s">
        <v>68</v>
      </c>
      <c r="C10" s="33">
        <f>VARIABLES!B4*VARIABLES!C4</f>
        <v>0</v>
      </c>
      <c r="D10" s="33">
        <f>PROMOTORS!M14</f>
        <v>0</v>
      </c>
      <c r="E10" s="33">
        <f>PERSONAL!H16</f>
        <v>0</v>
      </c>
      <c r="F10" s="33">
        <f>SUM(C10:E10)</f>
        <v>0</v>
      </c>
    </row>
    <row r="11" spans="2:6" ht="13" x14ac:dyDescent="0.3">
      <c r="B11" s="30" t="s">
        <v>69</v>
      </c>
      <c r="C11" s="33">
        <f>VARIABLES!B66*VARIABLES!C66</f>
        <v>0</v>
      </c>
      <c r="D11" s="33">
        <f>PROMOTORS!M115</f>
        <v>0</v>
      </c>
      <c r="E11" s="33">
        <f>PERSONAL!H113</f>
        <v>0</v>
      </c>
      <c r="F11" s="33">
        <f>SUM(C11:E11)</f>
        <v>0</v>
      </c>
    </row>
    <row r="12" spans="2:6" ht="13" x14ac:dyDescent="0.3">
      <c r="B12" s="30" t="s">
        <v>70</v>
      </c>
      <c r="C12" s="33">
        <f>VARIABLES!B132*VARIABLES!C132</f>
        <v>0</v>
      </c>
      <c r="D12" s="33">
        <f>PROMOTORS!M216</f>
        <v>0</v>
      </c>
      <c r="E12" s="33">
        <f>PERSONAL!H210</f>
        <v>0</v>
      </c>
      <c r="F12" s="33">
        <f>SUM(C12:E12)</f>
        <v>0</v>
      </c>
    </row>
  </sheetData>
  <sheetProtection sheet="1" objects="1" scenarios="1"/>
  <mergeCells count="4">
    <mergeCell ref="B3:C3"/>
    <mergeCell ref="B4:C4"/>
    <mergeCell ref="B5:C5"/>
    <mergeCell ref="C8:F8"/>
  </mergeCells>
  <phoneticPr fontId="22" type="noConversion"/>
  <conditionalFormatting sqref="D4:F5">
    <cfRule type="cellIs" dxfId="41" priority="1" stopIfTrue="1" operator="notBetween">
      <formula>-0.5</formula>
      <formula>0.5</formula>
    </cfRule>
  </conditionalFormatting>
  <conditionalFormatting sqref="F10:F12">
    <cfRule type="cellIs" dxfId="40" priority="2" stopIfTrue="1" operator="greaterThan">
      <formula>1</formula>
    </cfRule>
  </conditionalFormatting>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2">
    <pageSetUpPr fitToPage="1"/>
  </sheetPr>
  <dimension ref="A1:X460"/>
  <sheetViews>
    <sheetView topLeftCell="A4" workbookViewId="0">
      <selection activeCell="E398" sqref="E398"/>
    </sheetView>
  </sheetViews>
  <sheetFormatPr defaultColWidth="11.453125" defaultRowHeight="12.5" x14ac:dyDescent="0.25"/>
  <cols>
    <col min="1" max="1" width="4.1796875" customWidth="1"/>
    <col min="2" max="2" width="42.81640625" customWidth="1"/>
    <col min="3" max="6" width="15.7265625" customWidth="1"/>
    <col min="7" max="7" width="17.453125" customWidth="1"/>
    <col min="8" max="9" width="0" hidden="1" customWidth="1"/>
    <col min="10" max="10" width="15.7265625" customWidth="1"/>
    <col min="11" max="11" width="9" customWidth="1"/>
    <col min="12" max="14" width="0" hidden="1" customWidth="1"/>
    <col min="15" max="15" width="7.81640625" customWidth="1"/>
    <col min="16" max="20" width="0" hidden="1" customWidth="1"/>
    <col min="22" max="22" width="10.81640625" customWidth="1"/>
    <col min="23" max="24" width="0" hidden="1" customWidth="1"/>
  </cols>
  <sheetData>
    <row r="1" spans="1:14" x14ac:dyDescent="0.25">
      <c r="A1" s="34"/>
      <c r="B1" s="35"/>
      <c r="C1" s="35"/>
      <c r="D1" s="35"/>
      <c r="E1" s="35"/>
      <c r="F1" s="35"/>
      <c r="G1" s="35"/>
      <c r="H1" s="35"/>
      <c r="I1" s="35"/>
      <c r="J1" s="35"/>
    </row>
    <row r="2" spans="1:14" x14ac:dyDescent="0.25">
      <c r="A2" s="36"/>
      <c r="B2" s="37"/>
      <c r="C2" s="37"/>
      <c r="D2" s="37"/>
      <c r="E2" s="37"/>
      <c r="F2" s="37"/>
      <c r="G2" s="37"/>
      <c r="H2" s="37"/>
      <c r="I2" s="37"/>
      <c r="J2" s="37"/>
      <c r="L2" s="21" t="s">
        <v>5</v>
      </c>
      <c r="M2" s="21" t="s">
        <v>78</v>
      </c>
      <c r="N2" s="21" t="s">
        <v>79</v>
      </c>
    </row>
    <row r="3" spans="1:14" ht="15.5" x14ac:dyDescent="0.35">
      <c r="A3" s="36"/>
      <c r="B3" s="38" t="s">
        <v>80</v>
      </c>
      <c r="C3" s="39" t="s">
        <v>81</v>
      </c>
      <c r="D3" s="40"/>
      <c r="E3" s="41"/>
      <c r="F3" s="37"/>
      <c r="G3" s="37"/>
      <c r="H3" s="37"/>
      <c r="I3" s="37"/>
      <c r="J3" s="37"/>
      <c r="L3" s="21" t="s">
        <v>6</v>
      </c>
      <c r="M3" s="21" t="s">
        <v>82</v>
      </c>
      <c r="N3" s="21" t="s">
        <v>83</v>
      </c>
    </row>
    <row r="4" spans="1:14" x14ac:dyDescent="0.25">
      <c r="A4" s="36"/>
      <c r="B4" s="37"/>
      <c r="C4" s="37"/>
      <c r="D4" s="37"/>
      <c r="E4" s="37"/>
      <c r="F4" s="37"/>
      <c r="G4" s="37"/>
      <c r="H4" s="37"/>
      <c r="I4" s="37"/>
      <c r="J4" s="37"/>
      <c r="L4" s="21" t="s">
        <v>7</v>
      </c>
      <c r="N4" s="21" t="s">
        <v>82</v>
      </c>
    </row>
    <row r="5" spans="1:14" ht="15.5" x14ac:dyDescent="0.35">
      <c r="A5" s="42">
        <v>1</v>
      </c>
      <c r="B5" s="43" t="s">
        <v>84</v>
      </c>
      <c r="C5" s="37"/>
      <c r="D5" s="44"/>
      <c r="E5" s="37"/>
      <c r="F5" s="37"/>
      <c r="G5" s="37"/>
      <c r="H5" s="37"/>
      <c r="I5" s="37"/>
      <c r="J5" s="37"/>
      <c r="L5" s="21" t="s">
        <v>8</v>
      </c>
    </row>
    <row r="6" spans="1:14" ht="12.75" customHeight="1" x14ac:dyDescent="0.35">
      <c r="A6" s="36"/>
      <c r="B6" s="45"/>
      <c r="C6" s="46"/>
      <c r="D6" s="46"/>
      <c r="E6" s="46"/>
      <c r="F6" s="46"/>
      <c r="G6" s="46"/>
      <c r="H6" s="46"/>
      <c r="I6" s="46"/>
      <c r="J6" s="47"/>
      <c r="L6" s="21" t="s">
        <v>9</v>
      </c>
    </row>
    <row r="7" spans="1:14" ht="13" x14ac:dyDescent="0.3">
      <c r="A7" s="36"/>
      <c r="B7" s="48" t="s">
        <v>3</v>
      </c>
      <c r="C7" s="49">
        <v>2007</v>
      </c>
      <c r="D7" s="50"/>
      <c r="E7" s="51"/>
      <c r="F7" s="51"/>
      <c r="G7" s="51"/>
      <c r="H7" s="51"/>
      <c r="I7" s="51"/>
      <c r="J7" s="52"/>
      <c r="L7" s="21" t="s">
        <v>10</v>
      </c>
    </row>
    <row r="8" spans="1:14" ht="13" x14ac:dyDescent="0.3">
      <c r="A8" s="36"/>
      <c r="B8" s="48" t="s">
        <v>4</v>
      </c>
      <c r="C8" s="49">
        <v>1</v>
      </c>
      <c r="D8" s="50"/>
      <c r="E8" s="53"/>
      <c r="F8" s="51"/>
      <c r="G8" s="51"/>
      <c r="H8" s="51"/>
      <c r="I8" s="51"/>
      <c r="J8" s="52"/>
      <c r="L8" s="21" t="s">
        <v>11</v>
      </c>
    </row>
    <row r="9" spans="1:14" ht="12.75" customHeight="1" x14ac:dyDescent="0.35">
      <c r="A9" s="36"/>
      <c r="B9" s="54"/>
      <c r="C9" s="51"/>
      <c r="D9" s="51"/>
      <c r="E9" s="51"/>
      <c r="F9" s="51"/>
      <c r="G9" s="51"/>
      <c r="H9" s="51"/>
      <c r="I9" s="51"/>
      <c r="J9" s="52"/>
      <c r="L9" s="21" t="s">
        <v>12</v>
      </c>
    </row>
    <row r="10" spans="1:14" ht="13" x14ac:dyDescent="0.3">
      <c r="A10" s="36"/>
      <c r="B10" s="55" t="s">
        <v>85</v>
      </c>
      <c r="C10" s="56" t="str">
        <f>+ÍNDEX!D6</f>
        <v>GENER</v>
      </c>
      <c r="D10" s="57">
        <v>0.16</v>
      </c>
      <c r="E10" s="58">
        <v>7.0000000000000007E-2</v>
      </c>
      <c r="F10" s="58">
        <v>0.04</v>
      </c>
      <c r="G10" s="59" t="s">
        <v>86</v>
      </c>
      <c r="H10" s="60" t="s">
        <v>77</v>
      </c>
      <c r="I10" s="61" t="s">
        <v>87</v>
      </c>
      <c r="J10" s="52"/>
      <c r="L10" s="21" t="s">
        <v>13</v>
      </c>
    </row>
    <row r="11" spans="1:14" ht="13" x14ac:dyDescent="0.3">
      <c r="A11" s="36"/>
      <c r="B11" s="62"/>
      <c r="C11" s="63"/>
      <c r="D11" s="64">
        <v>0</v>
      </c>
      <c r="E11" s="65">
        <v>0</v>
      </c>
      <c r="F11" s="65">
        <v>0</v>
      </c>
      <c r="G11" s="66">
        <v>0</v>
      </c>
      <c r="H11" s="67">
        <f>SUM(D11:G11)</f>
        <v>0</v>
      </c>
      <c r="I11" s="68">
        <f>IF(H11=0,0,(D11*D10+E11*E10+F11*F10)/SUM(D11:G11))</f>
        <v>0</v>
      </c>
      <c r="J11" s="52"/>
      <c r="L11" s="21" t="s">
        <v>14</v>
      </c>
    </row>
    <row r="12" spans="1:14" ht="3" customHeight="1" x14ac:dyDescent="0.3">
      <c r="A12" s="36"/>
      <c r="B12" s="62"/>
      <c r="C12" s="50"/>
      <c r="D12" s="69"/>
      <c r="E12" s="51"/>
      <c r="F12" s="51"/>
      <c r="G12" s="51"/>
      <c r="H12" s="51"/>
      <c r="I12" s="51"/>
      <c r="J12" s="52"/>
      <c r="L12" s="21" t="s">
        <v>15</v>
      </c>
    </row>
    <row r="13" spans="1:14" ht="13" hidden="1" x14ac:dyDescent="0.3">
      <c r="A13" s="36"/>
      <c r="B13" s="70" t="s">
        <v>88</v>
      </c>
      <c r="C13" s="71" t="s">
        <v>89</v>
      </c>
      <c r="D13" s="51"/>
      <c r="E13" s="51"/>
      <c r="F13" s="51"/>
      <c r="G13" s="51"/>
      <c r="H13" s="51"/>
      <c r="I13" s="51"/>
      <c r="J13" s="52"/>
      <c r="L13" s="21" t="s">
        <v>16</v>
      </c>
    </row>
    <row r="14" spans="1:14" ht="13" hidden="1" x14ac:dyDescent="0.3">
      <c r="A14" s="36"/>
      <c r="B14" s="70" t="s">
        <v>90</v>
      </c>
      <c r="C14" s="72"/>
      <c r="D14" s="51"/>
      <c r="E14" s="51"/>
      <c r="F14" s="51"/>
      <c r="G14" s="51"/>
      <c r="H14" s="51"/>
      <c r="I14" s="51"/>
      <c r="J14" s="52"/>
    </row>
    <row r="15" spans="1:14" ht="13" hidden="1" x14ac:dyDescent="0.3">
      <c r="A15" s="36"/>
      <c r="B15" s="73" t="s">
        <v>91</v>
      </c>
      <c r="C15" s="74">
        <v>0.16</v>
      </c>
      <c r="D15" s="51"/>
      <c r="E15" s="51"/>
      <c r="F15" s="51"/>
      <c r="G15" s="51"/>
      <c r="H15" s="51"/>
      <c r="I15" s="51"/>
      <c r="J15" s="52"/>
    </row>
    <row r="16" spans="1:14" ht="13" hidden="1" x14ac:dyDescent="0.3">
      <c r="A16" s="36"/>
      <c r="B16" s="73" t="s">
        <v>92</v>
      </c>
      <c r="C16" s="74">
        <v>0.16</v>
      </c>
      <c r="D16" s="51"/>
      <c r="E16" s="51"/>
      <c r="F16" s="51"/>
      <c r="G16" s="51"/>
      <c r="H16" s="51"/>
      <c r="I16" s="51"/>
      <c r="J16" s="52"/>
    </row>
    <row r="17" spans="1:12" ht="13" hidden="1" x14ac:dyDescent="0.3">
      <c r="A17" s="36"/>
      <c r="B17" s="73" t="s">
        <v>93</v>
      </c>
      <c r="C17" s="74">
        <v>0.16</v>
      </c>
      <c r="D17" s="51"/>
      <c r="E17" s="51"/>
      <c r="F17" s="51"/>
      <c r="G17" s="51"/>
      <c r="H17" s="51"/>
      <c r="I17" s="51"/>
      <c r="J17" s="52"/>
    </row>
    <row r="18" spans="1:12" hidden="1" x14ac:dyDescent="0.25">
      <c r="A18" s="36"/>
      <c r="B18" s="70" t="s">
        <v>94</v>
      </c>
      <c r="C18" s="75"/>
      <c r="D18" s="51"/>
      <c r="E18" s="51"/>
      <c r="F18" s="51"/>
      <c r="G18" s="51"/>
      <c r="H18" s="51"/>
      <c r="I18" s="51"/>
      <c r="J18" s="52"/>
    </row>
    <row r="19" spans="1:12" ht="13" hidden="1" x14ac:dyDescent="0.3">
      <c r="A19" s="36"/>
      <c r="B19" s="76" t="s">
        <v>95</v>
      </c>
      <c r="C19" s="74">
        <v>0.16</v>
      </c>
      <c r="D19" s="51"/>
      <c r="E19" s="51"/>
      <c r="F19" s="51"/>
      <c r="G19" s="51"/>
      <c r="H19" s="51"/>
      <c r="I19" s="51"/>
      <c r="J19" s="52"/>
    </row>
    <row r="20" spans="1:12" ht="13" hidden="1" x14ac:dyDescent="0.3">
      <c r="A20" s="36"/>
      <c r="B20" s="76" t="s">
        <v>96</v>
      </c>
      <c r="C20" s="74">
        <v>0.16</v>
      </c>
      <c r="D20" s="51"/>
      <c r="E20" s="51"/>
      <c r="F20" s="51"/>
      <c r="G20" s="51"/>
      <c r="H20" s="51"/>
      <c r="I20" s="51"/>
      <c r="J20" s="52"/>
    </row>
    <row r="21" spans="1:12" ht="13" hidden="1" x14ac:dyDescent="0.3">
      <c r="A21" s="36"/>
      <c r="B21" s="76" t="s">
        <v>97</v>
      </c>
      <c r="C21" s="74">
        <v>0.16</v>
      </c>
      <c r="D21" s="51"/>
      <c r="E21" s="51"/>
      <c r="F21" s="51"/>
      <c r="G21" s="51"/>
      <c r="H21" s="51"/>
      <c r="I21" s="51"/>
      <c r="J21" s="52"/>
    </row>
    <row r="22" spans="1:12" ht="13" hidden="1" x14ac:dyDescent="0.3">
      <c r="A22" s="36"/>
      <c r="B22" s="76" t="s">
        <v>98</v>
      </c>
      <c r="C22" s="77">
        <v>0</v>
      </c>
      <c r="D22" s="51"/>
      <c r="E22" s="51"/>
      <c r="F22" s="51"/>
      <c r="G22" s="51"/>
      <c r="H22" s="51"/>
      <c r="I22" s="51"/>
      <c r="J22" s="52"/>
    </row>
    <row r="23" spans="1:12" ht="13" hidden="1" x14ac:dyDescent="0.3">
      <c r="A23" s="36"/>
      <c r="B23" s="70" t="s">
        <v>99</v>
      </c>
      <c r="C23" s="74"/>
      <c r="D23" s="51"/>
      <c r="E23" s="51"/>
      <c r="F23" s="51"/>
      <c r="G23" s="51"/>
      <c r="H23" s="51"/>
      <c r="I23" s="51"/>
      <c r="J23" s="52"/>
    </row>
    <row r="24" spans="1:12" ht="13" hidden="1" x14ac:dyDescent="0.3">
      <c r="A24" s="36"/>
      <c r="B24" s="76" t="s">
        <v>100</v>
      </c>
      <c r="C24" s="74">
        <v>7.0000000000000007E-2</v>
      </c>
      <c r="D24" s="51"/>
      <c r="E24" s="51"/>
      <c r="F24" s="51"/>
      <c r="G24" s="51"/>
      <c r="H24" s="51"/>
      <c r="I24" s="51"/>
      <c r="J24" s="52"/>
    </row>
    <row r="25" spans="1:12" ht="13" hidden="1" x14ac:dyDescent="0.3">
      <c r="A25" s="36"/>
      <c r="B25" s="76" t="s">
        <v>101</v>
      </c>
      <c r="C25" s="74">
        <v>7.0000000000000007E-2</v>
      </c>
      <c r="D25" s="51"/>
      <c r="E25" s="51"/>
      <c r="F25" s="51"/>
      <c r="G25" s="51"/>
      <c r="H25" s="51"/>
      <c r="I25" s="51"/>
      <c r="J25" s="52"/>
    </row>
    <row r="26" spans="1:12" ht="13" hidden="1" x14ac:dyDescent="0.3">
      <c r="A26" s="36"/>
      <c r="B26" s="76" t="s">
        <v>102</v>
      </c>
      <c r="C26" s="74">
        <v>0.16</v>
      </c>
      <c r="D26" s="51"/>
      <c r="E26" s="51"/>
      <c r="F26" s="51"/>
      <c r="G26" s="51"/>
      <c r="H26" s="51"/>
      <c r="I26" s="51"/>
      <c r="J26" s="52"/>
    </row>
    <row r="27" spans="1:12" ht="13" hidden="1" x14ac:dyDescent="0.3">
      <c r="A27" s="36"/>
      <c r="B27" s="76" t="s">
        <v>103</v>
      </c>
      <c r="C27" s="74">
        <v>0.16</v>
      </c>
      <c r="D27" s="51"/>
      <c r="E27" s="51"/>
      <c r="F27" s="51"/>
      <c r="G27" s="51"/>
      <c r="H27" s="51"/>
      <c r="I27" s="51"/>
      <c r="J27" s="52"/>
    </row>
    <row r="28" spans="1:12" ht="13" hidden="1" x14ac:dyDescent="0.3">
      <c r="A28" s="36"/>
      <c r="B28" s="76" t="s">
        <v>104</v>
      </c>
      <c r="C28" s="74">
        <v>0.16</v>
      </c>
      <c r="D28" s="51"/>
      <c r="E28" s="51"/>
      <c r="F28" s="51"/>
      <c r="G28" s="51"/>
      <c r="H28" s="51"/>
      <c r="I28" s="51"/>
      <c r="J28" s="52"/>
    </row>
    <row r="29" spans="1:12" ht="13" hidden="1" x14ac:dyDescent="0.3">
      <c r="A29" s="36"/>
      <c r="B29" s="76" t="s">
        <v>105</v>
      </c>
      <c r="C29" s="74">
        <v>0.16</v>
      </c>
      <c r="D29" s="51"/>
      <c r="E29" s="51"/>
      <c r="F29" s="51"/>
      <c r="G29" s="51"/>
      <c r="H29" s="51"/>
      <c r="I29" s="51"/>
      <c r="J29" s="52"/>
    </row>
    <row r="30" spans="1:12" ht="13" hidden="1" x14ac:dyDescent="0.3">
      <c r="A30" s="36"/>
      <c r="B30" s="76" t="s">
        <v>106</v>
      </c>
      <c r="C30" s="74">
        <v>0.16</v>
      </c>
      <c r="D30" s="51"/>
      <c r="E30" s="51"/>
      <c r="F30" s="51"/>
      <c r="G30" s="51"/>
      <c r="H30" s="51"/>
      <c r="I30" s="51"/>
      <c r="J30" s="52"/>
    </row>
    <row r="31" spans="1:12" ht="12.75" hidden="1" customHeight="1" x14ac:dyDescent="0.3">
      <c r="A31" s="36"/>
      <c r="B31" s="76" t="s">
        <v>107</v>
      </c>
      <c r="C31" s="78">
        <v>0.16</v>
      </c>
      <c r="D31" s="51"/>
      <c r="E31" s="51"/>
      <c r="F31" s="51"/>
      <c r="G31" s="51"/>
      <c r="H31" s="51"/>
      <c r="I31" s="51"/>
      <c r="J31" s="52"/>
      <c r="L31" s="21" t="s">
        <v>15</v>
      </c>
    </row>
    <row r="32" spans="1:12" ht="35.25" customHeight="1" thickBot="1" x14ac:dyDescent="0.35">
      <c r="A32" s="36"/>
      <c r="B32" s="79"/>
      <c r="C32" s="80"/>
      <c r="D32" s="81"/>
      <c r="E32" s="51"/>
      <c r="F32" s="51"/>
      <c r="G32" s="51"/>
      <c r="H32" s="51"/>
      <c r="I32" s="51"/>
      <c r="J32" s="52"/>
    </row>
    <row r="33" spans="1:12" ht="13.5" thickBot="1" x14ac:dyDescent="0.35">
      <c r="A33" s="36"/>
      <c r="B33" s="82"/>
      <c r="C33" s="83"/>
      <c r="D33" s="84"/>
      <c r="E33" s="84"/>
      <c r="F33" s="84"/>
      <c r="G33" s="84"/>
      <c r="H33" s="84"/>
      <c r="I33" s="84"/>
      <c r="J33" s="85"/>
      <c r="L33" s="21" t="s">
        <v>16</v>
      </c>
    </row>
    <row r="34" spans="1:12" ht="13" x14ac:dyDescent="0.3">
      <c r="A34" s="36"/>
      <c r="B34" s="95" t="str">
        <f>INVERSIONS!A27</f>
        <v>INVERSIONS IMMATERIALS</v>
      </c>
      <c r="C34" s="96">
        <f>SUM(C35:C38)</f>
        <v>0</v>
      </c>
      <c r="D34" s="88"/>
      <c r="E34" s="88"/>
      <c r="F34" s="88"/>
      <c r="G34" s="88"/>
      <c r="H34" s="88"/>
      <c r="I34" s="88"/>
      <c r="J34" s="89"/>
    </row>
    <row r="35" spans="1:12" ht="13" x14ac:dyDescent="0.3">
      <c r="A35" s="36"/>
      <c r="B35" s="97" t="str">
        <f>INVERSIONS!A28</f>
        <v>Propietat industrial (patents i marques)</v>
      </c>
      <c r="C35" s="91">
        <v>0</v>
      </c>
      <c r="D35" s="92"/>
      <c r="E35" s="92"/>
      <c r="F35" s="92"/>
      <c r="G35" s="92"/>
      <c r="H35" s="92"/>
      <c r="I35" s="92"/>
      <c r="J35" s="93"/>
    </row>
    <row r="36" spans="1:12" ht="13" x14ac:dyDescent="0.3">
      <c r="A36" s="36"/>
      <c r="B36" s="97" t="str">
        <f>INVERSIONS!A29</f>
        <v>Drets de traspàs</v>
      </c>
      <c r="C36" s="91">
        <v>0</v>
      </c>
      <c r="D36" s="92"/>
      <c r="E36" s="92"/>
      <c r="F36" s="92"/>
      <c r="G36" s="92"/>
      <c r="H36" s="92"/>
      <c r="I36" s="92"/>
      <c r="J36" s="93"/>
    </row>
    <row r="37" spans="1:12" ht="13" x14ac:dyDescent="0.3">
      <c r="A37" s="36"/>
      <c r="B37" s="98" t="str">
        <f>INVERSIONS!A30</f>
        <v>Aplicacions informàtiques</v>
      </c>
      <c r="C37" s="94">
        <v>0</v>
      </c>
      <c r="D37" s="92"/>
      <c r="E37" s="92"/>
      <c r="F37" s="92"/>
      <c r="G37" s="92"/>
      <c r="H37" s="92"/>
      <c r="I37" s="92"/>
      <c r="J37" s="93"/>
    </row>
    <row r="38" spans="1:12" ht="1.5" customHeight="1" thickBot="1" x14ac:dyDescent="0.35">
      <c r="A38" s="36"/>
      <c r="B38" s="99" t="e">
        <f>INVERSIONS!#REF!</f>
        <v>#REF!</v>
      </c>
      <c r="C38" s="100">
        <f>SUM(C39:C41)</f>
        <v>0</v>
      </c>
      <c r="D38" s="101"/>
      <c r="E38" s="101"/>
      <c r="F38" s="101"/>
      <c r="G38" s="101"/>
      <c r="H38" s="101"/>
      <c r="I38" s="101"/>
      <c r="J38" s="102"/>
    </row>
    <row r="39" spans="1:12" hidden="1" x14ac:dyDescent="0.25">
      <c r="A39" s="36"/>
      <c r="B39" s="103" t="e">
        <f>INVERSIONS!#REF!</f>
        <v>#REF!</v>
      </c>
      <c r="C39" s="104">
        <v>0</v>
      </c>
      <c r="D39" s="105"/>
      <c r="E39" s="105"/>
      <c r="F39" s="105"/>
      <c r="G39" s="105"/>
      <c r="H39" s="105"/>
      <c r="I39" s="105"/>
      <c r="J39" s="106"/>
    </row>
    <row r="40" spans="1:12" hidden="1" x14ac:dyDescent="0.25">
      <c r="A40" s="36"/>
      <c r="B40" s="103" t="e">
        <f>INVERSIONS!#REF!</f>
        <v>#REF!</v>
      </c>
      <c r="C40" s="104">
        <v>0</v>
      </c>
      <c r="D40" s="105"/>
      <c r="E40" s="105"/>
      <c r="F40" s="105"/>
      <c r="G40" s="105"/>
      <c r="H40" s="105"/>
      <c r="I40" s="105"/>
      <c r="J40" s="106"/>
    </row>
    <row r="41" spans="1:12" hidden="1" x14ac:dyDescent="0.25">
      <c r="A41" s="36"/>
      <c r="B41" s="103" t="e">
        <f>INVERSIONS!#REF!</f>
        <v>#REF!</v>
      </c>
      <c r="C41" s="107">
        <v>0</v>
      </c>
      <c r="D41" s="105"/>
      <c r="E41" s="105"/>
      <c r="F41" s="105"/>
      <c r="G41" s="105"/>
      <c r="H41" s="105"/>
      <c r="I41" s="105"/>
      <c r="J41" s="106"/>
    </row>
    <row r="42" spans="1:12" ht="13" x14ac:dyDescent="0.3">
      <c r="A42" s="36"/>
      <c r="B42" s="95" t="str">
        <f>INVERSIONS!A31</f>
        <v>INVERSIONS MATERIALS</v>
      </c>
      <c r="C42" s="108">
        <f>SUM(C43:C46)+SUM(C49:C52)</f>
        <v>0</v>
      </c>
      <c r="D42" s="88"/>
      <c r="E42" s="88"/>
      <c r="F42" s="88"/>
      <c r="G42" s="88"/>
      <c r="H42" s="88"/>
      <c r="I42" s="88"/>
      <c r="J42" s="89"/>
    </row>
    <row r="43" spans="1:12" ht="13" x14ac:dyDescent="0.3">
      <c r="A43" s="36"/>
      <c r="B43" s="97" t="str">
        <f>INVERSIONS!A32</f>
        <v>Terrenys</v>
      </c>
      <c r="C43" s="109">
        <v>0</v>
      </c>
      <c r="D43" s="92"/>
      <c r="E43" s="92"/>
      <c r="F43" s="92"/>
      <c r="G43" s="92"/>
      <c r="H43" s="92"/>
      <c r="I43" s="92"/>
      <c r="J43" s="93"/>
    </row>
    <row r="44" spans="1:12" ht="13" x14ac:dyDescent="0.3">
      <c r="A44" s="36"/>
      <c r="B44" s="97" t="str">
        <f>INVERSIONS!A33</f>
        <v>Construccions</v>
      </c>
      <c r="C44" s="109">
        <v>0</v>
      </c>
      <c r="D44" s="92"/>
      <c r="E44" s="92"/>
      <c r="F44" s="92"/>
      <c r="G44" s="92"/>
      <c r="H44" s="92"/>
      <c r="I44" s="92"/>
      <c r="J44" s="93"/>
    </row>
    <row r="45" spans="1:12" ht="13" x14ac:dyDescent="0.3">
      <c r="A45" s="36"/>
      <c r="B45" s="97" t="str">
        <f>INVERSIONS!A34</f>
        <v>Maquinària</v>
      </c>
      <c r="C45" s="109">
        <v>0</v>
      </c>
      <c r="D45" s="92"/>
      <c r="E45" s="92"/>
      <c r="F45" s="92"/>
      <c r="G45" s="92"/>
      <c r="H45" s="92"/>
      <c r="I45" s="92"/>
      <c r="J45" s="93"/>
    </row>
    <row r="46" spans="1:12" ht="13" x14ac:dyDescent="0.3">
      <c r="A46" s="36"/>
      <c r="B46" s="97" t="str">
        <f>INVERSIONS!A35</f>
        <v>Altres instal·lacions</v>
      </c>
      <c r="C46" s="108">
        <f>SUM(C47:C48)</f>
        <v>0</v>
      </c>
      <c r="D46" s="88"/>
      <c r="E46" s="88"/>
      <c r="F46" s="88"/>
      <c r="G46" s="88"/>
      <c r="H46" s="88"/>
      <c r="I46" s="88"/>
      <c r="J46" s="89"/>
    </row>
    <row r="47" spans="1:12" ht="13" x14ac:dyDescent="0.3">
      <c r="A47" s="36"/>
      <c r="B47" s="110" t="str">
        <f>INVERSIONS!A36</f>
        <v>Amb projecte</v>
      </c>
      <c r="C47" s="109">
        <v>0</v>
      </c>
      <c r="D47" s="111"/>
      <c r="E47" s="111"/>
      <c r="F47" s="111"/>
      <c r="G47" s="111"/>
      <c r="H47" s="111"/>
      <c r="I47" s="111"/>
      <c r="J47" s="112"/>
    </row>
    <row r="48" spans="1:12" ht="13" x14ac:dyDescent="0.3">
      <c r="A48" s="36"/>
      <c r="B48" s="110" t="str">
        <f>INVERSIONS!A37</f>
        <v>Sense projecte</v>
      </c>
      <c r="C48" s="109">
        <v>0</v>
      </c>
      <c r="D48" s="111"/>
      <c r="E48" s="111"/>
      <c r="F48" s="111"/>
      <c r="G48" s="111"/>
      <c r="H48" s="111"/>
      <c r="I48" s="111"/>
      <c r="J48" s="112"/>
    </row>
    <row r="49" spans="1:10" ht="13" x14ac:dyDescent="0.3">
      <c r="A49" s="36"/>
      <c r="B49" s="97" t="str">
        <f>INVERSIONS!A38</f>
        <v>Mobiliari</v>
      </c>
      <c r="C49" s="109">
        <v>0</v>
      </c>
      <c r="D49" s="92"/>
      <c r="E49" s="92"/>
      <c r="F49" s="92"/>
      <c r="G49" s="92"/>
      <c r="H49" s="92"/>
      <c r="I49" s="92"/>
      <c r="J49" s="93"/>
    </row>
    <row r="50" spans="1:10" ht="13" x14ac:dyDescent="0.3">
      <c r="A50" s="36"/>
      <c r="B50" s="97" t="str">
        <f>INVERSIONS!A39</f>
        <v>Equips processos informació</v>
      </c>
      <c r="C50" s="109">
        <v>0</v>
      </c>
      <c r="D50" s="92"/>
      <c r="E50" s="92"/>
      <c r="F50" s="92"/>
      <c r="G50" s="92"/>
      <c r="H50" s="92"/>
      <c r="I50" s="92"/>
      <c r="J50" s="93"/>
    </row>
    <row r="51" spans="1:10" ht="13" x14ac:dyDescent="0.3">
      <c r="A51" s="36"/>
      <c r="B51" s="97" t="str">
        <f>INVERSIONS!A40</f>
        <v>Elements de transport</v>
      </c>
      <c r="C51" s="109">
        <v>0</v>
      </c>
      <c r="D51" s="92"/>
      <c r="E51" s="92"/>
      <c r="F51" s="92"/>
      <c r="G51" s="92"/>
      <c r="H51" s="92"/>
      <c r="I51" s="92"/>
      <c r="J51" s="93"/>
    </row>
    <row r="52" spans="1:10" ht="13" x14ac:dyDescent="0.3">
      <c r="A52" s="36"/>
      <c r="B52" s="98" t="str">
        <f>INVERSIONS!A41</f>
        <v>Altre immobilitzat material</v>
      </c>
      <c r="C52" s="113">
        <v>0</v>
      </c>
      <c r="D52" s="92"/>
      <c r="E52" s="92"/>
      <c r="F52" s="92"/>
      <c r="G52" s="92"/>
      <c r="H52" s="92"/>
      <c r="I52" s="92"/>
      <c r="J52" s="93"/>
    </row>
    <row r="53" spans="1:10" ht="13" x14ac:dyDescent="0.3">
      <c r="A53" s="36"/>
      <c r="B53" s="114" t="str">
        <f>INVERSIONS!A42</f>
        <v>FIANCES I DIPÒSITS A LLARG TERMINI</v>
      </c>
      <c r="C53" s="100">
        <f>SUM(C54:C55)</f>
        <v>0</v>
      </c>
      <c r="D53" s="88"/>
      <c r="E53" s="88"/>
      <c r="F53" s="88"/>
      <c r="G53" s="88"/>
      <c r="H53" s="88"/>
      <c r="I53" s="88"/>
      <c r="J53" s="89"/>
    </row>
    <row r="54" spans="1:10" ht="13" x14ac:dyDescent="0.3">
      <c r="A54" s="36"/>
      <c r="B54" s="97" t="str">
        <f>INVERSIONS!A43</f>
        <v>Fiances a llarg termini</v>
      </c>
      <c r="C54" s="109">
        <v>0</v>
      </c>
      <c r="D54" s="92"/>
      <c r="E54" s="92"/>
      <c r="F54" s="92"/>
      <c r="G54" s="92"/>
      <c r="H54" s="92"/>
      <c r="I54" s="92"/>
      <c r="J54" s="93"/>
    </row>
    <row r="55" spans="1:10" ht="13" x14ac:dyDescent="0.3">
      <c r="A55" s="36"/>
      <c r="B55" s="98" t="str">
        <f>INVERSIONS!A44</f>
        <v>Dipòsits a llarg termini</v>
      </c>
      <c r="C55" s="113">
        <v>0</v>
      </c>
      <c r="D55" s="92"/>
      <c r="E55" s="92"/>
      <c r="F55" s="92"/>
      <c r="G55" s="92"/>
      <c r="H55" s="92"/>
      <c r="I55" s="92"/>
      <c r="J55" s="93"/>
    </row>
    <row r="56" spans="1:10" ht="13" x14ac:dyDescent="0.3">
      <c r="A56" s="36"/>
      <c r="B56" s="115" t="str">
        <f>INVERSIONS!A45</f>
        <v>TOTAL</v>
      </c>
      <c r="C56" s="116">
        <f>C53+C42+C34</f>
        <v>0</v>
      </c>
      <c r="D56" s="117"/>
      <c r="E56" s="117"/>
      <c r="F56" s="117"/>
      <c r="G56" s="117"/>
      <c r="H56" s="117"/>
      <c r="I56" s="117"/>
      <c r="J56" s="118"/>
    </row>
    <row r="57" spans="1:10" ht="0.75" customHeight="1" x14ac:dyDescent="0.25">
      <c r="A57" s="36"/>
      <c r="B57" s="62"/>
      <c r="C57" s="51"/>
      <c r="D57" s="51"/>
      <c r="E57" s="51"/>
      <c r="F57" s="51"/>
      <c r="G57" s="51"/>
      <c r="H57" s="51"/>
      <c r="I57" s="51"/>
      <c r="J57" s="51"/>
    </row>
    <row r="58" spans="1:10" ht="13" hidden="1" x14ac:dyDescent="0.3">
      <c r="A58" s="36"/>
      <c r="B58" s="119" t="str">
        <f>INVERSIONS!A48</f>
        <v>SEGON EXERCICI</v>
      </c>
      <c r="C58" s="120" t="str">
        <f>INVERSIONS!B50</f>
        <v>GENER</v>
      </c>
      <c r="D58" s="120" t="str">
        <f>INVERSIONS!D50</f>
        <v>FEBRER</v>
      </c>
      <c r="E58" s="120" t="str">
        <f>INVERSIONS!F50</f>
        <v>MARÇ</v>
      </c>
      <c r="F58" s="120" t="str">
        <f>INVERSIONS!H50</f>
        <v>ABRIL</v>
      </c>
      <c r="G58" s="120" t="str">
        <f>INVERSIONS!J50</f>
        <v>MAIG</v>
      </c>
      <c r="H58" s="120" t="str">
        <f>INVERSIONS!L50</f>
        <v>JUNY</v>
      </c>
      <c r="I58" s="120" t="str">
        <f>INVERSIONS!N50</f>
        <v>JULIOL</v>
      </c>
      <c r="J58" s="120" t="str">
        <f>INVERSIONS!P50</f>
        <v>AGOST</v>
      </c>
    </row>
    <row r="59" spans="1:10" ht="13" hidden="1" x14ac:dyDescent="0.3">
      <c r="A59" s="36"/>
      <c r="B59" s="121" t="e">
        <f>INVERSIONS!#REF!</f>
        <v>#REF!</v>
      </c>
      <c r="C59" s="122">
        <f>SUM(C60:C62)</f>
        <v>0</v>
      </c>
      <c r="D59" s="100">
        <f t="shared" ref="D59:J59" si="0">SUM(D60:D62)</f>
        <v>0</v>
      </c>
      <c r="E59" s="100">
        <f t="shared" si="0"/>
        <v>0</v>
      </c>
      <c r="F59" s="100">
        <f t="shared" si="0"/>
        <v>0</v>
      </c>
      <c r="G59" s="100">
        <f t="shared" si="0"/>
        <v>0</v>
      </c>
      <c r="H59" s="100">
        <f t="shared" si="0"/>
        <v>0</v>
      </c>
      <c r="I59" s="100">
        <f t="shared" si="0"/>
        <v>0</v>
      </c>
      <c r="J59" s="100">
        <f t="shared" si="0"/>
        <v>0</v>
      </c>
    </row>
    <row r="60" spans="1:10" ht="13" hidden="1" x14ac:dyDescent="0.3">
      <c r="A60" s="36"/>
      <c r="B60" s="123" t="e">
        <f>INVERSIONS!#REF!</f>
        <v>#REF!</v>
      </c>
      <c r="C60" s="124">
        <v>0</v>
      </c>
      <c r="D60" s="125">
        <v>0</v>
      </c>
      <c r="E60" s="125">
        <v>0</v>
      </c>
      <c r="F60" s="125">
        <v>0</v>
      </c>
      <c r="G60" s="125">
        <v>0</v>
      </c>
      <c r="H60" s="125">
        <v>0</v>
      </c>
      <c r="I60" s="125">
        <v>0</v>
      </c>
      <c r="J60" s="125">
        <v>0</v>
      </c>
    </row>
    <row r="61" spans="1:10" ht="13" hidden="1" x14ac:dyDescent="0.3">
      <c r="A61" s="36"/>
      <c r="B61" s="123" t="e">
        <f>INVERSIONS!#REF!</f>
        <v>#REF!</v>
      </c>
      <c r="C61" s="124">
        <v>0</v>
      </c>
      <c r="D61" s="125">
        <v>0</v>
      </c>
      <c r="E61" s="125">
        <v>0</v>
      </c>
      <c r="F61" s="125">
        <v>0</v>
      </c>
      <c r="G61" s="125">
        <v>0</v>
      </c>
      <c r="H61" s="125">
        <v>0</v>
      </c>
      <c r="I61" s="125">
        <v>0</v>
      </c>
      <c r="J61" s="125">
        <v>0</v>
      </c>
    </row>
    <row r="62" spans="1:10" ht="13" hidden="1" x14ac:dyDescent="0.3">
      <c r="A62" s="36"/>
      <c r="B62" s="123" t="e">
        <f>INVERSIONS!#REF!</f>
        <v>#REF!</v>
      </c>
      <c r="C62" s="126">
        <v>0</v>
      </c>
      <c r="D62" s="127">
        <v>0</v>
      </c>
      <c r="E62" s="127">
        <v>0</v>
      </c>
      <c r="F62" s="127">
        <v>0</v>
      </c>
      <c r="G62" s="127">
        <v>0</v>
      </c>
      <c r="H62" s="127">
        <v>0</v>
      </c>
      <c r="I62" s="127">
        <v>0</v>
      </c>
      <c r="J62" s="127">
        <v>0</v>
      </c>
    </row>
    <row r="63" spans="1:10" ht="13" hidden="1" x14ac:dyDescent="0.3">
      <c r="A63" s="36"/>
      <c r="B63" s="128" t="str">
        <f>INVERSIONS!A52</f>
        <v>INVERSIONS IMMATERIALS</v>
      </c>
      <c r="C63" s="122">
        <f>SUM(C64:C67)</f>
        <v>0</v>
      </c>
      <c r="D63" s="100">
        <f t="shared" ref="D63:J63" si="1">SUM(D64:D67)</f>
        <v>0</v>
      </c>
      <c r="E63" s="100">
        <f t="shared" si="1"/>
        <v>0</v>
      </c>
      <c r="F63" s="100">
        <f t="shared" si="1"/>
        <v>0</v>
      </c>
      <c r="G63" s="100">
        <f t="shared" si="1"/>
        <v>0</v>
      </c>
      <c r="H63" s="100">
        <f t="shared" si="1"/>
        <v>0</v>
      </c>
      <c r="I63" s="100">
        <f t="shared" si="1"/>
        <v>0</v>
      </c>
      <c r="J63" s="100">
        <f t="shared" si="1"/>
        <v>0</v>
      </c>
    </row>
    <row r="64" spans="1:10" ht="13" hidden="1" x14ac:dyDescent="0.3">
      <c r="A64" s="36"/>
      <c r="B64" s="123" t="str">
        <f>INVERSIONS!A53</f>
        <v>Propietat industrial (patents i marques)</v>
      </c>
      <c r="C64" s="124">
        <v>0</v>
      </c>
      <c r="D64" s="125">
        <v>0</v>
      </c>
      <c r="E64" s="125">
        <v>0</v>
      </c>
      <c r="F64" s="125">
        <v>0</v>
      </c>
      <c r="G64" s="125">
        <v>0</v>
      </c>
      <c r="H64" s="125">
        <v>0</v>
      </c>
      <c r="I64" s="125">
        <v>0</v>
      </c>
      <c r="J64" s="125">
        <v>0</v>
      </c>
    </row>
    <row r="65" spans="1:13" ht="13" hidden="1" x14ac:dyDescent="0.3">
      <c r="A65" s="36"/>
      <c r="B65" s="123" t="str">
        <f>INVERSIONS!A54</f>
        <v>Drets de traspàs</v>
      </c>
      <c r="C65" s="124">
        <v>0</v>
      </c>
      <c r="D65" s="125">
        <v>0</v>
      </c>
      <c r="E65" s="125">
        <v>0</v>
      </c>
      <c r="F65" s="125">
        <v>0</v>
      </c>
      <c r="G65" s="125">
        <v>0</v>
      </c>
      <c r="H65" s="125">
        <v>0</v>
      </c>
      <c r="I65" s="125">
        <v>0</v>
      </c>
      <c r="J65" s="125">
        <v>0</v>
      </c>
    </row>
    <row r="66" spans="1:13" ht="13" hidden="1" x14ac:dyDescent="0.3">
      <c r="A66" s="36"/>
      <c r="B66" s="123" t="str">
        <f>INVERSIONS!A55</f>
        <v>Aplicacions informàtiques</v>
      </c>
      <c r="C66" s="124">
        <v>0</v>
      </c>
      <c r="D66" s="125">
        <v>0</v>
      </c>
      <c r="E66" s="125">
        <v>0</v>
      </c>
      <c r="F66" s="125">
        <v>0</v>
      </c>
      <c r="G66" s="125">
        <v>0</v>
      </c>
      <c r="H66" s="125">
        <v>0</v>
      </c>
      <c r="I66" s="125">
        <v>0</v>
      </c>
      <c r="J66" s="125">
        <v>0</v>
      </c>
    </row>
    <row r="67" spans="1:13" ht="13" hidden="1" x14ac:dyDescent="0.3">
      <c r="A67" s="36"/>
      <c r="B67" s="129" t="e">
        <f>INVERSIONS!#REF!</f>
        <v>#REF!</v>
      </c>
      <c r="C67" s="130">
        <f>SUM(C68:C70)</f>
        <v>0</v>
      </c>
      <c r="D67" s="131">
        <f t="shared" ref="D67:J67" si="2">SUM(D68:D70)</f>
        <v>0</v>
      </c>
      <c r="E67" s="131">
        <f t="shared" si="2"/>
        <v>0</v>
      </c>
      <c r="F67" s="131">
        <f t="shared" si="2"/>
        <v>0</v>
      </c>
      <c r="G67" s="131">
        <f t="shared" si="2"/>
        <v>0</v>
      </c>
      <c r="H67" s="131">
        <f t="shared" si="2"/>
        <v>0</v>
      </c>
      <c r="I67" s="131">
        <f t="shared" si="2"/>
        <v>0</v>
      </c>
      <c r="J67" s="131">
        <f t="shared" si="2"/>
        <v>0</v>
      </c>
    </row>
    <row r="68" spans="1:13" hidden="1" x14ac:dyDescent="0.25">
      <c r="A68" s="36"/>
      <c r="B68" s="132" t="e">
        <f>INVERSIONS!#REF!</f>
        <v>#REF!</v>
      </c>
      <c r="C68" s="133">
        <v>0</v>
      </c>
      <c r="D68" s="134">
        <v>0</v>
      </c>
      <c r="E68" s="134">
        <v>0</v>
      </c>
      <c r="F68" s="134">
        <v>0</v>
      </c>
      <c r="G68" s="134">
        <v>0</v>
      </c>
      <c r="H68" s="134">
        <v>0</v>
      </c>
      <c r="I68" s="134">
        <v>0</v>
      </c>
      <c r="J68" s="134">
        <v>0</v>
      </c>
    </row>
    <row r="69" spans="1:13" hidden="1" x14ac:dyDescent="0.25">
      <c r="A69" s="36"/>
      <c r="B69" s="132" t="e">
        <f>INVERSIONS!#REF!</f>
        <v>#REF!</v>
      </c>
      <c r="C69" s="133">
        <v>0</v>
      </c>
      <c r="D69" s="134">
        <v>0</v>
      </c>
      <c r="E69" s="134">
        <v>0</v>
      </c>
      <c r="F69" s="134">
        <v>0</v>
      </c>
      <c r="G69" s="134">
        <v>0</v>
      </c>
      <c r="H69" s="134">
        <v>0</v>
      </c>
      <c r="I69" s="134">
        <v>0</v>
      </c>
      <c r="J69" s="134">
        <v>0</v>
      </c>
    </row>
    <row r="70" spans="1:13" hidden="1" x14ac:dyDescent="0.25">
      <c r="A70" s="36"/>
      <c r="B70" s="132" t="e">
        <f>INVERSIONS!#REF!</f>
        <v>#REF!</v>
      </c>
      <c r="C70" s="133">
        <v>0</v>
      </c>
      <c r="D70" s="134">
        <v>0</v>
      </c>
      <c r="E70" s="134">
        <v>0</v>
      </c>
      <c r="F70" s="134">
        <v>0</v>
      </c>
      <c r="G70" s="134">
        <v>0</v>
      </c>
      <c r="H70" s="134">
        <v>0</v>
      </c>
      <c r="I70" s="134">
        <v>0</v>
      </c>
      <c r="J70" s="134">
        <v>0</v>
      </c>
    </row>
    <row r="71" spans="1:13" ht="13" hidden="1" x14ac:dyDescent="0.3">
      <c r="A71" s="36"/>
      <c r="B71" s="135" t="str">
        <f>INVERSIONS!A56</f>
        <v>INVERSIONS MATERIALS</v>
      </c>
      <c r="C71" s="136">
        <f t="shared" ref="C71:J71" si="3">SUM(C72:C75)+SUM(C78:C81)</f>
        <v>0</v>
      </c>
      <c r="D71" s="136">
        <f t="shared" si="3"/>
        <v>0</v>
      </c>
      <c r="E71" s="136">
        <f t="shared" si="3"/>
        <v>0</v>
      </c>
      <c r="F71" s="136">
        <f t="shared" si="3"/>
        <v>0</v>
      </c>
      <c r="G71" s="136">
        <f t="shared" si="3"/>
        <v>0</v>
      </c>
      <c r="H71" s="136">
        <f t="shared" si="3"/>
        <v>0</v>
      </c>
      <c r="I71" s="136">
        <f t="shared" si="3"/>
        <v>0</v>
      </c>
      <c r="J71" s="136">
        <f t="shared" si="3"/>
        <v>0</v>
      </c>
    </row>
    <row r="72" spans="1:13" ht="13" hidden="1" x14ac:dyDescent="0.3">
      <c r="A72" s="36"/>
      <c r="B72" s="129" t="str">
        <f>INVERSIONS!A57</f>
        <v>Terrenys</v>
      </c>
      <c r="C72" s="137">
        <v>0</v>
      </c>
      <c r="D72" s="137">
        <v>0</v>
      </c>
      <c r="E72" s="137">
        <v>0</v>
      </c>
      <c r="F72" s="137">
        <v>0</v>
      </c>
      <c r="G72" s="137">
        <v>0</v>
      </c>
      <c r="H72" s="137">
        <v>0</v>
      </c>
      <c r="I72" s="137">
        <v>0</v>
      </c>
      <c r="J72" s="137">
        <v>0</v>
      </c>
    </row>
    <row r="73" spans="1:13" ht="13" hidden="1" x14ac:dyDescent="0.3">
      <c r="A73" s="36"/>
      <c r="B73" s="129" t="str">
        <f>INVERSIONS!A58</f>
        <v>Construccions</v>
      </c>
      <c r="C73" s="138">
        <v>0</v>
      </c>
      <c r="D73" s="138">
        <v>0</v>
      </c>
      <c r="E73" s="138">
        <v>0</v>
      </c>
      <c r="F73" s="138">
        <v>0</v>
      </c>
      <c r="G73" s="138">
        <v>0</v>
      </c>
      <c r="H73" s="138">
        <v>0</v>
      </c>
      <c r="I73" s="138">
        <v>0</v>
      </c>
      <c r="J73" s="138">
        <v>0</v>
      </c>
    </row>
    <row r="74" spans="1:13" ht="13" hidden="1" x14ac:dyDescent="0.3">
      <c r="A74" s="36"/>
      <c r="B74" s="129" t="str">
        <f>INVERSIONS!A59</f>
        <v>Maquinària</v>
      </c>
      <c r="C74" s="138">
        <v>0</v>
      </c>
      <c r="D74" s="138">
        <v>0</v>
      </c>
      <c r="E74" s="138">
        <v>0</v>
      </c>
      <c r="F74" s="138">
        <v>0</v>
      </c>
      <c r="G74" s="138">
        <v>0</v>
      </c>
      <c r="H74" s="138">
        <v>0</v>
      </c>
      <c r="I74" s="138">
        <v>0</v>
      </c>
      <c r="J74" s="138">
        <v>0</v>
      </c>
    </row>
    <row r="75" spans="1:13" ht="13" hidden="1" x14ac:dyDescent="0.3">
      <c r="A75" s="36"/>
      <c r="B75" s="129" t="str">
        <f>INVERSIONS!A60</f>
        <v>Altres instal·lacions</v>
      </c>
      <c r="C75" s="130">
        <f>SUM(C76:C77)</f>
        <v>0</v>
      </c>
      <c r="D75" s="130">
        <f t="shared" ref="D75:J75" si="4">SUM(D76:D77)</f>
        <v>0</v>
      </c>
      <c r="E75" s="130">
        <f t="shared" si="4"/>
        <v>0</v>
      </c>
      <c r="F75" s="130">
        <f t="shared" si="4"/>
        <v>0</v>
      </c>
      <c r="G75" s="130">
        <f t="shared" si="4"/>
        <v>0</v>
      </c>
      <c r="H75" s="130">
        <f t="shared" si="4"/>
        <v>0</v>
      </c>
      <c r="I75" s="130">
        <f t="shared" si="4"/>
        <v>0</v>
      </c>
      <c r="J75" s="130">
        <f t="shared" si="4"/>
        <v>0</v>
      </c>
    </row>
    <row r="76" spans="1:13" hidden="1" x14ac:dyDescent="0.25">
      <c r="A76" s="36"/>
      <c r="B76" s="132" t="str">
        <f>INVERSIONS!A61</f>
        <v>Amb projecte</v>
      </c>
      <c r="C76" s="133">
        <v>0</v>
      </c>
      <c r="D76" s="133">
        <v>0</v>
      </c>
      <c r="E76" s="133">
        <v>0</v>
      </c>
      <c r="F76" s="133">
        <v>0</v>
      </c>
      <c r="G76" s="133">
        <v>0</v>
      </c>
      <c r="H76" s="133">
        <v>0</v>
      </c>
      <c r="I76" s="133">
        <v>0</v>
      </c>
      <c r="J76" s="133">
        <v>0</v>
      </c>
    </row>
    <row r="77" spans="1:13" hidden="1" x14ac:dyDescent="0.25">
      <c r="A77" s="36"/>
      <c r="B77" s="132" t="str">
        <f>INVERSIONS!A62</f>
        <v>Sense projecte</v>
      </c>
      <c r="C77" s="139">
        <v>0</v>
      </c>
      <c r="D77" s="139">
        <v>0</v>
      </c>
      <c r="E77" s="139">
        <v>0</v>
      </c>
      <c r="F77" s="139">
        <v>0</v>
      </c>
      <c r="G77" s="139">
        <v>0</v>
      </c>
      <c r="H77" s="139">
        <v>0</v>
      </c>
      <c r="I77" s="139">
        <v>0</v>
      </c>
      <c r="J77" s="139">
        <v>0</v>
      </c>
    </row>
    <row r="78" spans="1:13" ht="13" hidden="1" x14ac:dyDescent="0.3">
      <c r="A78" s="36"/>
      <c r="B78" s="129" t="str">
        <f>INVERSIONS!A63</f>
        <v>Mobiliari</v>
      </c>
      <c r="C78" s="138">
        <v>0</v>
      </c>
      <c r="D78" s="138">
        <v>0</v>
      </c>
      <c r="E78" s="138">
        <v>0</v>
      </c>
      <c r="F78" s="138">
        <v>0</v>
      </c>
      <c r="G78" s="138">
        <v>0</v>
      </c>
      <c r="H78" s="138">
        <v>0</v>
      </c>
      <c r="I78" s="138">
        <v>0</v>
      </c>
      <c r="J78" s="138">
        <v>0</v>
      </c>
      <c r="M78" s="21" t="s">
        <v>108</v>
      </c>
    </row>
    <row r="79" spans="1:13" ht="13" hidden="1" x14ac:dyDescent="0.3">
      <c r="A79" s="36"/>
      <c r="B79" s="129" t="str">
        <f>INVERSIONS!A64</f>
        <v>Equips processos informació</v>
      </c>
      <c r="C79" s="138">
        <v>0</v>
      </c>
      <c r="D79" s="138">
        <v>0</v>
      </c>
      <c r="E79" s="138">
        <v>0</v>
      </c>
      <c r="F79" s="138">
        <v>0</v>
      </c>
      <c r="G79" s="138">
        <v>0</v>
      </c>
      <c r="H79" s="138">
        <v>0</v>
      </c>
      <c r="I79" s="138">
        <v>0</v>
      </c>
      <c r="J79" s="138">
        <v>0</v>
      </c>
      <c r="M79">
        <v>0</v>
      </c>
    </row>
    <row r="80" spans="1:13" ht="13" hidden="1" x14ac:dyDescent="0.3">
      <c r="A80" s="36"/>
      <c r="B80" s="129" t="str">
        <f>INVERSIONS!A65</f>
        <v>Elements de transport</v>
      </c>
      <c r="C80" s="138">
        <v>0</v>
      </c>
      <c r="D80" s="138">
        <v>0</v>
      </c>
      <c r="E80" s="138">
        <v>0</v>
      </c>
      <c r="F80" s="138">
        <v>0</v>
      </c>
      <c r="G80" s="138">
        <v>0</v>
      </c>
      <c r="H80" s="138">
        <v>0</v>
      </c>
      <c r="I80" s="138">
        <v>0</v>
      </c>
      <c r="J80" s="138">
        <v>0</v>
      </c>
      <c r="M80">
        <v>6</v>
      </c>
    </row>
    <row r="81" spans="1:13" ht="13" hidden="1" x14ac:dyDescent="0.3">
      <c r="A81" s="36"/>
      <c r="B81" s="129" t="str">
        <f>INVERSIONS!A66</f>
        <v>Altre immobilitzat material</v>
      </c>
      <c r="C81" s="140">
        <v>0</v>
      </c>
      <c r="D81" s="140">
        <v>0</v>
      </c>
      <c r="E81" s="140">
        <v>0</v>
      </c>
      <c r="F81" s="140">
        <v>0</v>
      </c>
      <c r="G81" s="140">
        <v>0</v>
      </c>
      <c r="H81" s="140">
        <v>0</v>
      </c>
      <c r="I81" s="140">
        <v>0</v>
      </c>
      <c r="J81" s="140">
        <v>0</v>
      </c>
      <c r="M81">
        <v>12</v>
      </c>
    </row>
    <row r="82" spans="1:13" ht="13" hidden="1" x14ac:dyDescent="0.3">
      <c r="A82" s="36"/>
      <c r="B82" s="135" t="str">
        <f>INVERSIONS!A67</f>
        <v>FIANCES I DIPÒSITS A LLARG TERMINI</v>
      </c>
      <c r="C82" s="136">
        <f t="shared" ref="C82:J82" si="5">SUM(C83:C84)</f>
        <v>0</v>
      </c>
      <c r="D82" s="136">
        <f t="shared" si="5"/>
        <v>0</v>
      </c>
      <c r="E82" s="136">
        <f t="shared" si="5"/>
        <v>0</v>
      </c>
      <c r="F82" s="136">
        <f t="shared" si="5"/>
        <v>0</v>
      </c>
      <c r="G82" s="136">
        <f t="shared" si="5"/>
        <v>0</v>
      </c>
      <c r="H82" s="136">
        <f t="shared" si="5"/>
        <v>0</v>
      </c>
      <c r="I82" s="136">
        <f t="shared" si="5"/>
        <v>0</v>
      </c>
      <c r="J82" s="136">
        <f t="shared" si="5"/>
        <v>0</v>
      </c>
      <c r="M82">
        <v>18</v>
      </c>
    </row>
    <row r="83" spans="1:13" ht="13" hidden="1" x14ac:dyDescent="0.3">
      <c r="A83" s="36"/>
      <c r="B83" s="129" t="str">
        <f>INVERSIONS!A68</f>
        <v>Fiances a llarg termini</v>
      </c>
      <c r="C83" s="137">
        <v>0</v>
      </c>
      <c r="D83" s="137">
        <v>0</v>
      </c>
      <c r="E83" s="137">
        <v>0</v>
      </c>
      <c r="F83" s="137">
        <v>0</v>
      </c>
      <c r="G83" s="137">
        <v>0</v>
      </c>
      <c r="H83" s="137">
        <v>0</v>
      </c>
      <c r="I83" s="137">
        <v>0</v>
      </c>
      <c r="J83" s="137">
        <v>0</v>
      </c>
      <c r="M83">
        <v>24</v>
      </c>
    </row>
    <row r="84" spans="1:13" ht="13" hidden="1" x14ac:dyDescent="0.3">
      <c r="A84" s="36"/>
      <c r="B84" s="129" t="str">
        <f>INVERSIONS!A69</f>
        <v>Dipòsits a llarg termini</v>
      </c>
      <c r="C84" s="140">
        <v>0</v>
      </c>
      <c r="D84" s="140">
        <v>0</v>
      </c>
      <c r="E84" s="140">
        <v>0</v>
      </c>
      <c r="F84" s="140">
        <v>0</v>
      </c>
      <c r="G84" s="140">
        <v>0</v>
      </c>
      <c r="H84" s="140">
        <v>0</v>
      </c>
      <c r="I84" s="140">
        <v>0</v>
      </c>
      <c r="J84" s="140">
        <v>0</v>
      </c>
      <c r="M84">
        <v>30</v>
      </c>
    </row>
    <row r="85" spans="1:13" ht="13" hidden="1" x14ac:dyDescent="0.3">
      <c r="A85" s="36"/>
      <c r="B85" s="135" t="str">
        <f>INVERSIONS!A70</f>
        <v>TOTAL</v>
      </c>
      <c r="C85" s="141">
        <f t="shared" ref="C85:J85" si="6">C82+C71+C63+C59</f>
        <v>0</v>
      </c>
      <c r="D85" s="141">
        <f t="shared" si="6"/>
        <v>0</v>
      </c>
      <c r="E85" s="141">
        <f t="shared" si="6"/>
        <v>0</v>
      </c>
      <c r="F85" s="141">
        <f t="shared" si="6"/>
        <v>0</v>
      </c>
      <c r="G85" s="141">
        <f t="shared" si="6"/>
        <v>0</v>
      </c>
      <c r="H85" s="141">
        <f t="shared" si="6"/>
        <v>0</v>
      </c>
      <c r="I85" s="141">
        <f t="shared" si="6"/>
        <v>0</v>
      </c>
      <c r="J85" s="141">
        <f t="shared" si="6"/>
        <v>0</v>
      </c>
      <c r="M85">
        <v>36</v>
      </c>
    </row>
    <row r="86" spans="1:13" hidden="1" x14ac:dyDescent="0.25">
      <c r="A86" s="36"/>
      <c r="B86" s="62"/>
      <c r="C86" s="51"/>
      <c r="D86" s="51"/>
      <c r="E86" s="51"/>
      <c r="F86" s="51"/>
      <c r="G86" s="51"/>
      <c r="H86" s="51"/>
      <c r="I86" s="51"/>
      <c r="J86" s="51"/>
    </row>
    <row r="87" spans="1:13" ht="13" hidden="1" x14ac:dyDescent="0.3">
      <c r="A87" s="36"/>
      <c r="B87" s="119" t="str">
        <f>INVERSIONS!A73</f>
        <v>TERCER EXERCICI</v>
      </c>
      <c r="C87" s="120" t="str">
        <f>INVERSIONS!B75</f>
        <v>GENER</v>
      </c>
      <c r="D87" s="120" t="str">
        <f>INVERSIONS!D75</f>
        <v>FEBRER</v>
      </c>
      <c r="E87" s="120" t="str">
        <f>INVERSIONS!F75</f>
        <v>MARÇ</v>
      </c>
      <c r="F87" s="120" t="str">
        <f>INVERSIONS!H75</f>
        <v>ABRIL</v>
      </c>
      <c r="G87" s="120" t="str">
        <f>INVERSIONS!J75</f>
        <v>MAIG</v>
      </c>
      <c r="H87" s="120" t="str">
        <f>INVERSIONS!L75</f>
        <v>JUNY</v>
      </c>
      <c r="I87" s="120" t="str">
        <f>INVERSIONS!N75</f>
        <v>JULIOL</v>
      </c>
      <c r="J87" s="120" t="str">
        <f>INVERSIONS!P75</f>
        <v>AGOST</v>
      </c>
    </row>
    <row r="88" spans="1:13" ht="13" hidden="1" x14ac:dyDescent="0.3">
      <c r="A88" s="36"/>
      <c r="B88" s="121" t="e">
        <f>INVERSIONS!#REF!</f>
        <v>#REF!</v>
      </c>
      <c r="C88" s="122">
        <f>SUM(C89:C91)</f>
        <v>0</v>
      </c>
      <c r="D88" s="100">
        <f t="shared" ref="D88:J88" si="7">SUM(D89:D91)</f>
        <v>0</v>
      </c>
      <c r="E88" s="100">
        <f t="shared" si="7"/>
        <v>0</v>
      </c>
      <c r="F88" s="100">
        <f t="shared" si="7"/>
        <v>0</v>
      </c>
      <c r="G88" s="100">
        <f t="shared" si="7"/>
        <v>0</v>
      </c>
      <c r="H88" s="100">
        <f t="shared" si="7"/>
        <v>0</v>
      </c>
      <c r="I88" s="100">
        <f t="shared" si="7"/>
        <v>0</v>
      </c>
      <c r="J88" s="100">
        <f t="shared" si="7"/>
        <v>0</v>
      </c>
    </row>
    <row r="89" spans="1:13" ht="13" hidden="1" x14ac:dyDescent="0.3">
      <c r="A89" s="36"/>
      <c r="B89" s="123" t="e">
        <f>INVERSIONS!#REF!</f>
        <v>#REF!</v>
      </c>
      <c r="C89" s="124">
        <v>0</v>
      </c>
      <c r="D89" s="125">
        <v>0</v>
      </c>
      <c r="E89" s="125">
        <v>0</v>
      </c>
      <c r="F89" s="125">
        <v>0</v>
      </c>
      <c r="G89" s="125">
        <v>0</v>
      </c>
      <c r="H89" s="125">
        <v>0</v>
      </c>
      <c r="I89" s="125">
        <v>0</v>
      </c>
      <c r="J89" s="125">
        <v>0</v>
      </c>
    </row>
    <row r="90" spans="1:13" ht="13" hidden="1" x14ac:dyDescent="0.3">
      <c r="A90" s="36"/>
      <c r="B90" s="123" t="e">
        <f>INVERSIONS!#REF!</f>
        <v>#REF!</v>
      </c>
      <c r="C90" s="124">
        <v>0</v>
      </c>
      <c r="D90" s="125">
        <v>0</v>
      </c>
      <c r="E90" s="125">
        <v>0</v>
      </c>
      <c r="F90" s="125">
        <v>0</v>
      </c>
      <c r="G90" s="125">
        <v>0</v>
      </c>
      <c r="H90" s="125">
        <v>0</v>
      </c>
      <c r="I90" s="125">
        <v>0</v>
      </c>
      <c r="J90" s="125">
        <v>0</v>
      </c>
    </row>
    <row r="91" spans="1:13" ht="13" hidden="1" x14ac:dyDescent="0.3">
      <c r="A91" s="36"/>
      <c r="B91" s="123" t="e">
        <f>INVERSIONS!#REF!</f>
        <v>#REF!</v>
      </c>
      <c r="C91" s="126">
        <v>0</v>
      </c>
      <c r="D91" s="127">
        <v>0</v>
      </c>
      <c r="E91" s="127">
        <v>0</v>
      </c>
      <c r="F91" s="127">
        <v>0</v>
      </c>
      <c r="G91" s="127">
        <v>0</v>
      </c>
      <c r="H91" s="127">
        <v>0</v>
      </c>
      <c r="I91" s="127">
        <v>0</v>
      </c>
      <c r="J91" s="127">
        <v>0</v>
      </c>
    </row>
    <row r="92" spans="1:13" ht="13" hidden="1" x14ac:dyDescent="0.3">
      <c r="A92" s="36"/>
      <c r="B92" s="128" t="str">
        <f>INVERSIONS!A77</f>
        <v>INVERSIONS IMMATERIALS</v>
      </c>
      <c r="C92" s="122">
        <f>SUM(C93:C96)</f>
        <v>0</v>
      </c>
      <c r="D92" s="100">
        <f t="shared" ref="D92:J92" si="8">SUM(D93:D96)</f>
        <v>0</v>
      </c>
      <c r="E92" s="100">
        <f t="shared" si="8"/>
        <v>0</v>
      </c>
      <c r="F92" s="100">
        <f t="shared" si="8"/>
        <v>0</v>
      </c>
      <c r="G92" s="100">
        <f t="shared" si="8"/>
        <v>0</v>
      </c>
      <c r="H92" s="100">
        <f t="shared" si="8"/>
        <v>0</v>
      </c>
      <c r="I92" s="100">
        <f t="shared" si="8"/>
        <v>0</v>
      </c>
      <c r="J92" s="100">
        <f t="shared" si="8"/>
        <v>0</v>
      </c>
    </row>
    <row r="93" spans="1:13" ht="12.75" hidden="1" customHeight="1" x14ac:dyDescent="0.3">
      <c r="A93" s="36"/>
      <c r="B93" s="123" t="str">
        <f>INVERSIONS!A78</f>
        <v>Propietat industrial (patents i marques)</v>
      </c>
      <c r="C93" s="124">
        <v>0</v>
      </c>
      <c r="D93" s="125">
        <v>0</v>
      </c>
      <c r="E93" s="125">
        <v>0</v>
      </c>
      <c r="F93" s="125">
        <v>0</v>
      </c>
      <c r="G93" s="125">
        <v>0</v>
      </c>
      <c r="H93" s="125">
        <v>0</v>
      </c>
      <c r="I93" s="125">
        <v>0</v>
      </c>
      <c r="J93" s="125">
        <v>0</v>
      </c>
    </row>
    <row r="94" spans="1:13" ht="13" hidden="1" x14ac:dyDescent="0.3">
      <c r="A94" s="36"/>
      <c r="B94" s="123" t="str">
        <f>INVERSIONS!A79</f>
        <v>Drets de traspàs</v>
      </c>
      <c r="C94" s="124">
        <v>0</v>
      </c>
      <c r="D94" s="125">
        <v>0</v>
      </c>
      <c r="E94" s="125">
        <v>0</v>
      </c>
      <c r="F94" s="125">
        <v>0</v>
      </c>
      <c r="G94" s="125">
        <v>0</v>
      </c>
      <c r="H94" s="125">
        <v>0</v>
      </c>
      <c r="I94" s="125">
        <v>0</v>
      </c>
      <c r="J94" s="125">
        <v>0</v>
      </c>
    </row>
    <row r="95" spans="1:13" ht="13" hidden="1" x14ac:dyDescent="0.3">
      <c r="A95" s="36"/>
      <c r="B95" s="123" t="str">
        <f>INVERSIONS!A80</f>
        <v>Aplicacions informàtiques</v>
      </c>
      <c r="C95" s="124">
        <v>0</v>
      </c>
      <c r="D95" s="125">
        <v>0</v>
      </c>
      <c r="E95" s="125">
        <v>0</v>
      </c>
      <c r="F95" s="125">
        <v>0</v>
      </c>
      <c r="G95" s="125">
        <v>0</v>
      </c>
      <c r="H95" s="125">
        <v>0</v>
      </c>
      <c r="I95" s="125">
        <v>0</v>
      </c>
      <c r="J95" s="125">
        <v>0</v>
      </c>
    </row>
    <row r="96" spans="1:13" ht="13" hidden="1" x14ac:dyDescent="0.3">
      <c r="A96" s="36"/>
      <c r="B96" s="142" t="e">
        <f>INVERSIONS!#REF!</f>
        <v>#REF!</v>
      </c>
      <c r="C96" s="130">
        <f>SUM(C97:C99)</f>
        <v>0</v>
      </c>
      <c r="D96" s="131">
        <f t="shared" ref="D96:J96" si="9">SUM(D97:D99)</f>
        <v>0</v>
      </c>
      <c r="E96" s="131">
        <f t="shared" si="9"/>
        <v>0</v>
      </c>
      <c r="F96" s="131">
        <f t="shared" si="9"/>
        <v>0</v>
      </c>
      <c r="G96" s="131">
        <f t="shared" si="9"/>
        <v>0</v>
      </c>
      <c r="H96" s="131">
        <f t="shared" si="9"/>
        <v>0</v>
      </c>
      <c r="I96" s="131">
        <f t="shared" si="9"/>
        <v>0</v>
      </c>
      <c r="J96" s="131">
        <f t="shared" si="9"/>
        <v>0</v>
      </c>
    </row>
    <row r="97" spans="1:10" hidden="1" x14ac:dyDescent="0.25">
      <c r="A97" s="36"/>
      <c r="B97" s="143" t="e">
        <f>INVERSIONS!#REF!</f>
        <v>#REF!</v>
      </c>
      <c r="C97" s="133">
        <v>0</v>
      </c>
      <c r="D97" s="134">
        <v>0</v>
      </c>
      <c r="E97" s="134">
        <v>0</v>
      </c>
      <c r="F97" s="134">
        <v>0</v>
      </c>
      <c r="G97" s="134">
        <v>0</v>
      </c>
      <c r="H97" s="134">
        <v>0</v>
      </c>
      <c r="I97" s="134">
        <v>0</v>
      </c>
      <c r="J97" s="134">
        <v>0</v>
      </c>
    </row>
    <row r="98" spans="1:10" hidden="1" x14ac:dyDescent="0.25">
      <c r="A98" s="36"/>
      <c r="B98" s="143" t="e">
        <f>INVERSIONS!#REF!</f>
        <v>#REF!</v>
      </c>
      <c r="C98" s="133">
        <v>0</v>
      </c>
      <c r="D98" s="134">
        <v>0</v>
      </c>
      <c r="E98" s="134">
        <v>0</v>
      </c>
      <c r="F98" s="134">
        <v>0</v>
      </c>
      <c r="G98" s="134">
        <v>0</v>
      </c>
      <c r="H98" s="134">
        <v>0</v>
      </c>
      <c r="I98" s="134">
        <v>0</v>
      </c>
      <c r="J98" s="134">
        <v>0</v>
      </c>
    </row>
    <row r="99" spans="1:10" hidden="1" x14ac:dyDescent="0.25">
      <c r="A99" s="36"/>
      <c r="B99" s="143" t="e">
        <f>INVERSIONS!#REF!</f>
        <v>#REF!</v>
      </c>
      <c r="C99" s="133">
        <v>0</v>
      </c>
      <c r="D99" s="134">
        <v>0</v>
      </c>
      <c r="E99" s="134">
        <v>0</v>
      </c>
      <c r="F99" s="134">
        <v>0</v>
      </c>
      <c r="G99" s="134">
        <v>0</v>
      </c>
      <c r="H99" s="134">
        <v>0</v>
      </c>
      <c r="I99" s="134">
        <v>0</v>
      </c>
      <c r="J99" s="134">
        <v>0</v>
      </c>
    </row>
    <row r="100" spans="1:10" ht="13" hidden="1" x14ac:dyDescent="0.3">
      <c r="A100" s="36"/>
      <c r="B100" s="86" t="str">
        <f>INVERSIONS!A81</f>
        <v>INVERSIONS MATERIALS</v>
      </c>
      <c r="C100" s="136">
        <f>SUM(C101:C104)+SUM(C107:C110)</f>
        <v>0</v>
      </c>
      <c r="D100" s="136">
        <f t="shared" ref="D100:J100" si="10">SUM(D101:D104)+SUM(D107:D110)</f>
        <v>0</v>
      </c>
      <c r="E100" s="136">
        <f t="shared" si="10"/>
        <v>0</v>
      </c>
      <c r="F100" s="136">
        <f t="shared" si="10"/>
        <v>0</v>
      </c>
      <c r="G100" s="136">
        <f t="shared" si="10"/>
        <v>0</v>
      </c>
      <c r="H100" s="136">
        <f t="shared" si="10"/>
        <v>0</v>
      </c>
      <c r="I100" s="136">
        <f t="shared" si="10"/>
        <v>0</v>
      </c>
      <c r="J100" s="136">
        <f t="shared" si="10"/>
        <v>0</v>
      </c>
    </row>
    <row r="101" spans="1:10" ht="13" hidden="1" x14ac:dyDescent="0.3">
      <c r="A101" s="36"/>
      <c r="B101" s="142" t="str">
        <f>INVERSIONS!A82</f>
        <v>Terrenys</v>
      </c>
      <c r="C101" s="137">
        <v>0</v>
      </c>
      <c r="D101" s="137">
        <v>0</v>
      </c>
      <c r="E101" s="137">
        <v>0</v>
      </c>
      <c r="F101" s="137">
        <v>0</v>
      </c>
      <c r="G101" s="137">
        <v>0</v>
      </c>
      <c r="H101" s="137">
        <v>0</v>
      </c>
      <c r="I101" s="137">
        <v>0</v>
      </c>
      <c r="J101" s="137">
        <v>0</v>
      </c>
    </row>
    <row r="102" spans="1:10" ht="13" hidden="1" x14ac:dyDescent="0.3">
      <c r="A102" s="36"/>
      <c r="B102" s="142" t="str">
        <f>INVERSIONS!A83</f>
        <v>Construccions</v>
      </c>
      <c r="C102" s="138">
        <v>0</v>
      </c>
      <c r="D102" s="138">
        <v>0</v>
      </c>
      <c r="E102" s="138">
        <v>0</v>
      </c>
      <c r="F102" s="138">
        <v>0</v>
      </c>
      <c r="G102" s="138">
        <v>0</v>
      </c>
      <c r="H102" s="138">
        <v>0</v>
      </c>
      <c r="I102" s="138">
        <v>0</v>
      </c>
      <c r="J102" s="138">
        <v>0</v>
      </c>
    </row>
    <row r="103" spans="1:10" ht="13" hidden="1" x14ac:dyDescent="0.3">
      <c r="A103" s="36"/>
      <c r="B103" s="142" t="str">
        <f>INVERSIONS!A84</f>
        <v>Maquinària</v>
      </c>
      <c r="C103" s="138">
        <v>0</v>
      </c>
      <c r="D103" s="138">
        <v>0</v>
      </c>
      <c r="E103" s="138">
        <v>0</v>
      </c>
      <c r="F103" s="138">
        <v>0</v>
      </c>
      <c r="G103" s="138">
        <v>0</v>
      </c>
      <c r="H103" s="138">
        <v>0</v>
      </c>
      <c r="I103" s="138">
        <v>0</v>
      </c>
      <c r="J103" s="138">
        <v>0</v>
      </c>
    </row>
    <row r="104" spans="1:10" ht="13" hidden="1" x14ac:dyDescent="0.3">
      <c r="A104" s="36"/>
      <c r="B104" s="142" t="str">
        <f>INVERSIONS!A85</f>
        <v>Altres instal·lacions</v>
      </c>
      <c r="C104" s="130">
        <f>SUM(C105:C106)</f>
        <v>0</v>
      </c>
      <c r="D104" s="130">
        <f t="shared" ref="D104:J104" si="11">SUM(D105:D106)</f>
        <v>0</v>
      </c>
      <c r="E104" s="130">
        <f t="shared" si="11"/>
        <v>0</v>
      </c>
      <c r="F104" s="130">
        <f t="shared" si="11"/>
        <v>0</v>
      </c>
      <c r="G104" s="130">
        <f t="shared" si="11"/>
        <v>0</v>
      </c>
      <c r="H104" s="130">
        <f t="shared" si="11"/>
        <v>0</v>
      </c>
      <c r="I104" s="130">
        <f t="shared" si="11"/>
        <v>0</v>
      </c>
      <c r="J104" s="130">
        <f t="shared" si="11"/>
        <v>0</v>
      </c>
    </row>
    <row r="105" spans="1:10" hidden="1" x14ac:dyDescent="0.25">
      <c r="A105" s="36"/>
      <c r="B105" s="143" t="str">
        <f>INVERSIONS!A86</f>
        <v>Amb projecte</v>
      </c>
      <c r="C105" s="133">
        <v>0</v>
      </c>
      <c r="D105" s="133">
        <v>0</v>
      </c>
      <c r="E105" s="133">
        <v>0</v>
      </c>
      <c r="F105" s="133">
        <v>0</v>
      </c>
      <c r="G105" s="133">
        <v>0</v>
      </c>
      <c r="H105" s="133">
        <v>0</v>
      </c>
      <c r="I105" s="133">
        <v>0</v>
      </c>
      <c r="J105" s="133">
        <v>0</v>
      </c>
    </row>
    <row r="106" spans="1:10" hidden="1" x14ac:dyDescent="0.25">
      <c r="A106" s="36"/>
      <c r="B106" s="143" t="str">
        <f>INVERSIONS!A87</f>
        <v>Sense projecte</v>
      </c>
      <c r="C106" s="139">
        <v>0</v>
      </c>
      <c r="D106" s="139">
        <v>0</v>
      </c>
      <c r="E106" s="139">
        <v>0</v>
      </c>
      <c r="F106" s="139">
        <v>0</v>
      </c>
      <c r="G106" s="139">
        <v>0</v>
      </c>
      <c r="H106" s="139">
        <v>0</v>
      </c>
      <c r="I106" s="139">
        <v>0</v>
      </c>
      <c r="J106" s="139">
        <v>0</v>
      </c>
    </row>
    <row r="107" spans="1:10" ht="13" hidden="1" x14ac:dyDescent="0.3">
      <c r="A107" s="36"/>
      <c r="B107" s="142" t="str">
        <f>INVERSIONS!A88</f>
        <v>Mobiliari</v>
      </c>
      <c r="C107" s="138">
        <v>0</v>
      </c>
      <c r="D107" s="138">
        <v>0</v>
      </c>
      <c r="E107" s="138">
        <v>0</v>
      </c>
      <c r="F107" s="138">
        <v>0</v>
      </c>
      <c r="G107" s="138">
        <v>0</v>
      </c>
      <c r="H107" s="138">
        <v>0</v>
      </c>
      <c r="I107" s="138">
        <v>0</v>
      </c>
      <c r="J107" s="138">
        <v>0</v>
      </c>
    </row>
    <row r="108" spans="1:10" ht="13" hidden="1" x14ac:dyDescent="0.3">
      <c r="A108" s="36"/>
      <c r="B108" s="142" t="str">
        <f>INVERSIONS!A89</f>
        <v>Equips processos informació</v>
      </c>
      <c r="C108" s="138">
        <v>0</v>
      </c>
      <c r="D108" s="138">
        <v>0</v>
      </c>
      <c r="E108" s="138">
        <v>0</v>
      </c>
      <c r="F108" s="138">
        <v>0</v>
      </c>
      <c r="G108" s="138">
        <v>0</v>
      </c>
      <c r="H108" s="138">
        <v>0</v>
      </c>
      <c r="I108" s="138">
        <v>0</v>
      </c>
      <c r="J108" s="138">
        <v>0</v>
      </c>
    </row>
    <row r="109" spans="1:10" ht="13" hidden="1" x14ac:dyDescent="0.3">
      <c r="A109" s="36"/>
      <c r="B109" s="142" t="str">
        <f>INVERSIONS!A90</f>
        <v>Elements de transport</v>
      </c>
      <c r="C109" s="138">
        <v>0</v>
      </c>
      <c r="D109" s="138">
        <v>0</v>
      </c>
      <c r="E109" s="138">
        <v>0</v>
      </c>
      <c r="F109" s="138">
        <v>0</v>
      </c>
      <c r="G109" s="138">
        <v>0</v>
      </c>
      <c r="H109" s="138">
        <v>0</v>
      </c>
      <c r="I109" s="138">
        <v>0</v>
      </c>
      <c r="J109" s="138">
        <v>0</v>
      </c>
    </row>
    <row r="110" spans="1:10" ht="13" hidden="1" x14ac:dyDescent="0.3">
      <c r="A110" s="36"/>
      <c r="B110" s="142" t="str">
        <f>INVERSIONS!A91</f>
        <v>Altre immobilitzat material</v>
      </c>
      <c r="C110" s="140">
        <v>0</v>
      </c>
      <c r="D110" s="140">
        <v>0</v>
      </c>
      <c r="E110" s="140">
        <v>0</v>
      </c>
      <c r="F110" s="140">
        <v>0</v>
      </c>
      <c r="G110" s="140">
        <v>0</v>
      </c>
      <c r="H110" s="140">
        <v>0</v>
      </c>
      <c r="I110" s="140">
        <v>0</v>
      </c>
      <c r="J110" s="140">
        <v>0</v>
      </c>
    </row>
    <row r="111" spans="1:10" ht="13" hidden="1" x14ac:dyDescent="0.3">
      <c r="A111" s="36"/>
      <c r="B111" s="86" t="str">
        <f>INVERSIONS!A92</f>
        <v>FIANCES I DIPÒSITS A LLARG TERMINI</v>
      </c>
      <c r="C111" s="136">
        <f t="shared" ref="C111:J111" si="12">SUM(C112:C113)</f>
        <v>0</v>
      </c>
      <c r="D111" s="136">
        <f t="shared" si="12"/>
        <v>0</v>
      </c>
      <c r="E111" s="136">
        <f t="shared" si="12"/>
        <v>0</v>
      </c>
      <c r="F111" s="136">
        <f t="shared" si="12"/>
        <v>0</v>
      </c>
      <c r="G111" s="136">
        <f t="shared" si="12"/>
        <v>0</v>
      </c>
      <c r="H111" s="136">
        <f t="shared" si="12"/>
        <v>0</v>
      </c>
      <c r="I111" s="136">
        <f t="shared" si="12"/>
        <v>0</v>
      </c>
      <c r="J111" s="136">
        <f t="shared" si="12"/>
        <v>0</v>
      </c>
    </row>
    <row r="112" spans="1:10" ht="13" hidden="1" x14ac:dyDescent="0.3">
      <c r="A112" s="36"/>
      <c r="B112" s="142" t="str">
        <f>INVERSIONS!A93</f>
        <v>Fiances a llarg termini</v>
      </c>
      <c r="C112" s="137">
        <v>0</v>
      </c>
      <c r="D112" s="137">
        <v>0</v>
      </c>
      <c r="E112" s="137">
        <v>0</v>
      </c>
      <c r="F112" s="137">
        <v>0</v>
      </c>
      <c r="G112" s="137">
        <v>0</v>
      </c>
      <c r="H112" s="137">
        <v>0</v>
      </c>
      <c r="I112" s="137">
        <v>0</v>
      </c>
      <c r="J112" s="137">
        <v>0</v>
      </c>
    </row>
    <row r="113" spans="1:10" ht="13" hidden="1" x14ac:dyDescent="0.3">
      <c r="A113" s="36"/>
      <c r="B113" s="142" t="str">
        <f>INVERSIONS!A94</f>
        <v>Dipòsits a llarg termini</v>
      </c>
      <c r="C113" s="140">
        <v>0</v>
      </c>
      <c r="D113" s="140">
        <v>0</v>
      </c>
      <c r="E113" s="140">
        <v>0</v>
      </c>
      <c r="F113" s="140">
        <v>0</v>
      </c>
      <c r="G113" s="140">
        <v>0</v>
      </c>
      <c r="H113" s="140">
        <v>0</v>
      </c>
      <c r="I113" s="140">
        <v>0</v>
      </c>
      <c r="J113" s="140">
        <v>0</v>
      </c>
    </row>
    <row r="114" spans="1:10" ht="13" hidden="1" x14ac:dyDescent="0.3">
      <c r="A114" s="36"/>
      <c r="B114" s="144" t="str">
        <f>INVERSIONS!A95</f>
        <v>TOTAL</v>
      </c>
      <c r="C114" s="136">
        <f t="shared" ref="C114:I114" si="13">C111+C100+C92+C88</f>
        <v>0</v>
      </c>
      <c r="D114" s="136">
        <f t="shared" si="13"/>
        <v>0</v>
      </c>
      <c r="E114" s="136">
        <f t="shared" si="13"/>
        <v>0</v>
      </c>
      <c r="F114" s="136">
        <f t="shared" si="13"/>
        <v>0</v>
      </c>
      <c r="G114" s="136">
        <f t="shared" si="13"/>
        <v>0</v>
      </c>
      <c r="H114" s="136">
        <f t="shared" si="13"/>
        <v>0</v>
      </c>
      <c r="I114" s="136">
        <f t="shared" si="13"/>
        <v>0</v>
      </c>
      <c r="J114" s="136">
        <f>J111+J100+J92+J88</f>
        <v>0</v>
      </c>
    </row>
    <row r="115" spans="1:10" hidden="1" x14ac:dyDescent="0.25">
      <c r="A115" s="36"/>
      <c r="B115" s="145"/>
      <c r="C115" s="146"/>
      <c r="D115" s="146"/>
      <c r="E115" s="146"/>
      <c r="F115" s="146"/>
      <c r="G115" s="146"/>
      <c r="H115" s="146"/>
      <c r="I115" s="146"/>
      <c r="J115" s="146"/>
    </row>
    <row r="116" spans="1:10" ht="14" hidden="1" x14ac:dyDescent="0.3">
      <c r="A116" s="36"/>
      <c r="B116" s="147" t="s">
        <v>109</v>
      </c>
    </row>
    <row r="117" spans="1:10" ht="13" hidden="1" x14ac:dyDescent="0.3">
      <c r="A117" s="36"/>
      <c r="C117" s="148" t="str">
        <f>INVERSIONS!B99</f>
        <v>PRIMER ANY</v>
      </c>
      <c r="D117" s="148" t="str">
        <f>INVERSIONS!E99</f>
        <v>SEGON ANY</v>
      </c>
      <c r="E117" s="149" t="str">
        <f>INVERSIONS!I99</f>
        <v>TERCER ANY</v>
      </c>
      <c r="G117" s="150"/>
      <c r="H117" s="150"/>
      <c r="I117" s="150"/>
      <c r="J117" s="150"/>
    </row>
    <row r="118" spans="1:10" ht="13" hidden="1" x14ac:dyDescent="0.3">
      <c r="A118" s="36"/>
      <c r="B118" s="120" t="s">
        <v>110</v>
      </c>
      <c r="C118" s="151" t="str">
        <f>INVERSIONS!C100</f>
        <v>DISMINUCIONS</v>
      </c>
      <c r="D118" s="151" t="str">
        <f>INVERSIONS!G100</f>
        <v>DISMINUCIONS</v>
      </c>
      <c r="E118" s="151" t="str">
        <f>INVERSIONS!K100</f>
        <v>DISMINUCIONS</v>
      </c>
      <c r="F118" s="152"/>
      <c r="G118" s="152"/>
      <c r="I118" s="152"/>
      <c r="J118" s="152"/>
    </row>
    <row r="119" spans="1:10" ht="13" hidden="1" x14ac:dyDescent="0.3">
      <c r="A119" s="36"/>
      <c r="B119" s="153" t="e">
        <f>INVERSIONS!#REF!</f>
        <v>#REF!</v>
      </c>
      <c r="C119" s="154" t="e">
        <f>SUM(C120:C122)</f>
        <v>#REF!</v>
      </c>
      <c r="D119" s="154" t="e">
        <f>SUM(D120:D122)</f>
        <v>#REF!</v>
      </c>
      <c r="E119" s="155" t="e">
        <f>SUM(E120:E122)</f>
        <v>#REF!</v>
      </c>
      <c r="F119" s="18"/>
      <c r="G119" s="18"/>
      <c r="I119" s="18"/>
      <c r="J119" s="18"/>
    </row>
    <row r="120" spans="1:10" hidden="1" x14ac:dyDescent="0.25">
      <c r="A120" s="36"/>
      <c r="B120" s="156" t="e">
        <f>INVERSIONS!#REF!</f>
        <v>#REF!</v>
      </c>
      <c r="C120" s="157" t="e">
        <f>#REF!*#REF!</f>
        <v>#REF!</v>
      </c>
      <c r="D120" s="157" t="e">
        <f>#REF!*#REF!</f>
        <v>#REF!</v>
      </c>
      <c r="E120" s="158" t="e">
        <f>IF(#REF!&lt;=50%,#REF!*#REF!,#REF!-D120)+#REF!*#REF!</f>
        <v>#REF!</v>
      </c>
      <c r="F120" s="159"/>
      <c r="G120" s="159"/>
      <c r="I120" s="159"/>
      <c r="J120" s="159"/>
    </row>
    <row r="121" spans="1:10" hidden="1" x14ac:dyDescent="0.25">
      <c r="A121" s="36"/>
      <c r="B121" s="156" t="e">
        <f>INVERSIONS!#REF!</f>
        <v>#REF!</v>
      </c>
      <c r="C121" s="160" t="e">
        <f>#REF!*#REF!</f>
        <v>#REF!</v>
      </c>
      <c r="D121" s="160" t="e">
        <f>#REF!*#REF!</f>
        <v>#REF!</v>
      </c>
      <c r="E121" s="161" t="e">
        <f>IF(#REF!&lt;=50%,#REF!*#REF!,#REF!-D121)+#REF!*#REF!</f>
        <v>#REF!</v>
      </c>
      <c r="F121" s="159"/>
      <c r="G121" s="159"/>
      <c r="I121" s="159"/>
      <c r="J121" s="159"/>
    </row>
    <row r="122" spans="1:10" hidden="1" x14ac:dyDescent="0.25">
      <c r="A122" s="36"/>
      <c r="B122" s="156" t="e">
        <f>INVERSIONS!#REF!</f>
        <v>#REF!</v>
      </c>
      <c r="C122" s="162" t="e">
        <f>#REF!*#REF!</f>
        <v>#REF!</v>
      </c>
      <c r="D122" s="162" t="e">
        <f>#REF!*#REF!</f>
        <v>#REF!</v>
      </c>
      <c r="E122" s="163" t="e">
        <f>IF(#REF!&lt;=50%,#REF!*#REF!,#REF!-D122)+#REF!*#REF!</f>
        <v>#REF!</v>
      </c>
      <c r="F122" s="159"/>
      <c r="G122" s="159"/>
      <c r="I122" s="159"/>
      <c r="J122" s="159"/>
    </row>
    <row r="123" spans="1:10" ht="13" hidden="1" x14ac:dyDescent="0.3">
      <c r="A123" s="36"/>
      <c r="B123" s="153" t="str">
        <f>INVERSIONS!A101</f>
        <v>INVERSIONS IMMATERIALS</v>
      </c>
      <c r="C123" s="164"/>
      <c r="D123" s="164"/>
      <c r="E123" s="165"/>
      <c r="F123" s="18"/>
      <c r="G123" s="18"/>
      <c r="I123" s="18"/>
      <c r="J123" s="18"/>
    </row>
    <row r="124" spans="1:10" hidden="1" x14ac:dyDescent="0.25">
      <c r="A124" s="36"/>
      <c r="B124" s="156" t="str">
        <f>INVERSIONS!A102</f>
        <v>Propietat industrial (patents i marques)</v>
      </c>
      <c r="C124" s="166">
        <v>0</v>
      </c>
      <c r="D124" s="166">
        <v>0</v>
      </c>
      <c r="E124" s="167">
        <v>0</v>
      </c>
      <c r="F124" s="159"/>
      <c r="G124" s="159"/>
      <c r="I124" s="159"/>
      <c r="J124" s="159"/>
    </row>
    <row r="125" spans="1:10" hidden="1" x14ac:dyDescent="0.25">
      <c r="A125" s="36"/>
      <c r="B125" s="156" t="str">
        <f>INVERSIONS!A103</f>
        <v>Drets de traspàs</v>
      </c>
      <c r="C125" s="168">
        <v>0</v>
      </c>
      <c r="D125" s="168">
        <v>0</v>
      </c>
      <c r="E125" s="169">
        <v>0</v>
      </c>
      <c r="F125" s="159"/>
      <c r="G125" s="159"/>
      <c r="I125" s="159"/>
      <c r="J125" s="159"/>
    </row>
    <row r="126" spans="1:10" hidden="1" x14ac:dyDescent="0.25">
      <c r="A126" s="36"/>
      <c r="B126" s="156" t="str">
        <f>INVERSIONS!A104</f>
        <v>Aplicacions informàtiques</v>
      </c>
      <c r="C126" s="168">
        <v>0</v>
      </c>
      <c r="D126" s="168">
        <v>0</v>
      </c>
      <c r="E126" s="169">
        <v>0</v>
      </c>
      <c r="F126" s="159"/>
      <c r="G126" s="159"/>
      <c r="I126" s="159"/>
      <c r="J126" s="159"/>
    </row>
    <row r="127" spans="1:10" hidden="1" x14ac:dyDescent="0.25">
      <c r="A127" s="36"/>
      <c r="B127" s="156" t="e">
        <f>INVERSIONS!#REF!</f>
        <v>#REF!</v>
      </c>
      <c r="C127" s="170"/>
      <c r="D127" s="170"/>
      <c r="E127" s="171"/>
      <c r="F127" s="159"/>
      <c r="G127" s="159"/>
      <c r="I127" s="159"/>
      <c r="J127" s="159"/>
    </row>
    <row r="128" spans="1:10" hidden="1" x14ac:dyDescent="0.25">
      <c r="A128" s="36"/>
      <c r="B128" s="172" t="e">
        <f>INVERSIONS!#REF!</f>
        <v>#REF!</v>
      </c>
      <c r="C128" s="173">
        <v>0</v>
      </c>
      <c r="D128" s="173">
        <v>0</v>
      </c>
      <c r="E128" s="174">
        <v>0</v>
      </c>
      <c r="F128" s="159"/>
      <c r="G128" s="159"/>
      <c r="I128" s="159"/>
      <c r="J128" s="159"/>
    </row>
    <row r="129" spans="1:10" hidden="1" x14ac:dyDescent="0.25">
      <c r="A129" s="36"/>
      <c r="B129" s="172" t="e">
        <f>INVERSIONS!#REF!</f>
        <v>#REF!</v>
      </c>
      <c r="C129" s="173">
        <v>0</v>
      </c>
      <c r="D129" s="173">
        <v>0</v>
      </c>
      <c r="E129" s="174">
        <v>0</v>
      </c>
      <c r="F129" s="159"/>
      <c r="G129" s="159"/>
      <c r="I129" s="159"/>
      <c r="J129" s="159"/>
    </row>
    <row r="130" spans="1:10" hidden="1" x14ac:dyDescent="0.25">
      <c r="A130" s="36"/>
      <c r="B130" s="172" t="e">
        <f>INVERSIONS!#REF!</f>
        <v>#REF!</v>
      </c>
      <c r="C130" s="175">
        <v>0</v>
      </c>
      <c r="D130" s="175">
        <v>0</v>
      </c>
      <c r="E130" s="176">
        <v>0</v>
      </c>
      <c r="F130" s="159"/>
      <c r="G130" s="159"/>
      <c r="I130" s="159"/>
      <c r="J130" s="159"/>
    </row>
    <row r="131" spans="1:10" ht="13" hidden="1" x14ac:dyDescent="0.3">
      <c r="A131" s="36"/>
      <c r="B131" s="153" t="str">
        <f>INVERSIONS!A105</f>
        <v>INVERSIONS MATERIALS</v>
      </c>
      <c r="C131" s="164"/>
      <c r="D131" s="164"/>
      <c r="E131" s="165"/>
      <c r="F131" s="18"/>
      <c r="G131" s="18"/>
      <c r="I131" s="18"/>
      <c r="J131" s="18"/>
    </row>
    <row r="132" spans="1:10" hidden="1" x14ac:dyDescent="0.25">
      <c r="A132" s="36"/>
      <c r="B132" s="177" t="str">
        <f>INVERSIONS!A106</f>
        <v>Terrenys</v>
      </c>
      <c r="C132" s="166">
        <v>0</v>
      </c>
      <c r="D132" s="166">
        <v>0</v>
      </c>
      <c r="E132" s="167">
        <v>0</v>
      </c>
      <c r="F132" s="159"/>
      <c r="G132" s="159"/>
      <c r="I132" s="159"/>
      <c r="J132" s="159"/>
    </row>
    <row r="133" spans="1:10" hidden="1" x14ac:dyDescent="0.25">
      <c r="A133" s="36"/>
      <c r="B133" s="177" t="str">
        <f>INVERSIONS!A107</f>
        <v>Construccions</v>
      </c>
      <c r="C133" s="168">
        <v>0</v>
      </c>
      <c r="D133" s="168">
        <v>0</v>
      </c>
      <c r="E133" s="169">
        <v>0</v>
      </c>
      <c r="F133" s="159"/>
      <c r="G133" s="159"/>
      <c r="I133" s="159"/>
      <c r="J133" s="159"/>
    </row>
    <row r="134" spans="1:10" hidden="1" x14ac:dyDescent="0.25">
      <c r="A134" s="36"/>
      <c r="B134" s="177" t="str">
        <f>INVERSIONS!A108</f>
        <v>Maquinària</v>
      </c>
      <c r="C134" s="168">
        <v>0</v>
      </c>
      <c r="D134" s="168">
        <v>0</v>
      </c>
      <c r="E134" s="169">
        <v>0</v>
      </c>
      <c r="F134" s="159"/>
      <c r="G134" s="159"/>
      <c r="I134" s="159"/>
      <c r="J134" s="159"/>
    </row>
    <row r="135" spans="1:10" hidden="1" x14ac:dyDescent="0.25">
      <c r="A135" s="36"/>
      <c r="B135" s="177" t="str">
        <f>INVERSIONS!A109</f>
        <v>Altres instal·lacions</v>
      </c>
      <c r="C135" s="168">
        <v>0</v>
      </c>
      <c r="D135" s="168">
        <v>0</v>
      </c>
      <c r="E135" s="169">
        <v>0</v>
      </c>
      <c r="F135" s="159"/>
      <c r="G135" s="159"/>
      <c r="I135" s="159"/>
      <c r="J135" s="159"/>
    </row>
    <row r="136" spans="1:10" hidden="1" x14ac:dyDescent="0.25">
      <c r="A136" s="36"/>
      <c r="B136" s="177" t="str">
        <f>INVERSIONS!A110</f>
        <v>Mobiliari</v>
      </c>
      <c r="C136" s="168">
        <v>0</v>
      </c>
      <c r="D136" s="168">
        <v>0</v>
      </c>
      <c r="E136" s="169">
        <v>0</v>
      </c>
      <c r="F136" s="159"/>
      <c r="G136" s="159"/>
      <c r="I136" s="159"/>
      <c r="J136" s="159"/>
    </row>
    <row r="137" spans="1:10" hidden="1" x14ac:dyDescent="0.25">
      <c r="A137" s="36"/>
      <c r="B137" s="177" t="str">
        <f>INVERSIONS!A111</f>
        <v>Equips processos informació</v>
      </c>
      <c r="C137" s="168">
        <v>0</v>
      </c>
      <c r="D137" s="168">
        <v>0</v>
      </c>
      <c r="E137" s="169">
        <v>0</v>
      </c>
      <c r="F137" s="159"/>
      <c r="G137" s="159"/>
      <c r="I137" s="159"/>
      <c r="J137" s="159"/>
    </row>
    <row r="138" spans="1:10" hidden="1" x14ac:dyDescent="0.25">
      <c r="A138" s="36"/>
      <c r="B138" s="177" t="str">
        <f>INVERSIONS!A112</f>
        <v>Elements de transport</v>
      </c>
      <c r="C138" s="168">
        <v>0</v>
      </c>
      <c r="D138" s="168">
        <v>0</v>
      </c>
      <c r="E138" s="169">
        <v>0</v>
      </c>
      <c r="F138" s="159"/>
      <c r="G138" s="159"/>
      <c r="I138" s="159"/>
      <c r="J138" s="159"/>
    </row>
    <row r="139" spans="1:10" hidden="1" x14ac:dyDescent="0.25">
      <c r="A139" s="36"/>
      <c r="B139" s="177" t="str">
        <f>INVERSIONS!A113</f>
        <v>Altre immobilitzat material</v>
      </c>
      <c r="C139" s="178">
        <v>0</v>
      </c>
      <c r="D139" s="178">
        <v>0</v>
      </c>
      <c r="E139" s="179">
        <v>0</v>
      </c>
      <c r="F139" s="159"/>
      <c r="G139" s="159"/>
      <c r="I139" s="159"/>
      <c r="J139" s="159"/>
    </row>
    <row r="140" spans="1:10" ht="13" hidden="1" x14ac:dyDescent="0.3">
      <c r="A140" s="36"/>
      <c r="B140" s="153" t="str">
        <f>INVERSIONS!A114</f>
        <v>FIANCES I DIPÒSITS A LLARG TERMINI</v>
      </c>
      <c r="C140" s="164"/>
      <c r="D140" s="164"/>
      <c r="E140" s="165"/>
      <c r="F140" s="18"/>
      <c r="G140" s="18"/>
      <c r="I140" s="18"/>
      <c r="J140" s="18"/>
    </row>
    <row r="141" spans="1:10" hidden="1" x14ac:dyDescent="0.25">
      <c r="A141" s="36"/>
      <c r="B141" s="177" t="str">
        <f>INVERSIONS!A115</f>
        <v>Fiances a llarg termini</v>
      </c>
      <c r="C141" s="166">
        <v>0</v>
      </c>
      <c r="D141" s="166">
        <v>0</v>
      </c>
      <c r="E141" s="167">
        <v>0</v>
      </c>
      <c r="F141" s="159"/>
      <c r="G141" s="159"/>
      <c r="I141" s="159"/>
      <c r="J141" s="159"/>
    </row>
    <row r="142" spans="1:10" hidden="1" x14ac:dyDescent="0.25">
      <c r="A142" s="36"/>
      <c r="B142" s="180" t="str">
        <f>INVERSIONS!A116</f>
        <v>Dipòsits a llarg termini</v>
      </c>
      <c r="C142" s="178">
        <v>0</v>
      </c>
      <c r="D142" s="178">
        <v>0</v>
      </c>
      <c r="E142" s="179">
        <v>0</v>
      </c>
      <c r="F142" s="159"/>
      <c r="G142" s="159"/>
      <c r="I142" s="159"/>
      <c r="J142" s="159"/>
    </row>
    <row r="143" spans="1:10" s="182" customFormat="1" ht="12.75" hidden="1" customHeight="1" x14ac:dyDescent="0.25">
      <c r="A143" s="181"/>
    </row>
    <row r="144" spans="1:10" ht="13" thickBot="1" x14ac:dyDescent="0.3">
      <c r="A144" s="36"/>
      <c r="B144" s="37"/>
      <c r="C144" s="37"/>
      <c r="D144" s="37"/>
      <c r="E144" s="37"/>
      <c r="F144" s="37"/>
      <c r="G144" s="37"/>
      <c r="H144" s="37"/>
      <c r="I144" s="37"/>
      <c r="J144" s="37"/>
    </row>
    <row r="145" spans="1:10" ht="16" thickBot="1" x14ac:dyDescent="0.4">
      <c r="A145" s="42">
        <v>2</v>
      </c>
      <c r="B145" s="43" t="s">
        <v>111</v>
      </c>
      <c r="C145" s="37"/>
      <c r="D145" s="37"/>
      <c r="E145" s="37"/>
      <c r="F145" s="37"/>
      <c r="G145" s="37"/>
      <c r="H145" s="37"/>
      <c r="I145" s="37"/>
      <c r="J145" s="37"/>
    </row>
    <row r="146" spans="1:10" x14ac:dyDescent="0.25">
      <c r="A146" s="36"/>
      <c r="B146" s="183"/>
      <c r="C146" s="46"/>
      <c r="D146" s="46"/>
      <c r="E146" s="46"/>
      <c r="F146" s="47"/>
      <c r="G146" s="37"/>
      <c r="H146" s="37"/>
      <c r="I146" s="37"/>
      <c r="J146" s="37"/>
    </row>
    <row r="147" spans="1:10" ht="12" customHeight="1" thickBot="1" x14ac:dyDescent="0.35">
      <c r="A147" s="36"/>
      <c r="B147" s="184"/>
      <c r="C147" s="185"/>
      <c r="D147" s="185"/>
      <c r="E147" s="185"/>
      <c r="F147" s="52"/>
      <c r="G147" s="37"/>
      <c r="H147" s="37"/>
      <c r="I147" s="37"/>
      <c r="J147" s="37"/>
    </row>
    <row r="148" spans="1:10" ht="13" hidden="1" x14ac:dyDescent="0.3">
      <c r="A148" s="36"/>
      <c r="B148" s="186" t="s">
        <v>112</v>
      </c>
      <c r="C148" s="187">
        <f>SUM(C149:C150)</f>
        <v>0</v>
      </c>
      <c r="D148" s="88"/>
      <c r="E148" s="88"/>
      <c r="F148" s="52"/>
      <c r="G148" s="37"/>
      <c r="H148" s="37"/>
      <c r="I148" s="37"/>
      <c r="J148" s="37"/>
    </row>
    <row r="149" spans="1:10" ht="13.5" customHeight="1" x14ac:dyDescent="0.3">
      <c r="A149" s="36"/>
      <c r="B149" s="188" t="s">
        <v>112</v>
      </c>
      <c r="C149" s="189">
        <v>0</v>
      </c>
      <c r="D149" s="190"/>
      <c r="E149" s="190"/>
      <c r="F149" s="47"/>
      <c r="G149" s="37"/>
      <c r="H149" s="37"/>
      <c r="I149" s="37"/>
      <c r="J149" s="37"/>
    </row>
    <row r="150" spans="1:10" ht="13" hidden="1" x14ac:dyDescent="0.3">
      <c r="A150" s="36"/>
      <c r="B150" s="191" t="s">
        <v>113</v>
      </c>
      <c r="C150" s="192">
        <v>0</v>
      </c>
      <c r="D150" s="193"/>
      <c r="E150" s="193"/>
      <c r="F150" s="52"/>
      <c r="G150" s="37"/>
      <c r="H150" s="37"/>
      <c r="I150" s="37"/>
      <c r="J150" s="37"/>
    </row>
    <row r="151" spans="1:10" ht="13" x14ac:dyDescent="0.3">
      <c r="A151" s="36"/>
      <c r="B151" s="194" t="s">
        <v>114</v>
      </c>
      <c r="C151" s="109">
        <v>0</v>
      </c>
      <c r="D151" s="195" t="s">
        <v>115</v>
      </c>
      <c r="E151" s="196" t="s">
        <v>116</v>
      </c>
      <c r="F151" s="197" t="s">
        <v>117</v>
      </c>
      <c r="G151" s="37"/>
      <c r="H151" s="37"/>
      <c r="I151" s="37"/>
      <c r="J151" s="37"/>
    </row>
    <row r="152" spans="1:10" ht="15" customHeight="1" x14ac:dyDescent="0.3">
      <c r="A152" s="36"/>
      <c r="B152" s="194" t="s">
        <v>118</v>
      </c>
      <c r="C152" s="109">
        <v>0</v>
      </c>
      <c r="D152" s="198">
        <v>0.03</v>
      </c>
      <c r="E152" s="199">
        <v>5</v>
      </c>
      <c r="F152" s="200">
        <v>0</v>
      </c>
      <c r="G152" s="37"/>
      <c r="H152" s="37"/>
      <c r="I152" s="37"/>
      <c r="J152" s="37"/>
    </row>
    <row r="153" spans="1:10" ht="13" hidden="1" x14ac:dyDescent="0.3">
      <c r="A153" s="36"/>
      <c r="B153" s="201" t="s">
        <v>119</v>
      </c>
      <c r="C153" s="202">
        <v>0</v>
      </c>
      <c r="D153" s="92"/>
      <c r="E153" s="92"/>
      <c r="F153" s="52"/>
      <c r="G153" s="37"/>
      <c r="H153" s="37"/>
      <c r="I153" s="37"/>
      <c r="J153" s="37"/>
    </row>
    <row r="154" spans="1:10" ht="12" customHeight="1" thickBot="1" x14ac:dyDescent="0.35">
      <c r="A154" s="36"/>
      <c r="B154" s="203" t="s">
        <v>120</v>
      </c>
      <c r="C154" s="204">
        <f>SUM(C149:C153)</f>
        <v>0</v>
      </c>
      <c r="D154" s="117"/>
      <c r="E154" s="117"/>
      <c r="F154" s="205"/>
      <c r="G154" s="37"/>
      <c r="H154" s="37"/>
      <c r="I154" s="37"/>
      <c r="J154" s="37"/>
    </row>
    <row r="155" spans="1:10" hidden="1" x14ac:dyDescent="0.25">
      <c r="A155" s="36"/>
      <c r="B155" s="62"/>
      <c r="C155" s="206"/>
      <c r="D155" s="51"/>
      <c r="E155" s="51"/>
      <c r="F155" s="52"/>
      <c r="G155" s="37"/>
      <c r="H155" s="37"/>
      <c r="I155" s="37"/>
      <c r="J155" s="37"/>
    </row>
    <row r="156" spans="1:10" ht="13" hidden="1" x14ac:dyDescent="0.3">
      <c r="A156" s="36"/>
      <c r="B156" s="194" t="s">
        <v>121</v>
      </c>
      <c r="C156" s="207" t="s">
        <v>16</v>
      </c>
      <c r="D156" s="207" t="s">
        <v>16</v>
      </c>
      <c r="E156" s="208" t="s">
        <v>16</v>
      </c>
      <c r="F156" s="52"/>
      <c r="G156" s="37"/>
      <c r="H156" s="37"/>
      <c r="I156" s="37"/>
      <c r="J156" s="37"/>
    </row>
    <row r="157" spans="1:10" hidden="1" x14ac:dyDescent="0.25">
      <c r="A157" s="36"/>
      <c r="B157" s="62"/>
      <c r="C157" s="51"/>
      <c r="D157" s="51"/>
      <c r="E157" s="51"/>
      <c r="F157" s="52"/>
      <c r="G157" s="37"/>
      <c r="H157" s="37"/>
      <c r="I157" s="37"/>
      <c r="J157" s="37"/>
    </row>
    <row r="158" spans="1:10" ht="13" hidden="1" x14ac:dyDescent="0.25">
      <c r="A158" s="36"/>
      <c r="B158" s="209" t="s">
        <v>122</v>
      </c>
      <c r="C158" s="210" t="s">
        <v>123</v>
      </c>
      <c r="D158" s="211" t="s">
        <v>124</v>
      </c>
      <c r="E158" s="212" t="s">
        <v>125</v>
      </c>
      <c r="F158" s="52"/>
      <c r="G158" s="37"/>
      <c r="H158" s="37"/>
      <c r="I158" s="37"/>
      <c r="J158" s="37"/>
    </row>
    <row r="159" spans="1:10" ht="13" hidden="1" x14ac:dyDescent="0.25">
      <c r="A159" s="36"/>
      <c r="B159" s="213" t="s">
        <v>115</v>
      </c>
      <c r="C159" s="214">
        <v>7.0000000000000007E-2</v>
      </c>
      <c r="D159" s="215">
        <f>C159</f>
        <v>7.0000000000000007E-2</v>
      </c>
      <c r="E159" s="216">
        <f>D159</f>
        <v>7.0000000000000007E-2</v>
      </c>
      <c r="F159" s="52"/>
      <c r="G159" s="37"/>
      <c r="H159" s="37"/>
      <c r="I159" s="37"/>
      <c r="J159" s="37"/>
    </row>
    <row r="160" spans="1:10" ht="13" hidden="1" x14ac:dyDescent="0.25">
      <c r="A160" s="36"/>
      <c r="B160" s="213" t="s">
        <v>116</v>
      </c>
      <c r="C160" s="217">
        <v>3</v>
      </c>
      <c r="D160" s="218">
        <f>C160</f>
        <v>3</v>
      </c>
      <c r="E160" s="219">
        <f>D160</f>
        <v>3</v>
      </c>
      <c r="F160" s="52"/>
      <c r="G160" s="37"/>
      <c r="H160" s="37"/>
      <c r="I160" s="37"/>
      <c r="J160" s="37"/>
    </row>
    <row r="161" spans="1:24" ht="13" hidden="1" x14ac:dyDescent="0.25">
      <c r="A161" s="36"/>
      <c r="B161" s="220" t="s">
        <v>126</v>
      </c>
      <c r="C161" s="221"/>
      <c r="D161" s="221"/>
      <c r="E161" s="222"/>
      <c r="F161" s="52"/>
      <c r="G161" s="37"/>
      <c r="H161" s="37"/>
      <c r="I161" s="37"/>
      <c r="J161" s="37"/>
    </row>
    <row r="162" spans="1:24" ht="13" hidden="1" x14ac:dyDescent="0.25">
      <c r="A162" s="36"/>
      <c r="B162" s="213" t="s">
        <v>115</v>
      </c>
      <c r="C162" s="214">
        <v>7.0000000000000007E-2</v>
      </c>
      <c r="D162" s="215">
        <f>C162</f>
        <v>7.0000000000000007E-2</v>
      </c>
      <c r="E162" s="216">
        <f>D162</f>
        <v>7.0000000000000007E-2</v>
      </c>
      <c r="F162" s="52"/>
      <c r="G162" s="37"/>
      <c r="H162" s="37"/>
      <c r="I162" s="37"/>
      <c r="J162" s="37"/>
    </row>
    <row r="163" spans="1:24" ht="13" hidden="1" x14ac:dyDescent="0.25">
      <c r="A163" s="36"/>
      <c r="B163" s="213" t="s">
        <v>116</v>
      </c>
      <c r="C163" s="217">
        <v>3</v>
      </c>
      <c r="D163" s="218">
        <f>C163</f>
        <v>3</v>
      </c>
      <c r="E163" s="219">
        <f>D163</f>
        <v>3</v>
      </c>
      <c r="F163" s="52"/>
      <c r="G163" s="37"/>
      <c r="H163" s="37"/>
      <c r="I163" s="37"/>
      <c r="J163" s="37"/>
    </row>
    <row r="164" spans="1:24" ht="13" hidden="1" x14ac:dyDescent="0.25">
      <c r="A164" s="36"/>
      <c r="B164" s="220" t="s">
        <v>127</v>
      </c>
      <c r="C164" s="221"/>
      <c r="D164" s="221"/>
      <c r="E164" s="222"/>
      <c r="F164" s="52"/>
      <c r="G164" s="37"/>
      <c r="H164" s="37"/>
      <c r="I164" s="37"/>
      <c r="J164" s="37"/>
    </row>
    <row r="165" spans="1:24" ht="13" hidden="1" x14ac:dyDescent="0.25">
      <c r="A165" s="36"/>
      <c r="B165" s="213" t="s">
        <v>115</v>
      </c>
      <c r="C165" s="214">
        <v>7.0000000000000007E-2</v>
      </c>
      <c r="D165" s="215">
        <f>C165</f>
        <v>7.0000000000000007E-2</v>
      </c>
      <c r="E165" s="216">
        <f>D165</f>
        <v>7.0000000000000007E-2</v>
      </c>
      <c r="F165" s="52"/>
      <c r="G165" s="37"/>
      <c r="H165" s="37"/>
      <c r="I165" s="37"/>
      <c r="J165" s="37"/>
    </row>
    <row r="166" spans="1:24" ht="12.75" hidden="1" customHeight="1" x14ac:dyDescent="0.25">
      <c r="A166" s="36"/>
      <c r="B166" s="213" t="s">
        <v>116</v>
      </c>
      <c r="C166" s="217">
        <v>3</v>
      </c>
      <c r="D166" s="218">
        <f>C166</f>
        <v>3</v>
      </c>
      <c r="E166" s="219">
        <f>D166</f>
        <v>3</v>
      </c>
      <c r="F166" s="52"/>
      <c r="G166" s="37"/>
      <c r="H166" s="37"/>
      <c r="I166" s="37"/>
      <c r="J166" s="37"/>
    </row>
    <row r="167" spans="1:24" ht="13" hidden="1" x14ac:dyDescent="0.3">
      <c r="A167" s="36"/>
      <c r="B167" s="48" t="s">
        <v>118</v>
      </c>
      <c r="C167" s="221"/>
      <c r="D167" s="51"/>
      <c r="E167" s="51"/>
      <c r="F167" s="52"/>
      <c r="G167" s="37"/>
      <c r="H167" s="37"/>
      <c r="I167" s="37"/>
      <c r="J167" s="37"/>
    </row>
    <row r="168" spans="1:24" ht="13" hidden="1" x14ac:dyDescent="0.25">
      <c r="A168" s="36"/>
      <c r="B168" s="223" t="s">
        <v>115</v>
      </c>
      <c r="C168" s="224">
        <v>0.03</v>
      </c>
      <c r="D168" s="51"/>
      <c r="E168" s="51"/>
      <c r="F168" s="52"/>
      <c r="G168" s="37"/>
      <c r="H168" s="37"/>
      <c r="I168" s="37"/>
      <c r="J168" s="37"/>
      <c r="W168" s="221"/>
      <c r="X168" s="225"/>
    </row>
    <row r="169" spans="1:24" hidden="1" x14ac:dyDescent="0.25">
      <c r="A169" s="36"/>
      <c r="B169" s="213" t="s">
        <v>116</v>
      </c>
      <c r="C169" s="226">
        <v>5</v>
      </c>
      <c r="D169" s="51"/>
      <c r="E169" s="51"/>
      <c r="F169" s="52"/>
      <c r="G169" s="37"/>
      <c r="H169" s="37"/>
      <c r="I169" s="37"/>
      <c r="J169" s="37"/>
      <c r="W169" s="227">
        <f>C168</f>
        <v>0.03</v>
      </c>
      <c r="X169" s="228">
        <f>W169</f>
        <v>0.03</v>
      </c>
    </row>
    <row r="170" spans="1:24" hidden="1" x14ac:dyDescent="0.25">
      <c r="A170" s="36"/>
      <c r="B170" s="223" t="s">
        <v>117</v>
      </c>
      <c r="C170" s="226">
        <v>0</v>
      </c>
      <c r="D170" s="51"/>
      <c r="E170" s="51"/>
      <c r="F170" s="52"/>
      <c r="G170" s="37"/>
      <c r="H170" s="37"/>
      <c r="I170" s="37"/>
      <c r="J170" s="37"/>
      <c r="W170" s="229">
        <f>C169</f>
        <v>5</v>
      </c>
      <c r="X170" s="230">
        <f>W170</f>
        <v>5</v>
      </c>
    </row>
    <row r="171" spans="1:24" hidden="1" x14ac:dyDescent="0.25">
      <c r="A171" s="36"/>
      <c r="B171" s="223" t="s">
        <v>128</v>
      </c>
      <c r="C171" s="231" t="s">
        <v>78</v>
      </c>
      <c r="D171" s="51"/>
      <c r="E171" s="51"/>
      <c r="F171" s="52"/>
      <c r="G171" s="37"/>
      <c r="H171" s="37"/>
      <c r="I171" s="37"/>
      <c r="J171" s="37"/>
      <c r="W171" s="226">
        <v>0</v>
      </c>
      <c r="X171" s="226">
        <v>0</v>
      </c>
    </row>
    <row r="172" spans="1:24" ht="9.75" customHeight="1" x14ac:dyDescent="0.25">
      <c r="A172" s="36"/>
      <c r="B172" s="232"/>
      <c r="C172" s="233"/>
      <c r="D172" s="51"/>
      <c r="E172" s="51"/>
      <c r="F172" s="52"/>
      <c r="G172" s="37"/>
      <c r="H172" s="37"/>
      <c r="I172" s="37"/>
      <c r="J172" s="37"/>
      <c r="W172" s="226" t="s">
        <v>78</v>
      </c>
      <c r="X172" s="226" t="s">
        <v>78</v>
      </c>
    </row>
    <row r="173" spans="1:24" ht="13" hidden="1" x14ac:dyDescent="0.25">
      <c r="A173" s="36"/>
      <c r="B173" s="220" t="s">
        <v>129</v>
      </c>
      <c r="C173" s="210" t="s">
        <v>123</v>
      </c>
      <c r="D173" s="51"/>
      <c r="E173" s="51"/>
      <c r="F173" s="52"/>
      <c r="G173" s="37"/>
      <c r="H173" s="37"/>
      <c r="I173" s="37"/>
      <c r="J173" s="37"/>
      <c r="W173" s="233"/>
      <c r="X173" s="234"/>
    </row>
    <row r="174" spans="1:24" ht="13" hidden="1" x14ac:dyDescent="0.25">
      <c r="A174" s="36"/>
      <c r="B174" s="235"/>
      <c r="C174" s="236"/>
      <c r="D174" s="51"/>
      <c r="E174" s="51"/>
      <c r="F174" s="52"/>
      <c r="G174" s="37"/>
      <c r="H174" s="37"/>
      <c r="I174" s="37"/>
      <c r="J174" s="37"/>
      <c r="W174" s="237" t="s">
        <v>130</v>
      </c>
      <c r="X174" s="238" t="s">
        <v>131</v>
      </c>
    </row>
    <row r="175" spans="1:24" hidden="1" x14ac:dyDescent="0.25">
      <c r="A175" s="36"/>
      <c r="B175" s="239" t="s">
        <v>132</v>
      </c>
      <c r="C175" s="240" t="s">
        <v>82</v>
      </c>
      <c r="D175" s="51"/>
      <c r="E175" s="51"/>
      <c r="F175" s="52"/>
      <c r="G175" s="37"/>
      <c r="H175" s="37"/>
      <c r="I175" s="37"/>
      <c r="J175" s="37"/>
      <c r="W175" s="226"/>
      <c r="X175" s="241"/>
    </row>
    <row r="176" spans="1:24" hidden="1" x14ac:dyDescent="0.25">
      <c r="A176" s="36"/>
      <c r="B176" s="239" t="s">
        <v>133</v>
      </c>
      <c r="C176" s="242">
        <v>0</v>
      </c>
      <c r="D176" s="51"/>
      <c r="E176" s="51"/>
      <c r="F176" s="52"/>
      <c r="G176" s="37"/>
      <c r="H176" s="37"/>
      <c r="I176" s="37"/>
      <c r="J176" s="37"/>
      <c r="W176" s="243" t="str">
        <f>C175</f>
        <v>TRIMESTRAL</v>
      </c>
      <c r="X176" s="244" t="str">
        <f>W176</f>
        <v>TRIMESTRAL</v>
      </c>
    </row>
    <row r="177" spans="1:24" ht="13" thickBot="1" x14ac:dyDescent="0.3">
      <c r="A177" s="36"/>
      <c r="B177" s="245"/>
      <c r="C177" s="246"/>
      <c r="D177" s="246"/>
      <c r="E177" s="246"/>
      <c r="F177" s="205"/>
      <c r="G177" s="37"/>
      <c r="H177" s="37"/>
      <c r="I177" s="37"/>
      <c r="J177" s="37"/>
      <c r="W177" s="247">
        <f>C176</f>
        <v>0</v>
      </c>
      <c r="X177" s="248">
        <f>W177</f>
        <v>0</v>
      </c>
    </row>
    <row r="178" spans="1:24" ht="13" thickBot="1" x14ac:dyDescent="0.3">
      <c r="A178" s="36"/>
      <c r="B178" s="249"/>
      <c r="C178" s="250"/>
      <c r="D178" s="37"/>
      <c r="E178" s="37"/>
      <c r="F178" s="37"/>
      <c r="G178" s="37"/>
      <c r="H178" s="37"/>
      <c r="I178" s="37"/>
      <c r="J178" s="37"/>
    </row>
    <row r="179" spans="1:24" ht="15.5" x14ac:dyDescent="0.35">
      <c r="A179" s="42">
        <v>3</v>
      </c>
      <c r="B179" s="43" t="s">
        <v>134</v>
      </c>
      <c r="C179" s="250"/>
      <c r="D179" s="37"/>
      <c r="E179" s="37"/>
      <c r="F179" s="37"/>
      <c r="G179" s="37"/>
      <c r="H179" s="37"/>
      <c r="I179" s="37"/>
      <c r="J179" s="37"/>
    </row>
    <row r="180" spans="1:24" ht="13" x14ac:dyDescent="0.3">
      <c r="A180" s="36"/>
      <c r="B180" s="1783"/>
      <c r="C180" s="1783"/>
      <c r="D180" s="1783"/>
      <c r="E180" s="1783"/>
      <c r="F180" s="1783"/>
      <c r="G180" s="251"/>
      <c r="H180" s="46"/>
      <c r="I180" s="46"/>
      <c r="J180" s="47"/>
    </row>
    <row r="181" spans="1:24" ht="12" customHeight="1" x14ac:dyDescent="0.3">
      <c r="A181" s="36"/>
      <c r="B181" s="252"/>
      <c r="C181" s="253"/>
      <c r="D181" s="253"/>
      <c r="E181" s="253"/>
      <c r="F181" s="253"/>
      <c r="G181" s="254"/>
      <c r="H181" s="51"/>
      <c r="I181" s="51"/>
      <c r="J181" s="52"/>
    </row>
    <row r="182" spans="1:24" ht="13" hidden="1" x14ac:dyDescent="0.3">
      <c r="A182" s="36"/>
      <c r="B182" s="255"/>
      <c r="C182" s="84"/>
      <c r="D182" s="84"/>
      <c r="E182" s="84"/>
      <c r="F182" s="84"/>
      <c r="G182" s="84"/>
      <c r="H182" s="84"/>
      <c r="I182" s="84"/>
      <c r="J182" s="85"/>
    </row>
    <row r="183" spans="1:24" ht="13" hidden="1" x14ac:dyDescent="0.3">
      <c r="A183" s="36"/>
      <c r="B183" s="256"/>
      <c r="C183" s="257"/>
      <c r="D183" s="258"/>
      <c r="E183" s="69"/>
      <c r="F183" s="69"/>
      <c r="G183" s="258"/>
      <c r="H183" s="259"/>
      <c r="I183" s="259"/>
      <c r="J183" s="260"/>
    </row>
    <row r="184" spans="1:24" ht="13" hidden="1" x14ac:dyDescent="0.3">
      <c r="A184" s="36"/>
      <c r="B184" s="256"/>
      <c r="C184" s="257"/>
      <c r="D184" s="258"/>
      <c r="E184" s="69"/>
      <c r="F184" s="69"/>
      <c r="G184" s="258"/>
      <c r="H184" s="259"/>
      <c r="I184" s="259"/>
      <c r="J184" s="260"/>
      <c r="Q184">
        <v>1</v>
      </c>
      <c r="R184">
        <v>2</v>
      </c>
      <c r="S184">
        <v>3</v>
      </c>
    </row>
    <row r="185" spans="1:24" ht="12.75" hidden="1" customHeight="1" x14ac:dyDescent="0.3">
      <c r="A185" s="36"/>
      <c r="B185" s="256"/>
      <c r="C185" s="257"/>
      <c r="D185" s="258"/>
      <c r="E185" s="69"/>
      <c r="F185" s="69"/>
      <c r="G185" s="258"/>
      <c r="H185" s="259"/>
      <c r="I185" s="259"/>
      <c r="J185" s="260"/>
      <c r="P185" s="261" t="s">
        <v>135</v>
      </c>
      <c r="Q185" t="e">
        <f>+#REF!*$C183*(SUM($C$199:$C$210))</f>
        <v>#REF!</v>
      </c>
      <c r="R185" t="e">
        <f>+#REF!*$C183*(SUM($C$215:$C$226))</f>
        <v>#REF!</v>
      </c>
      <c r="S185" t="e">
        <f>+#REF!*$C183*(SUM($C$231:$C$242))</f>
        <v>#REF!</v>
      </c>
    </row>
    <row r="186" spans="1:24" ht="13" hidden="1" x14ac:dyDescent="0.3">
      <c r="A186" s="36"/>
      <c r="B186" s="262" t="s">
        <v>136</v>
      </c>
      <c r="C186" s="263">
        <v>0</v>
      </c>
      <c r="D186" s="264">
        <v>1</v>
      </c>
      <c r="E186" s="265">
        <v>0</v>
      </c>
      <c r="F186" s="265">
        <v>0</v>
      </c>
      <c r="G186" s="258"/>
      <c r="H186" s="259"/>
      <c r="I186" s="259"/>
      <c r="J186" s="260"/>
      <c r="P186" s="261" t="s">
        <v>137</v>
      </c>
      <c r="Q186" t="e">
        <f>+#REF!*$C184*(SUM($D$199:$D$210))</f>
        <v>#REF!</v>
      </c>
      <c r="R186" t="e">
        <f>+#REF!*$C184*(SUM($D$215:$D$226))</f>
        <v>#REF!</v>
      </c>
      <c r="S186" t="e">
        <f>+#REF!*$C184*(SUM($D$231:$D$242))</f>
        <v>#REF!</v>
      </c>
    </row>
    <row r="187" spans="1:24" ht="13" hidden="1" x14ac:dyDescent="0.3">
      <c r="A187" s="36"/>
      <c r="B187" s="261" t="s">
        <v>138</v>
      </c>
      <c r="C187" s="266">
        <v>0</v>
      </c>
      <c r="D187" s="267">
        <v>1</v>
      </c>
      <c r="E187" s="268">
        <v>0</v>
      </c>
      <c r="F187" s="268">
        <v>0</v>
      </c>
      <c r="G187" s="258"/>
      <c r="H187" s="259"/>
      <c r="I187" s="259"/>
      <c r="J187" s="260"/>
      <c r="P187" s="261" t="s">
        <v>139</v>
      </c>
      <c r="Q187" t="e">
        <f>+#REF!*$C185*(SUM($E$199:$E$210))</f>
        <v>#REF!</v>
      </c>
      <c r="R187" t="e">
        <f>+#REF!*$C185*(SUM($E$215:$E$226))</f>
        <v>#REF!</v>
      </c>
      <c r="S187" t="e">
        <f>+#REF!*$C185*(SUM($E$231:$E$242))</f>
        <v>#REF!</v>
      </c>
    </row>
    <row r="188" spans="1:24" ht="13" hidden="1" x14ac:dyDescent="0.3">
      <c r="A188" s="36"/>
      <c r="B188" s="261" t="s">
        <v>140</v>
      </c>
      <c r="C188" s="266">
        <v>0</v>
      </c>
      <c r="D188" s="267">
        <v>1</v>
      </c>
      <c r="E188" s="268">
        <v>0</v>
      </c>
      <c r="F188" s="268">
        <v>0</v>
      </c>
      <c r="G188" s="258"/>
      <c r="H188" s="259"/>
      <c r="I188" s="259"/>
      <c r="J188" s="260"/>
      <c r="P188" s="261" t="s">
        <v>136</v>
      </c>
      <c r="Q188" t="e">
        <f>+#REF!*$C186*(SUM($F$199:$F$210))</f>
        <v>#REF!</v>
      </c>
      <c r="R188" t="e">
        <f>+#REF!*$C186*(SUM($F$215:$F$226))</f>
        <v>#REF!</v>
      </c>
      <c r="S188" t="e">
        <f>+#REF!*$C186*(SUM($F$231:$F$242))</f>
        <v>#REF!</v>
      </c>
    </row>
    <row r="189" spans="1:24" ht="13" hidden="1" x14ac:dyDescent="0.3">
      <c r="A189" s="36"/>
      <c r="B189" s="261" t="s">
        <v>141</v>
      </c>
      <c r="C189" s="266">
        <v>0</v>
      </c>
      <c r="D189" s="267">
        <v>1</v>
      </c>
      <c r="E189" s="268">
        <v>0</v>
      </c>
      <c r="F189" s="268">
        <v>0</v>
      </c>
      <c r="G189" s="258"/>
      <c r="H189" s="259"/>
      <c r="I189" s="259"/>
      <c r="J189" s="260"/>
      <c r="P189" s="261" t="s">
        <v>138</v>
      </c>
      <c r="Q189" t="e">
        <f>+#REF!*$C187*(SUM($G$199:$G$210))</f>
        <v>#REF!</v>
      </c>
      <c r="R189" t="e">
        <f>+#REF!*$C187*(SUM($G$215:$G$226))</f>
        <v>#REF!</v>
      </c>
      <c r="S189" t="e">
        <f>+#REF!*$C187*(SUM($G$231:$G$242))</f>
        <v>#REF!</v>
      </c>
    </row>
    <row r="190" spans="1:24" ht="13" hidden="1" x14ac:dyDescent="0.3">
      <c r="A190" s="36"/>
      <c r="B190" s="261" t="s">
        <v>142</v>
      </c>
      <c r="C190" s="266">
        <v>0</v>
      </c>
      <c r="D190" s="267">
        <v>1</v>
      </c>
      <c r="E190" s="268">
        <v>0</v>
      </c>
      <c r="F190" s="268">
        <v>0</v>
      </c>
      <c r="G190" s="258"/>
      <c r="H190" s="259"/>
      <c r="I190" s="259"/>
      <c r="J190" s="260"/>
      <c r="P190" s="261" t="s">
        <v>140</v>
      </c>
      <c r="Q190" t="e">
        <f>+#REF!*$C188*(SUM($H$199:$H$210))</f>
        <v>#REF!</v>
      </c>
      <c r="R190" t="e">
        <f>+#REF!*$C188*(SUM($H$215:$H$226))</f>
        <v>#REF!</v>
      </c>
      <c r="S190" t="e">
        <f>+#REF!*$C188*(SUM($H$231:$H$242))</f>
        <v>#REF!</v>
      </c>
    </row>
    <row r="191" spans="1:24" ht="13" hidden="1" x14ac:dyDescent="0.3">
      <c r="A191" s="36"/>
      <c r="B191" s="261" t="s">
        <v>143</v>
      </c>
      <c r="C191" s="266">
        <v>0</v>
      </c>
      <c r="D191" s="267">
        <v>1</v>
      </c>
      <c r="E191" s="268">
        <v>0</v>
      </c>
      <c r="F191" s="268">
        <v>0</v>
      </c>
      <c r="G191" s="258"/>
      <c r="H191" s="259"/>
      <c r="I191" s="259"/>
      <c r="J191" s="260"/>
      <c r="P191" s="261" t="s">
        <v>141</v>
      </c>
      <c r="Q191" t="e">
        <f>+#REF!*$C189*(SUM($I$199:$I$210))</f>
        <v>#REF!</v>
      </c>
      <c r="R191" t="e">
        <f>+#REF!*$C189*(SUM($I$215:$I$226))</f>
        <v>#REF!</v>
      </c>
      <c r="S191" t="e">
        <f>+#REF!*$C189*(SUM($I$231:$I$242))</f>
        <v>#REF!</v>
      </c>
    </row>
    <row r="192" spans="1:24" ht="13" hidden="1" x14ac:dyDescent="0.3">
      <c r="A192" s="36"/>
      <c r="B192" s="261" t="s">
        <v>144</v>
      </c>
      <c r="C192" s="266">
        <v>0</v>
      </c>
      <c r="D192" s="267">
        <v>1</v>
      </c>
      <c r="E192" s="268">
        <v>0</v>
      </c>
      <c r="F192" s="268">
        <v>0</v>
      </c>
      <c r="G192" s="258"/>
      <c r="H192" s="259"/>
      <c r="I192" s="259"/>
      <c r="J192" s="260"/>
      <c r="P192" s="261" t="s">
        <v>142</v>
      </c>
      <c r="Q192" t="e">
        <f>+#REF!*$C190*(SUM($J$199:$J$210))</f>
        <v>#REF!</v>
      </c>
      <c r="R192" t="e">
        <f>+#REF!*$C190*(SUM($J$215:$J$226))</f>
        <v>#REF!</v>
      </c>
      <c r="S192" t="e">
        <f>+#REF!*$C190*(SUM($J$231:$J$242))</f>
        <v>#REF!</v>
      </c>
    </row>
    <row r="193" spans="1:19" ht="13" hidden="1" x14ac:dyDescent="0.3">
      <c r="A193" s="36"/>
      <c r="B193" s="261" t="s">
        <v>145</v>
      </c>
      <c r="C193" s="266">
        <v>0</v>
      </c>
      <c r="D193" s="267">
        <v>1</v>
      </c>
      <c r="E193" s="268">
        <v>0</v>
      </c>
      <c r="F193" s="268">
        <v>0</v>
      </c>
      <c r="G193" s="258"/>
      <c r="H193" s="259"/>
      <c r="I193" s="259"/>
      <c r="J193" s="260"/>
      <c r="P193" s="261" t="s">
        <v>143</v>
      </c>
      <c r="Q193" t="e">
        <f>+#REF!*$C191*(SUM(#REF!))</f>
        <v>#REF!</v>
      </c>
      <c r="R193" t="e">
        <f>+#REF!*$C191*(SUM(#REF!))</f>
        <v>#REF!</v>
      </c>
      <c r="S193" t="e">
        <f>+#REF!*$C191*(SUM(#REF!))</f>
        <v>#REF!</v>
      </c>
    </row>
    <row r="194" spans="1:19" ht="13" hidden="1" x14ac:dyDescent="0.3">
      <c r="A194" s="36"/>
      <c r="B194" s="261" t="s">
        <v>146</v>
      </c>
      <c r="C194" s="266">
        <v>0</v>
      </c>
      <c r="D194" s="267">
        <v>1</v>
      </c>
      <c r="E194" s="269">
        <v>0</v>
      </c>
      <c r="F194" s="269">
        <v>0</v>
      </c>
      <c r="G194" s="258"/>
      <c r="H194" s="259"/>
      <c r="I194" s="259"/>
      <c r="J194" s="260"/>
      <c r="P194" s="261" t="s">
        <v>144</v>
      </c>
      <c r="Q194" t="e">
        <f>+#REF!*$C192*(SUM(#REF!))</f>
        <v>#REF!</v>
      </c>
      <c r="R194" t="e">
        <f>+#REF!*$C192*(SUM(#REF!))</f>
        <v>#REF!</v>
      </c>
      <c r="S194" t="e">
        <f>+#REF!*$C192*(SUM(#REF!))</f>
        <v>#REF!</v>
      </c>
    </row>
    <row r="195" spans="1:19" ht="13.5" thickBot="1" x14ac:dyDescent="0.35">
      <c r="A195" s="36"/>
      <c r="B195" s="62"/>
      <c r="C195" s="51"/>
      <c r="D195" s="51"/>
      <c r="E195" s="51"/>
      <c r="F195" s="51"/>
      <c r="G195" s="51"/>
      <c r="H195" s="51"/>
      <c r="I195" s="51"/>
      <c r="J195" s="52"/>
      <c r="P195" s="261" t="s">
        <v>145</v>
      </c>
      <c r="Q195" t="e">
        <f>+#REF!*$C193*(SUM(#REF!))</f>
        <v>#REF!</v>
      </c>
      <c r="R195" t="e">
        <f>+#REF!*$C193*(SUM(#REF!))</f>
        <v>#REF!</v>
      </c>
      <c r="S195" t="e">
        <f>+#REF!*$C193*(SUM(#REF!))</f>
        <v>#REF!</v>
      </c>
    </row>
    <row r="196" spans="1:19" ht="15.5" x14ac:dyDescent="0.35">
      <c r="A196" s="36"/>
      <c r="B196" s="270"/>
      <c r="C196" s="271" t="s">
        <v>147</v>
      </c>
      <c r="D196" s="272"/>
      <c r="E196" s="273"/>
      <c r="F196" s="274"/>
      <c r="G196" s="275"/>
      <c r="H196" s="51"/>
      <c r="I196" s="51"/>
      <c r="J196" s="52"/>
      <c r="P196" s="261" t="s">
        <v>146</v>
      </c>
      <c r="Q196" t="e">
        <f>+#REF!*$C194*(SUM(#REF!))</f>
        <v>#REF!</v>
      </c>
      <c r="R196" t="e">
        <f>+#REF!*$C194*(SUM(#REF!))</f>
        <v>#REF!</v>
      </c>
      <c r="S196" t="e">
        <f>+#REF!*$C194*(SUM(#REF!))</f>
        <v>#REF!</v>
      </c>
    </row>
    <row r="197" spans="1:19" ht="13" x14ac:dyDescent="0.3">
      <c r="A197" s="36"/>
      <c r="B197" s="276" t="s">
        <v>148</v>
      </c>
      <c r="C197" s="277" t="s">
        <v>135</v>
      </c>
      <c r="D197" s="278" t="s">
        <v>137</v>
      </c>
      <c r="E197" s="279" t="s">
        <v>139</v>
      </c>
      <c r="F197" s="53"/>
      <c r="G197" s="51"/>
      <c r="H197" s="51"/>
      <c r="I197" s="51"/>
      <c r="J197" s="52"/>
    </row>
    <row r="198" spans="1:19" ht="13" x14ac:dyDescent="0.3">
      <c r="A198" s="36"/>
      <c r="B198" s="276" t="s">
        <v>149</v>
      </c>
      <c r="C198" s="280">
        <v>1</v>
      </c>
      <c r="D198" s="281">
        <v>1</v>
      </c>
      <c r="E198" s="282">
        <v>1</v>
      </c>
      <c r="F198" s="53"/>
      <c r="G198" s="1784"/>
      <c r="H198" s="1785"/>
      <c r="I198" s="1785"/>
      <c r="J198" s="283"/>
    </row>
    <row r="199" spans="1:19" ht="13" x14ac:dyDescent="0.3">
      <c r="A199" s="36"/>
      <c r="B199" s="284" t="str">
        <f>TRIBUTS!K1</f>
        <v>GENER</v>
      </c>
      <c r="C199" s="285">
        <v>0</v>
      </c>
      <c r="D199" s="286">
        <v>0</v>
      </c>
      <c r="E199" s="285">
        <v>0</v>
      </c>
      <c r="F199" s="69"/>
      <c r="G199" s="1784"/>
      <c r="H199" s="287"/>
      <c r="I199" s="288"/>
      <c r="J199" s="289"/>
    </row>
    <row r="200" spans="1:19" ht="13" x14ac:dyDescent="0.3">
      <c r="A200" s="36"/>
      <c r="B200" s="290" t="str">
        <f>TRIBUTS!K2</f>
        <v>FEBRER</v>
      </c>
      <c r="C200" s="285">
        <f>+C199</f>
        <v>0</v>
      </c>
      <c r="D200" s="286">
        <f>+D199</f>
        <v>0</v>
      </c>
      <c r="E200" s="285">
        <f>+E199</f>
        <v>0</v>
      </c>
      <c r="F200" s="291"/>
      <c r="G200" s="1784"/>
      <c r="H200" s="287"/>
      <c r="I200" s="288"/>
      <c r="J200" s="289"/>
    </row>
    <row r="201" spans="1:19" ht="13" x14ac:dyDescent="0.3">
      <c r="A201" s="36"/>
      <c r="B201" s="290" t="str">
        <f>TRIBUTS!K3</f>
        <v>MARÇ</v>
      </c>
      <c r="C201" s="285">
        <f t="shared" ref="C201:C210" si="14">+C200</f>
        <v>0</v>
      </c>
      <c r="D201" s="286">
        <f t="shared" ref="D201:D210" si="15">+D200</f>
        <v>0</v>
      </c>
      <c r="E201" s="285">
        <f t="shared" ref="E201:E210" si="16">+E200</f>
        <v>0</v>
      </c>
      <c r="F201" s="291"/>
      <c r="G201" s="51"/>
      <c r="H201" s="51"/>
      <c r="I201" s="51"/>
      <c r="J201" s="52"/>
    </row>
    <row r="202" spans="1:19" ht="13" x14ac:dyDescent="0.3">
      <c r="A202" s="36"/>
      <c r="B202" s="290" t="str">
        <f>TRIBUTS!K4</f>
        <v>ABRIL</v>
      </c>
      <c r="C202" s="285">
        <f t="shared" si="14"/>
        <v>0</v>
      </c>
      <c r="D202" s="286">
        <f t="shared" si="15"/>
        <v>0</v>
      </c>
      <c r="E202" s="285">
        <f t="shared" si="16"/>
        <v>0</v>
      </c>
      <c r="F202" s="291"/>
      <c r="G202" s="1784"/>
      <c r="H202" s="1785"/>
      <c r="I202" s="1785"/>
      <c r="J202" s="283"/>
    </row>
    <row r="203" spans="1:19" ht="13" x14ac:dyDescent="0.3">
      <c r="A203" s="36"/>
      <c r="B203" s="290" t="str">
        <f>TRIBUTS!K5</f>
        <v>MAIG</v>
      </c>
      <c r="C203" s="285">
        <f t="shared" si="14"/>
        <v>0</v>
      </c>
      <c r="D203" s="286">
        <f t="shared" si="15"/>
        <v>0</v>
      </c>
      <c r="E203" s="285">
        <f t="shared" si="16"/>
        <v>0</v>
      </c>
      <c r="F203" s="291"/>
      <c r="G203" s="1784"/>
      <c r="H203" s="287"/>
      <c r="I203" s="288"/>
      <c r="J203" s="292"/>
    </row>
    <row r="204" spans="1:19" ht="13" x14ac:dyDescent="0.3">
      <c r="A204" s="36"/>
      <c r="B204" s="290" t="str">
        <f>TRIBUTS!K6</f>
        <v>JUNY</v>
      </c>
      <c r="C204" s="285">
        <f t="shared" si="14"/>
        <v>0</v>
      </c>
      <c r="D204" s="286">
        <f t="shared" si="15"/>
        <v>0</v>
      </c>
      <c r="E204" s="285">
        <f t="shared" si="16"/>
        <v>0</v>
      </c>
      <c r="F204" s="291"/>
      <c r="G204" s="1784"/>
      <c r="H204" s="287"/>
      <c r="I204" s="288"/>
      <c r="J204" s="292"/>
    </row>
    <row r="205" spans="1:19" ht="13" x14ac:dyDescent="0.3">
      <c r="A205" s="36"/>
      <c r="B205" s="290" t="str">
        <f>TRIBUTS!K7</f>
        <v>JULIOL</v>
      </c>
      <c r="C205" s="285">
        <f t="shared" si="14"/>
        <v>0</v>
      </c>
      <c r="D205" s="286">
        <f t="shared" si="15"/>
        <v>0</v>
      </c>
      <c r="E205" s="285">
        <f t="shared" si="16"/>
        <v>0</v>
      </c>
      <c r="F205" s="291"/>
      <c r="G205" s="51"/>
      <c r="H205" s="51"/>
      <c r="I205" s="51"/>
      <c r="J205" s="52"/>
    </row>
    <row r="206" spans="1:19" ht="13" x14ac:dyDescent="0.3">
      <c r="A206" s="36"/>
      <c r="B206" s="290" t="str">
        <f>TRIBUTS!K8</f>
        <v>AGOST</v>
      </c>
      <c r="C206" s="285">
        <f t="shared" si="14"/>
        <v>0</v>
      </c>
      <c r="D206" s="286">
        <f t="shared" si="15"/>
        <v>0</v>
      </c>
      <c r="E206" s="285">
        <f t="shared" si="16"/>
        <v>0</v>
      </c>
      <c r="F206" s="291"/>
      <c r="G206" s="1784"/>
      <c r="H206" s="1785"/>
      <c r="I206" s="1785"/>
      <c r="J206" s="283"/>
    </row>
    <row r="207" spans="1:19" ht="13" x14ac:dyDescent="0.3">
      <c r="A207" s="36"/>
      <c r="B207" s="290" t="str">
        <f>TRIBUTS!K9</f>
        <v>SETEMBRE</v>
      </c>
      <c r="C207" s="285">
        <f t="shared" si="14"/>
        <v>0</v>
      </c>
      <c r="D207" s="286">
        <f t="shared" si="15"/>
        <v>0</v>
      </c>
      <c r="E207" s="285">
        <f t="shared" si="16"/>
        <v>0</v>
      </c>
      <c r="F207" s="291"/>
      <c r="G207" s="1784"/>
      <c r="H207" s="287"/>
      <c r="I207" s="288"/>
      <c r="J207" s="292"/>
    </row>
    <row r="208" spans="1:19" ht="13" x14ac:dyDescent="0.3">
      <c r="A208" s="36"/>
      <c r="B208" s="290" t="str">
        <f>TRIBUTS!K10</f>
        <v>OCTUBRE</v>
      </c>
      <c r="C208" s="285">
        <f t="shared" si="14"/>
        <v>0</v>
      </c>
      <c r="D208" s="286">
        <f t="shared" si="15"/>
        <v>0</v>
      </c>
      <c r="E208" s="285">
        <f t="shared" si="16"/>
        <v>0</v>
      </c>
      <c r="F208" s="291"/>
      <c r="G208" s="1784"/>
      <c r="H208" s="287"/>
      <c r="I208" s="288"/>
      <c r="J208" s="292"/>
    </row>
    <row r="209" spans="1:10" ht="13" x14ac:dyDescent="0.3">
      <c r="A209" s="36"/>
      <c r="B209" s="290" t="str">
        <f>TRIBUTS!K11</f>
        <v>NOVEMBRE</v>
      </c>
      <c r="C209" s="285">
        <f t="shared" si="14"/>
        <v>0</v>
      </c>
      <c r="D209" s="286">
        <f t="shared" si="15"/>
        <v>0</v>
      </c>
      <c r="E209" s="285">
        <f t="shared" si="16"/>
        <v>0</v>
      </c>
      <c r="F209" s="291"/>
      <c r="G209" s="291"/>
      <c r="H209" s="291"/>
      <c r="I209" s="291"/>
      <c r="J209" s="293"/>
    </row>
    <row r="210" spans="1:10" ht="13" x14ac:dyDescent="0.3">
      <c r="A210" s="36"/>
      <c r="B210" s="290" t="str">
        <f>TRIBUTS!K12</f>
        <v>DESEMBRE</v>
      </c>
      <c r="C210" s="285">
        <f t="shared" si="14"/>
        <v>0</v>
      </c>
      <c r="D210" s="286">
        <f t="shared" si="15"/>
        <v>0</v>
      </c>
      <c r="E210" s="285">
        <f t="shared" si="16"/>
        <v>0</v>
      </c>
      <c r="F210" s="291"/>
      <c r="G210" s="291"/>
      <c r="H210" s="291"/>
      <c r="I210" s="291"/>
      <c r="J210" s="293"/>
    </row>
    <row r="211" spans="1:10" ht="0.75" customHeight="1" x14ac:dyDescent="0.3">
      <c r="A211" s="36"/>
      <c r="B211" s="255"/>
      <c r="C211" s="294"/>
      <c r="D211" s="92"/>
      <c r="E211" s="295"/>
      <c r="F211" s="296"/>
      <c r="G211" s="296"/>
      <c r="H211" s="296"/>
      <c r="I211" s="254"/>
      <c r="J211" s="89"/>
    </row>
    <row r="212" spans="1:10" ht="13" hidden="1" x14ac:dyDescent="0.3">
      <c r="A212" s="36"/>
      <c r="B212" s="1787" t="s">
        <v>47</v>
      </c>
      <c r="C212" s="297" t="s">
        <v>150</v>
      </c>
      <c r="D212" s="298"/>
      <c r="E212" s="298"/>
      <c r="F212" s="274"/>
      <c r="G212" s="274"/>
      <c r="H212" s="274"/>
      <c r="I212" s="274"/>
      <c r="J212" s="299"/>
    </row>
    <row r="213" spans="1:10" ht="13" hidden="1" x14ac:dyDescent="0.3">
      <c r="A213" s="36"/>
      <c r="B213" s="1787"/>
      <c r="C213" s="300" t="str">
        <f>C197</f>
        <v>A</v>
      </c>
      <c r="D213" s="300" t="str">
        <f>D197</f>
        <v>B</v>
      </c>
      <c r="E213" s="300" t="str">
        <f>E197</f>
        <v>C</v>
      </c>
      <c r="F213" s="53"/>
      <c r="G213" s="53"/>
      <c r="H213" s="53"/>
      <c r="I213" s="53"/>
      <c r="J213" s="301"/>
    </row>
    <row r="214" spans="1:10" ht="13" hidden="1" x14ac:dyDescent="0.3">
      <c r="A214" s="36"/>
      <c r="B214" s="1787"/>
      <c r="C214" s="302" t="s">
        <v>151</v>
      </c>
      <c r="D214" s="303" t="str">
        <f>C214</f>
        <v>%</v>
      </c>
      <c r="E214" s="304">
        <f>C$198</f>
        <v>1</v>
      </c>
      <c r="F214" s="53"/>
      <c r="G214" s="53"/>
      <c r="H214" s="53"/>
      <c r="I214" s="53"/>
      <c r="J214" s="301"/>
    </row>
    <row r="215" spans="1:10" ht="13" hidden="1" x14ac:dyDescent="0.3">
      <c r="A215" s="36"/>
      <c r="B215" s="290" t="str">
        <f t="shared" ref="B215:B226" si="17">B199</f>
        <v>GENER</v>
      </c>
      <c r="C215" s="305">
        <f>+C199+E$183</f>
        <v>0</v>
      </c>
      <c r="D215" s="305">
        <f>+D199+E$184</f>
        <v>0</v>
      </c>
      <c r="E215" s="306">
        <f>+E$185+E199</f>
        <v>0</v>
      </c>
      <c r="F215" s="291"/>
      <c r="G215" s="291"/>
      <c r="H215" s="291"/>
      <c r="I215" s="291"/>
      <c r="J215" s="293"/>
    </row>
    <row r="216" spans="1:10" ht="13" hidden="1" x14ac:dyDescent="0.3">
      <c r="A216" s="36"/>
      <c r="B216" s="290" t="str">
        <f t="shared" si="17"/>
        <v>FEBRER</v>
      </c>
      <c r="C216" s="305">
        <f t="shared" ref="C216:C226" si="18">+C200+E$183</f>
        <v>0</v>
      </c>
      <c r="D216" s="305">
        <f t="shared" ref="D216:D226" si="19">+D200+E$184</f>
        <v>0</v>
      </c>
      <c r="E216" s="306">
        <f t="shared" ref="E216:E226" si="20">+E215</f>
        <v>0</v>
      </c>
      <c r="F216" s="291"/>
      <c r="G216" s="291"/>
      <c r="H216" s="291"/>
      <c r="I216" s="291"/>
      <c r="J216" s="293"/>
    </row>
    <row r="217" spans="1:10" ht="13" hidden="1" x14ac:dyDescent="0.3">
      <c r="A217" s="36"/>
      <c r="B217" s="290" t="str">
        <f t="shared" si="17"/>
        <v>MARÇ</v>
      </c>
      <c r="C217" s="305">
        <f t="shared" si="18"/>
        <v>0</v>
      </c>
      <c r="D217" s="305">
        <f t="shared" si="19"/>
        <v>0</v>
      </c>
      <c r="E217" s="306">
        <f t="shared" si="20"/>
        <v>0</v>
      </c>
      <c r="F217" s="291"/>
      <c r="G217" s="291"/>
      <c r="H217" s="291"/>
      <c r="I217" s="291"/>
      <c r="J217" s="293"/>
    </row>
    <row r="218" spans="1:10" ht="13" hidden="1" x14ac:dyDescent="0.3">
      <c r="A218" s="36"/>
      <c r="B218" s="290" t="str">
        <f t="shared" si="17"/>
        <v>ABRIL</v>
      </c>
      <c r="C218" s="305">
        <f t="shared" si="18"/>
        <v>0</v>
      </c>
      <c r="D218" s="305">
        <f t="shared" si="19"/>
        <v>0</v>
      </c>
      <c r="E218" s="306">
        <f t="shared" si="20"/>
        <v>0</v>
      </c>
      <c r="F218" s="291"/>
      <c r="G218" s="291"/>
      <c r="H218" s="291"/>
      <c r="I218" s="291"/>
      <c r="J218" s="293"/>
    </row>
    <row r="219" spans="1:10" ht="13" hidden="1" x14ac:dyDescent="0.3">
      <c r="A219" s="36"/>
      <c r="B219" s="290" t="str">
        <f t="shared" si="17"/>
        <v>MAIG</v>
      </c>
      <c r="C219" s="305">
        <f t="shared" si="18"/>
        <v>0</v>
      </c>
      <c r="D219" s="305">
        <f t="shared" si="19"/>
        <v>0</v>
      </c>
      <c r="E219" s="306">
        <f t="shared" si="20"/>
        <v>0</v>
      </c>
      <c r="F219" s="291"/>
      <c r="G219" s="291"/>
      <c r="H219" s="291"/>
      <c r="I219" s="291"/>
      <c r="J219" s="293"/>
    </row>
    <row r="220" spans="1:10" ht="13" hidden="1" x14ac:dyDescent="0.3">
      <c r="A220" s="36"/>
      <c r="B220" s="290" t="str">
        <f t="shared" si="17"/>
        <v>JUNY</v>
      </c>
      <c r="C220" s="305">
        <f t="shared" si="18"/>
        <v>0</v>
      </c>
      <c r="D220" s="305">
        <f t="shared" si="19"/>
        <v>0</v>
      </c>
      <c r="E220" s="306">
        <f t="shared" si="20"/>
        <v>0</v>
      </c>
      <c r="F220" s="291"/>
      <c r="G220" s="291"/>
      <c r="H220" s="291"/>
      <c r="I220" s="291"/>
      <c r="J220" s="293"/>
    </row>
    <row r="221" spans="1:10" ht="13" hidden="1" x14ac:dyDescent="0.3">
      <c r="A221" s="36"/>
      <c r="B221" s="290" t="str">
        <f t="shared" si="17"/>
        <v>JULIOL</v>
      </c>
      <c r="C221" s="305">
        <f t="shared" si="18"/>
        <v>0</v>
      </c>
      <c r="D221" s="305">
        <f t="shared" si="19"/>
        <v>0</v>
      </c>
      <c r="E221" s="306">
        <f t="shared" si="20"/>
        <v>0</v>
      </c>
      <c r="F221" s="291"/>
      <c r="G221" s="291"/>
      <c r="H221" s="291"/>
      <c r="I221" s="291"/>
      <c r="J221" s="293"/>
    </row>
    <row r="222" spans="1:10" ht="13" hidden="1" x14ac:dyDescent="0.3">
      <c r="A222" s="36"/>
      <c r="B222" s="290" t="str">
        <f t="shared" si="17"/>
        <v>AGOST</v>
      </c>
      <c r="C222" s="305">
        <f t="shared" si="18"/>
        <v>0</v>
      </c>
      <c r="D222" s="305">
        <f t="shared" si="19"/>
        <v>0</v>
      </c>
      <c r="E222" s="306">
        <f t="shared" si="20"/>
        <v>0</v>
      </c>
      <c r="F222" s="291"/>
      <c r="G222" s="291"/>
      <c r="H222" s="291"/>
      <c r="I222" s="291"/>
      <c r="J222" s="293"/>
    </row>
    <row r="223" spans="1:10" ht="13" hidden="1" x14ac:dyDescent="0.3">
      <c r="A223" s="36"/>
      <c r="B223" s="290" t="str">
        <f t="shared" si="17"/>
        <v>SETEMBRE</v>
      </c>
      <c r="C223" s="305">
        <f t="shared" si="18"/>
        <v>0</v>
      </c>
      <c r="D223" s="305">
        <f t="shared" si="19"/>
        <v>0</v>
      </c>
      <c r="E223" s="306">
        <f t="shared" si="20"/>
        <v>0</v>
      </c>
      <c r="F223" s="291"/>
      <c r="G223" s="291"/>
      <c r="H223" s="291"/>
      <c r="I223" s="291"/>
      <c r="J223" s="293"/>
    </row>
    <row r="224" spans="1:10" ht="13" hidden="1" x14ac:dyDescent="0.3">
      <c r="A224" s="36"/>
      <c r="B224" s="290" t="str">
        <f t="shared" si="17"/>
        <v>OCTUBRE</v>
      </c>
      <c r="C224" s="305">
        <f t="shared" si="18"/>
        <v>0</v>
      </c>
      <c r="D224" s="305">
        <f t="shared" si="19"/>
        <v>0</v>
      </c>
      <c r="E224" s="306">
        <f t="shared" si="20"/>
        <v>0</v>
      </c>
      <c r="F224" s="291"/>
      <c r="G224" s="291"/>
      <c r="H224" s="291"/>
      <c r="I224" s="291"/>
      <c r="J224" s="293"/>
    </row>
    <row r="225" spans="1:10" ht="13" hidden="1" x14ac:dyDescent="0.3">
      <c r="A225" s="36"/>
      <c r="B225" s="290" t="str">
        <f t="shared" si="17"/>
        <v>NOVEMBRE</v>
      </c>
      <c r="C225" s="305">
        <f t="shared" si="18"/>
        <v>0</v>
      </c>
      <c r="D225" s="305">
        <f t="shared" si="19"/>
        <v>0</v>
      </c>
      <c r="E225" s="306">
        <f t="shared" si="20"/>
        <v>0</v>
      </c>
      <c r="F225" s="291"/>
      <c r="G225" s="291"/>
      <c r="H225" s="291"/>
      <c r="I225" s="291"/>
      <c r="J225" s="293"/>
    </row>
    <row r="226" spans="1:10" ht="13" hidden="1" x14ac:dyDescent="0.3">
      <c r="A226" s="36"/>
      <c r="B226" s="290" t="str">
        <f t="shared" si="17"/>
        <v>DESEMBRE</v>
      </c>
      <c r="C226" s="305">
        <f t="shared" si="18"/>
        <v>0</v>
      </c>
      <c r="D226" s="305">
        <f t="shared" si="19"/>
        <v>0</v>
      </c>
      <c r="E226" s="306">
        <f t="shared" si="20"/>
        <v>0</v>
      </c>
      <c r="F226" s="291"/>
      <c r="G226" s="291"/>
      <c r="H226" s="291"/>
      <c r="I226" s="291"/>
      <c r="J226" s="293"/>
    </row>
    <row r="227" spans="1:10" hidden="1" x14ac:dyDescent="0.25">
      <c r="A227" s="36"/>
      <c r="B227" s="62"/>
      <c r="C227" s="307"/>
      <c r="D227" s="307"/>
      <c r="E227" s="307"/>
      <c r="F227" s="51"/>
      <c r="G227" s="51"/>
      <c r="H227" s="51"/>
      <c r="I227" s="51"/>
      <c r="J227" s="52"/>
    </row>
    <row r="228" spans="1:10" ht="13" hidden="1" x14ac:dyDescent="0.3">
      <c r="A228" s="36"/>
      <c r="B228" s="1787" t="s">
        <v>57</v>
      </c>
      <c r="C228" s="297" t="s">
        <v>150</v>
      </c>
      <c r="D228" s="298"/>
      <c r="E228" s="298"/>
      <c r="F228" s="274"/>
      <c r="G228" s="274"/>
      <c r="H228" s="274"/>
      <c r="I228" s="274"/>
      <c r="J228" s="299"/>
    </row>
    <row r="229" spans="1:10" ht="13" hidden="1" x14ac:dyDescent="0.3">
      <c r="A229" s="36"/>
      <c r="B229" s="1787"/>
      <c r="C229" s="300" t="str">
        <f>C213</f>
        <v>A</v>
      </c>
      <c r="D229" s="300" t="str">
        <f>D213</f>
        <v>B</v>
      </c>
      <c r="E229" s="300" t="str">
        <f>E213</f>
        <v>C</v>
      </c>
      <c r="F229" s="53"/>
      <c r="G229" s="53"/>
      <c r="H229" s="53"/>
      <c r="I229" s="53"/>
      <c r="J229" s="301"/>
    </row>
    <row r="230" spans="1:10" ht="13" hidden="1" x14ac:dyDescent="0.3">
      <c r="A230" s="36"/>
      <c r="B230" s="1787"/>
      <c r="C230" s="302" t="s">
        <v>151</v>
      </c>
      <c r="D230" s="303" t="str">
        <f>C230</f>
        <v>%</v>
      </c>
      <c r="E230" s="304">
        <f>C$198</f>
        <v>1</v>
      </c>
      <c r="F230" s="53"/>
      <c r="G230" s="53"/>
      <c r="H230" s="53"/>
      <c r="I230" s="53"/>
      <c r="J230" s="301"/>
    </row>
    <row r="231" spans="1:10" ht="13" hidden="1" x14ac:dyDescent="0.3">
      <c r="A231" s="36"/>
      <c r="B231" s="290" t="str">
        <f>B215</f>
        <v>GENER</v>
      </c>
      <c r="C231" s="305">
        <f>+C215+F$183</f>
        <v>0</v>
      </c>
      <c r="D231" s="308">
        <f>+D215+F$184</f>
        <v>0</v>
      </c>
      <c r="E231" s="309">
        <f>+E215+F$185</f>
        <v>0</v>
      </c>
      <c r="F231" s="291"/>
      <c r="G231" s="291"/>
      <c r="H231" s="291"/>
      <c r="I231" s="291"/>
      <c r="J231" s="293"/>
    </row>
    <row r="232" spans="1:10" ht="13" hidden="1" x14ac:dyDescent="0.3">
      <c r="A232" s="36"/>
      <c r="B232" s="290" t="str">
        <f t="shared" ref="B232:B242" si="21">B216</f>
        <v>FEBRER</v>
      </c>
      <c r="C232" s="305">
        <f t="shared" ref="C232:C242" si="22">+C216+F$183</f>
        <v>0</v>
      </c>
      <c r="D232" s="308">
        <f t="shared" ref="D232:D242" si="23">+D216+F$184</f>
        <v>0</v>
      </c>
      <c r="E232" s="309">
        <f t="shared" ref="E232:E242" si="24">+E216+F$185</f>
        <v>0</v>
      </c>
      <c r="F232" s="291"/>
      <c r="G232" s="291"/>
      <c r="H232" s="291"/>
      <c r="I232" s="291"/>
      <c r="J232" s="293"/>
    </row>
    <row r="233" spans="1:10" ht="13" hidden="1" x14ac:dyDescent="0.3">
      <c r="A233" s="36"/>
      <c r="B233" s="290" t="str">
        <f t="shared" si="21"/>
        <v>MARÇ</v>
      </c>
      <c r="C233" s="305">
        <f t="shared" si="22"/>
        <v>0</v>
      </c>
      <c r="D233" s="308">
        <f t="shared" si="23"/>
        <v>0</v>
      </c>
      <c r="E233" s="309">
        <f t="shared" si="24"/>
        <v>0</v>
      </c>
      <c r="F233" s="291"/>
      <c r="G233" s="291"/>
      <c r="H233" s="291"/>
      <c r="I233" s="291"/>
      <c r="J233" s="293"/>
    </row>
    <row r="234" spans="1:10" ht="13" hidden="1" x14ac:dyDescent="0.3">
      <c r="A234" s="36"/>
      <c r="B234" s="290" t="str">
        <f t="shared" si="21"/>
        <v>ABRIL</v>
      </c>
      <c r="C234" s="305">
        <f t="shared" si="22"/>
        <v>0</v>
      </c>
      <c r="D234" s="308">
        <f t="shared" si="23"/>
        <v>0</v>
      </c>
      <c r="E234" s="309">
        <f t="shared" si="24"/>
        <v>0</v>
      </c>
      <c r="F234" s="291"/>
      <c r="G234" s="291"/>
      <c r="H234" s="291"/>
      <c r="I234" s="291"/>
      <c r="J234" s="293"/>
    </row>
    <row r="235" spans="1:10" ht="13" hidden="1" x14ac:dyDescent="0.3">
      <c r="A235" s="36"/>
      <c r="B235" s="290" t="str">
        <f t="shared" si="21"/>
        <v>MAIG</v>
      </c>
      <c r="C235" s="305">
        <f t="shared" si="22"/>
        <v>0</v>
      </c>
      <c r="D235" s="308">
        <f t="shared" si="23"/>
        <v>0</v>
      </c>
      <c r="E235" s="309">
        <f t="shared" si="24"/>
        <v>0</v>
      </c>
      <c r="F235" s="291"/>
      <c r="G235" s="291"/>
      <c r="H235" s="291"/>
      <c r="I235" s="291"/>
      <c r="J235" s="293"/>
    </row>
    <row r="236" spans="1:10" ht="13" hidden="1" x14ac:dyDescent="0.3">
      <c r="A236" s="36"/>
      <c r="B236" s="290" t="str">
        <f t="shared" si="21"/>
        <v>JUNY</v>
      </c>
      <c r="C236" s="305">
        <f t="shared" si="22"/>
        <v>0</v>
      </c>
      <c r="D236" s="308">
        <f t="shared" si="23"/>
        <v>0</v>
      </c>
      <c r="E236" s="309">
        <f t="shared" si="24"/>
        <v>0</v>
      </c>
      <c r="F236" s="291"/>
      <c r="G236" s="291"/>
      <c r="H236" s="291"/>
      <c r="I236" s="291"/>
      <c r="J236" s="293"/>
    </row>
    <row r="237" spans="1:10" ht="13" hidden="1" x14ac:dyDescent="0.3">
      <c r="A237" s="36"/>
      <c r="B237" s="290" t="str">
        <f t="shared" si="21"/>
        <v>JULIOL</v>
      </c>
      <c r="C237" s="305">
        <f t="shared" si="22"/>
        <v>0</v>
      </c>
      <c r="D237" s="308">
        <f t="shared" si="23"/>
        <v>0</v>
      </c>
      <c r="E237" s="309">
        <f t="shared" si="24"/>
        <v>0</v>
      </c>
      <c r="F237" s="291"/>
      <c r="G237" s="291"/>
      <c r="H237" s="291"/>
      <c r="I237" s="291"/>
      <c r="J237" s="293"/>
    </row>
    <row r="238" spans="1:10" ht="13" hidden="1" x14ac:dyDescent="0.3">
      <c r="A238" s="36"/>
      <c r="B238" s="290" t="str">
        <f t="shared" si="21"/>
        <v>AGOST</v>
      </c>
      <c r="C238" s="305">
        <f t="shared" si="22"/>
        <v>0</v>
      </c>
      <c r="D238" s="308">
        <f t="shared" si="23"/>
        <v>0</v>
      </c>
      <c r="E238" s="309">
        <f t="shared" si="24"/>
        <v>0</v>
      </c>
      <c r="F238" s="291"/>
      <c r="G238" s="291"/>
      <c r="H238" s="291"/>
      <c r="I238" s="291"/>
      <c r="J238" s="293"/>
    </row>
    <row r="239" spans="1:10" ht="13" hidden="1" x14ac:dyDescent="0.3">
      <c r="A239" s="36"/>
      <c r="B239" s="290" t="str">
        <f t="shared" si="21"/>
        <v>SETEMBRE</v>
      </c>
      <c r="C239" s="305">
        <f t="shared" si="22"/>
        <v>0</v>
      </c>
      <c r="D239" s="308">
        <f t="shared" si="23"/>
        <v>0</v>
      </c>
      <c r="E239" s="309">
        <f t="shared" si="24"/>
        <v>0</v>
      </c>
      <c r="F239" s="291"/>
      <c r="G239" s="291"/>
      <c r="H239" s="291"/>
      <c r="I239" s="291"/>
      <c r="J239" s="293"/>
    </row>
    <row r="240" spans="1:10" ht="13" hidden="1" x14ac:dyDescent="0.3">
      <c r="A240" s="36"/>
      <c r="B240" s="290" t="str">
        <f t="shared" si="21"/>
        <v>OCTUBRE</v>
      </c>
      <c r="C240" s="305">
        <f t="shared" si="22"/>
        <v>0</v>
      </c>
      <c r="D240" s="308">
        <f t="shared" si="23"/>
        <v>0</v>
      </c>
      <c r="E240" s="309">
        <f t="shared" si="24"/>
        <v>0</v>
      </c>
      <c r="F240" s="291"/>
      <c r="G240" s="291"/>
      <c r="H240" s="291"/>
      <c r="I240" s="291"/>
      <c r="J240" s="293"/>
    </row>
    <row r="241" spans="1:10" ht="13" hidden="1" x14ac:dyDescent="0.3">
      <c r="A241" s="36"/>
      <c r="B241" s="290" t="str">
        <f t="shared" si="21"/>
        <v>NOVEMBRE</v>
      </c>
      <c r="C241" s="305">
        <f t="shared" si="22"/>
        <v>0</v>
      </c>
      <c r="D241" s="308">
        <f t="shared" si="23"/>
        <v>0</v>
      </c>
      <c r="E241" s="309">
        <f t="shared" si="24"/>
        <v>0</v>
      </c>
      <c r="F241" s="291"/>
      <c r="G241" s="291"/>
      <c r="H241" s="291"/>
      <c r="I241" s="291"/>
      <c r="J241" s="293"/>
    </row>
    <row r="242" spans="1:10" ht="13" hidden="1" x14ac:dyDescent="0.3">
      <c r="A242" s="36"/>
      <c r="B242" s="290" t="str">
        <f t="shared" si="21"/>
        <v>DESEMBRE</v>
      </c>
      <c r="C242" s="305">
        <f t="shared" si="22"/>
        <v>0</v>
      </c>
      <c r="D242" s="308">
        <f t="shared" si="23"/>
        <v>0</v>
      </c>
      <c r="E242" s="309">
        <f t="shared" si="24"/>
        <v>0</v>
      </c>
      <c r="F242" s="291"/>
      <c r="G242" s="291"/>
      <c r="H242" s="291"/>
      <c r="I242" s="291"/>
      <c r="J242" s="293"/>
    </row>
    <row r="243" spans="1:10" ht="13" x14ac:dyDescent="0.3">
      <c r="A243" s="36"/>
      <c r="B243" s="194" t="s">
        <v>152</v>
      </c>
      <c r="C243" s="310">
        <f>SUM(C199:C210)</f>
        <v>0</v>
      </c>
      <c r="D243" s="311">
        <f>SUM(D199:D210)</f>
        <v>0</v>
      </c>
      <c r="E243" s="310">
        <f>SUM(E199:E210)</f>
        <v>0</v>
      </c>
      <c r="F243" s="291"/>
      <c r="G243" s="291"/>
      <c r="H243" s="291"/>
      <c r="I243" s="291"/>
      <c r="J243" s="293"/>
    </row>
    <row r="244" spans="1:10" ht="13" x14ac:dyDescent="0.3">
      <c r="A244" s="36"/>
      <c r="B244" s="312" t="s">
        <v>153</v>
      </c>
      <c r="C244" s="282">
        <v>0</v>
      </c>
      <c r="D244" s="281">
        <v>0</v>
      </c>
      <c r="E244" s="282">
        <v>0</v>
      </c>
      <c r="F244" s="291"/>
      <c r="G244" s="291"/>
      <c r="H244" s="291"/>
      <c r="I244" s="291"/>
      <c r="J244" s="293"/>
    </row>
    <row r="245" spans="1:10" ht="12.75" customHeight="1" x14ac:dyDescent="0.3">
      <c r="A245" s="36"/>
      <c r="B245" s="313" t="s">
        <v>154</v>
      </c>
      <c r="C245" s="314">
        <f>+C244</f>
        <v>0</v>
      </c>
      <c r="D245" s="315">
        <f>+D244</f>
        <v>0</v>
      </c>
      <c r="E245" s="314">
        <f>+E244</f>
        <v>0</v>
      </c>
      <c r="F245" s="316"/>
      <c r="G245" s="316"/>
      <c r="H245" s="316"/>
      <c r="I245" s="316"/>
      <c r="J245" s="317"/>
    </row>
    <row r="246" spans="1:10" ht="13" x14ac:dyDescent="0.3">
      <c r="A246" s="36"/>
      <c r="B246" s="318"/>
      <c r="C246" s="319"/>
      <c r="D246" s="319"/>
      <c r="E246" s="319"/>
      <c r="F246" s="319"/>
      <c r="G246" s="319"/>
      <c r="H246" s="319"/>
      <c r="I246" s="319"/>
      <c r="J246" s="319"/>
    </row>
    <row r="247" spans="1:10" ht="13" x14ac:dyDescent="0.3">
      <c r="A247" s="36"/>
      <c r="B247" s="318"/>
      <c r="C247" s="51"/>
      <c r="D247" s="51"/>
      <c r="E247" s="51"/>
      <c r="F247" s="51"/>
      <c r="G247" s="51"/>
      <c r="H247" s="37"/>
      <c r="I247" s="319"/>
      <c r="J247" s="319"/>
    </row>
    <row r="248" spans="1:10" ht="15.5" x14ac:dyDescent="0.35">
      <c r="A248" s="36"/>
      <c r="B248" s="43" t="s">
        <v>155</v>
      </c>
      <c r="C248" s="46"/>
      <c r="D248" s="46"/>
      <c r="E248" s="46"/>
      <c r="F248" s="46"/>
      <c r="G248" s="47"/>
      <c r="H248" s="46"/>
      <c r="I248" s="319"/>
      <c r="J248" s="319"/>
    </row>
    <row r="249" spans="1:10" ht="13" x14ac:dyDescent="0.3">
      <c r="A249" s="36"/>
      <c r="B249" s="183"/>
      <c r="C249" s="1786" t="s">
        <v>156</v>
      </c>
      <c r="D249" s="1786"/>
      <c r="E249" s="320" t="s">
        <v>157</v>
      </c>
      <c r="F249" s="321">
        <v>30</v>
      </c>
      <c r="G249" s="322">
        <f>F249+30</f>
        <v>60</v>
      </c>
      <c r="H249" s="323">
        <f>G249+30</f>
        <v>90</v>
      </c>
      <c r="I249" s="319"/>
      <c r="J249" s="319"/>
    </row>
    <row r="250" spans="1:10" ht="13" x14ac:dyDescent="0.3">
      <c r="A250" s="36"/>
      <c r="B250" s="1788"/>
      <c r="C250" s="324" t="s">
        <v>158</v>
      </c>
      <c r="D250" s="325">
        <f>SUM(E250:J250)</f>
        <v>1</v>
      </c>
      <c r="E250" s="326">
        <v>1</v>
      </c>
      <c r="F250" s="327">
        <v>0</v>
      </c>
      <c r="G250" s="328">
        <v>0</v>
      </c>
      <c r="H250" s="329">
        <v>0</v>
      </c>
      <c r="I250" s="319"/>
      <c r="J250" s="319"/>
    </row>
    <row r="251" spans="1:10" ht="13" x14ac:dyDescent="0.3">
      <c r="A251" s="36"/>
      <c r="B251" s="1788"/>
      <c r="C251" s="324" t="s">
        <v>159</v>
      </c>
      <c r="D251" s="330">
        <f>SUM(E251:J251)</f>
        <v>1</v>
      </c>
      <c r="E251" s="331">
        <v>1</v>
      </c>
      <c r="F251" s="332">
        <v>0</v>
      </c>
      <c r="G251" s="333">
        <v>0</v>
      </c>
      <c r="H251" s="334">
        <v>0</v>
      </c>
      <c r="I251" s="319"/>
      <c r="J251" s="319"/>
    </row>
    <row r="252" spans="1:10" ht="6.75" customHeight="1" thickBot="1" x14ac:dyDescent="0.35">
      <c r="A252" s="36"/>
      <c r="B252" s="1788"/>
      <c r="C252" s="335"/>
      <c r="D252" s="335"/>
      <c r="E252" s="335"/>
      <c r="F252" s="335"/>
      <c r="G252" s="336"/>
      <c r="H252" s="337"/>
      <c r="I252" s="319"/>
      <c r="J252" s="319"/>
    </row>
    <row r="253" spans="1:10" ht="13" hidden="1" x14ac:dyDescent="0.3">
      <c r="A253" s="36"/>
      <c r="B253" s="338"/>
      <c r="C253" s="1789" t="s">
        <v>156</v>
      </c>
      <c r="D253" s="1789"/>
      <c r="E253" s="339" t="s">
        <v>157</v>
      </c>
      <c r="F253" s="340">
        <v>30</v>
      </c>
      <c r="G253" s="340">
        <f>F253+30</f>
        <v>60</v>
      </c>
      <c r="H253" s="341">
        <f>G253+30</f>
        <v>90</v>
      </c>
      <c r="I253" s="319"/>
      <c r="J253" s="319"/>
    </row>
    <row r="254" spans="1:10" ht="13" hidden="1" x14ac:dyDescent="0.3">
      <c r="A254" s="36"/>
      <c r="B254" s="1790" t="s">
        <v>47</v>
      </c>
      <c r="C254" s="324" t="s">
        <v>158</v>
      </c>
      <c r="D254" s="325">
        <f>SUM(E254:J254)</f>
        <v>1</v>
      </c>
      <c r="E254" s="342">
        <f t="shared" ref="E254:H255" si="25">E250</f>
        <v>1</v>
      </c>
      <c r="F254" s="342">
        <f t="shared" si="25"/>
        <v>0</v>
      </c>
      <c r="G254" s="342">
        <f t="shared" si="25"/>
        <v>0</v>
      </c>
      <c r="H254" s="343">
        <f t="shared" si="25"/>
        <v>0</v>
      </c>
      <c r="I254" s="319"/>
      <c r="J254" s="319"/>
    </row>
    <row r="255" spans="1:10" ht="13" hidden="1" x14ac:dyDescent="0.3">
      <c r="A255" s="36"/>
      <c r="B255" s="1790"/>
      <c r="C255" s="324" t="s">
        <v>159</v>
      </c>
      <c r="D255" s="330">
        <f>SUM(E255:J255)</f>
        <v>1</v>
      </c>
      <c r="E255" s="344">
        <f t="shared" si="25"/>
        <v>1</v>
      </c>
      <c r="F255" s="344">
        <f t="shared" si="25"/>
        <v>0</v>
      </c>
      <c r="G255" s="344">
        <f t="shared" si="25"/>
        <v>0</v>
      </c>
      <c r="H255" s="345">
        <f t="shared" si="25"/>
        <v>0</v>
      </c>
      <c r="I255" s="319"/>
      <c r="J255" s="319"/>
    </row>
    <row r="256" spans="1:10" ht="13" hidden="1" x14ac:dyDescent="0.3">
      <c r="A256" s="36"/>
      <c r="B256" s="1790"/>
      <c r="C256" s="337"/>
      <c r="D256" s="337"/>
      <c r="E256" s="337"/>
      <c r="F256" s="337"/>
      <c r="G256" s="337"/>
      <c r="H256" s="337"/>
      <c r="I256" s="319"/>
      <c r="J256" s="319"/>
    </row>
    <row r="257" spans="1:10" ht="13" hidden="1" x14ac:dyDescent="0.3">
      <c r="A257" s="36"/>
      <c r="B257" s="346"/>
      <c r="C257" s="1786" t="s">
        <v>156</v>
      </c>
      <c r="D257" s="1786"/>
      <c r="E257" s="339" t="s">
        <v>157</v>
      </c>
      <c r="F257" s="340">
        <v>30</v>
      </c>
      <c r="G257" s="340">
        <f>F257+30</f>
        <v>60</v>
      </c>
      <c r="H257" s="341">
        <f>G257+30</f>
        <v>90</v>
      </c>
      <c r="I257" s="319"/>
      <c r="J257" s="319"/>
    </row>
    <row r="258" spans="1:10" ht="13" hidden="1" x14ac:dyDescent="0.3">
      <c r="A258" s="36"/>
      <c r="B258" s="1790" t="s">
        <v>57</v>
      </c>
      <c r="C258" s="324" t="s">
        <v>158</v>
      </c>
      <c r="D258" s="325">
        <f>SUM(E258:J258)</f>
        <v>1</v>
      </c>
      <c r="E258" s="342">
        <f t="shared" ref="E258:H259" si="26">E254</f>
        <v>1</v>
      </c>
      <c r="F258" s="342">
        <f t="shared" si="26"/>
        <v>0</v>
      </c>
      <c r="G258" s="342">
        <f t="shared" si="26"/>
        <v>0</v>
      </c>
      <c r="H258" s="343">
        <f t="shared" si="26"/>
        <v>0</v>
      </c>
      <c r="I258" s="319"/>
      <c r="J258" s="319"/>
    </row>
    <row r="259" spans="1:10" ht="13" hidden="1" x14ac:dyDescent="0.3">
      <c r="A259" s="36"/>
      <c r="B259" s="1790"/>
      <c r="C259" s="324" t="s">
        <v>159</v>
      </c>
      <c r="D259" s="325">
        <f>SUM(E259:J259)</f>
        <v>1</v>
      </c>
      <c r="E259" s="342">
        <f t="shared" si="26"/>
        <v>1</v>
      </c>
      <c r="F259" s="342">
        <f t="shared" si="26"/>
        <v>0</v>
      </c>
      <c r="G259" s="342">
        <f t="shared" si="26"/>
        <v>0</v>
      </c>
      <c r="H259" s="343">
        <f t="shared" si="26"/>
        <v>0</v>
      </c>
      <c r="I259" s="319"/>
      <c r="J259" s="319"/>
    </row>
    <row r="260" spans="1:10" ht="13" hidden="1" x14ac:dyDescent="0.3">
      <c r="A260" s="36"/>
      <c r="B260" s="1790"/>
      <c r="C260" s="319"/>
      <c r="D260" s="319"/>
      <c r="E260" s="319"/>
      <c r="F260" s="319"/>
      <c r="G260" s="319"/>
      <c r="H260" s="319"/>
      <c r="I260" s="319"/>
      <c r="J260" s="319"/>
    </row>
    <row r="261" spans="1:10" ht="13" x14ac:dyDescent="0.3">
      <c r="A261" s="36"/>
      <c r="B261" s="318"/>
      <c r="C261" s="319"/>
      <c r="D261" s="319"/>
      <c r="E261" s="319"/>
      <c r="F261" s="319"/>
      <c r="G261" s="319"/>
      <c r="H261" s="319"/>
      <c r="I261" s="319"/>
      <c r="J261" s="319"/>
    </row>
    <row r="262" spans="1:10" ht="13" x14ac:dyDescent="0.3">
      <c r="A262" s="36"/>
      <c r="B262" s="318"/>
      <c r="C262" s="319"/>
      <c r="D262" s="319"/>
      <c r="E262" s="319"/>
      <c r="F262" s="319"/>
      <c r="G262" s="319"/>
      <c r="H262" s="319"/>
      <c r="I262" s="319"/>
      <c r="J262" s="319"/>
    </row>
    <row r="263" spans="1:10" ht="13" x14ac:dyDescent="0.3">
      <c r="A263" s="36"/>
      <c r="B263" s="318"/>
      <c r="C263" s="319"/>
      <c r="D263" s="319"/>
      <c r="E263" s="319"/>
      <c r="F263" s="319"/>
      <c r="G263" s="319"/>
      <c r="H263" s="319"/>
      <c r="I263" s="319"/>
      <c r="J263" s="319"/>
    </row>
    <row r="264" spans="1:10" x14ac:dyDescent="0.25">
      <c r="A264" s="36"/>
      <c r="B264" s="37"/>
      <c r="C264" s="37"/>
      <c r="D264" s="37"/>
      <c r="E264" s="37"/>
      <c r="F264" s="37"/>
      <c r="G264" s="37"/>
      <c r="H264" s="37"/>
      <c r="I264" s="37"/>
      <c r="J264" s="37"/>
    </row>
    <row r="265" spans="1:10" x14ac:dyDescent="0.25">
      <c r="A265" s="37"/>
      <c r="B265" s="37"/>
      <c r="C265" s="37"/>
      <c r="D265" s="37"/>
      <c r="E265" s="37"/>
      <c r="F265" s="37"/>
      <c r="G265" s="37"/>
      <c r="H265" s="37"/>
      <c r="I265" s="37"/>
      <c r="J265" s="37"/>
    </row>
    <row r="266" spans="1:10" ht="18" customHeight="1" thickBot="1" x14ac:dyDescent="0.4">
      <c r="A266" s="347">
        <v>4</v>
      </c>
      <c r="B266" s="348" t="s">
        <v>160</v>
      </c>
      <c r="C266" s="349"/>
      <c r="D266" s="46"/>
      <c r="E266" s="46"/>
      <c r="F266" s="46"/>
      <c r="G266" s="46"/>
      <c r="H266" s="46"/>
      <c r="I266" s="46"/>
      <c r="J266" s="47"/>
    </row>
    <row r="267" spans="1:10" ht="13" hidden="1" x14ac:dyDescent="0.3">
      <c r="A267" s="36"/>
      <c r="B267" s="350"/>
      <c r="C267" s="351" t="s">
        <v>161</v>
      </c>
      <c r="D267" s="51"/>
      <c r="E267" s="51"/>
      <c r="F267" s="51"/>
      <c r="G267" s="51"/>
      <c r="H267" s="51"/>
      <c r="I267" s="51"/>
      <c r="J267" s="52"/>
    </row>
    <row r="268" spans="1:10" ht="13" hidden="1" x14ac:dyDescent="0.3">
      <c r="A268" s="36"/>
      <c r="B268" s="48" t="s">
        <v>89</v>
      </c>
      <c r="C268" s="352">
        <v>0.16</v>
      </c>
      <c r="D268" s="51"/>
      <c r="E268" s="51"/>
      <c r="F268" s="51"/>
      <c r="G268" s="51"/>
      <c r="H268" s="51"/>
      <c r="I268" s="51"/>
      <c r="J268" s="52"/>
    </row>
    <row r="269" spans="1:10" ht="13" hidden="1" x14ac:dyDescent="0.3">
      <c r="A269" s="36"/>
      <c r="B269" s="353" t="s">
        <v>162</v>
      </c>
      <c r="C269" s="71" t="s">
        <v>161</v>
      </c>
      <c r="D269" s="51"/>
      <c r="E269" s="51"/>
      <c r="F269" s="51"/>
      <c r="G269" s="51"/>
      <c r="H269" s="51"/>
      <c r="I269" s="51"/>
      <c r="J269" s="52"/>
    </row>
    <row r="270" spans="1:10" ht="13" hidden="1" x14ac:dyDescent="0.3">
      <c r="A270" s="36"/>
      <c r="B270" s="48" t="s">
        <v>163</v>
      </c>
      <c r="C270" s="352">
        <v>0.15</v>
      </c>
      <c r="D270" s="51"/>
      <c r="E270" s="51"/>
      <c r="F270" s="51"/>
      <c r="G270" s="51"/>
      <c r="H270" s="51"/>
      <c r="I270" s="51"/>
      <c r="J270" s="52"/>
    </row>
    <row r="271" spans="1:10" ht="13" hidden="1" x14ac:dyDescent="0.3">
      <c r="A271" s="36"/>
      <c r="B271" s="353" t="s">
        <v>164</v>
      </c>
      <c r="C271" s="352">
        <v>0.15</v>
      </c>
      <c r="D271" s="51"/>
      <c r="E271" s="51"/>
      <c r="F271" s="51"/>
      <c r="G271" s="51"/>
      <c r="H271" s="51"/>
      <c r="I271" s="51"/>
      <c r="J271" s="52"/>
    </row>
    <row r="272" spans="1:10" ht="12.75" hidden="1" customHeight="1" x14ac:dyDescent="0.25">
      <c r="A272" s="36"/>
      <c r="B272" s="353" t="s">
        <v>165</v>
      </c>
      <c r="C272" s="51"/>
      <c r="D272" s="51"/>
      <c r="E272" s="51"/>
      <c r="F272" s="51"/>
      <c r="G272" s="51"/>
      <c r="H272" s="51"/>
      <c r="I272" s="51"/>
      <c r="J272" s="52"/>
    </row>
    <row r="273" spans="1:10" ht="13" hidden="1" x14ac:dyDescent="0.3">
      <c r="A273" s="36"/>
      <c r="B273" s="62"/>
      <c r="C273" s="1791" t="s">
        <v>17</v>
      </c>
      <c r="D273" s="1791"/>
      <c r="E273" s="1791" t="s">
        <v>166</v>
      </c>
      <c r="F273" s="1791"/>
      <c r="G273" s="1791" t="s">
        <v>57</v>
      </c>
      <c r="H273" s="1791"/>
      <c r="I273" s="51"/>
      <c r="J273" s="52"/>
    </row>
    <row r="274" spans="1:10" ht="13" hidden="1" x14ac:dyDescent="0.3">
      <c r="A274" s="36"/>
      <c r="B274" s="255"/>
      <c r="C274" s="355" t="s">
        <v>167</v>
      </c>
      <c r="D274" s="356" t="s">
        <v>168</v>
      </c>
      <c r="E274" s="355" t="s">
        <v>167</v>
      </c>
      <c r="F274" s="356" t="s">
        <v>168</v>
      </c>
      <c r="G274" s="355" t="s">
        <v>167</v>
      </c>
      <c r="H274" s="356" t="s">
        <v>168</v>
      </c>
      <c r="I274" s="51"/>
      <c r="J274" s="52"/>
    </row>
    <row r="275" spans="1:10" ht="13" hidden="1" x14ac:dyDescent="0.3">
      <c r="A275" s="36"/>
      <c r="B275" s="357"/>
      <c r="C275" s="358">
        <v>0</v>
      </c>
      <c r="D275" s="359">
        <v>0</v>
      </c>
      <c r="E275" s="360">
        <f>C275</f>
        <v>0</v>
      </c>
      <c r="F275" s="361">
        <f>D275</f>
        <v>0</v>
      </c>
      <c r="G275" s="360">
        <f>E275</f>
        <v>0</v>
      </c>
      <c r="H275" s="361">
        <f>F275</f>
        <v>0</v>
      </c>
      <c r="I275" s="51"/>
      <c r="J275" s="52"/>
    </row>
    <row r="276" spans="1:10" ht="13" hidden="1" x14ac:dyDescent="0.3">
      <c r="A276" s="36"/>
      <c r="B276" s="362" t="s">
        <v>169</v>
      </c>
      <c r="C276" s="363"/>
      <c r="D276" s="364"/>
      <c r="E276" s="365"/>
      <c r="F276" s="364"/>
      <c r="G276" s="366"/>
      <c r="H276" s="364"/>
      <c r="I276" s="253"/>
      <c r="J276" s="367"/>
    </row>
    <row r="277" spans="1:10" ht="12.75" hidden="1" customHeight="1" x14ac:dyDescent="0.3">
      <c r="A277" s="36"/>
      <c r="B277" s="368" t="s">
        <v>170</v>
      </c>
      <c r="C277" s="369">
        <v>0</v>
      </c>
      <c r="D277" s="370"/>
      <c r="E277" s="371">
        <f>C277</f>
        <v>0</v>
      </c>
      <c r="F277" s="370"/>
      <c r="G277" s="371">
        <f>E277</f>
        <v>0</v>
      </c>
      <c r="H277" s="364"/>
      <c r="I277" s="53"/>
      <c r="J277" s="301"/>
    </row>
    <row r="278" spans="1:10" ht="13" hidden="1" x14ac:dyDescent="0.3">
      <c r="A278" s="36"/>
      <c r="B278" s="372" t="s">
        <v>171</v>
      </c>
      <c r="C278" s="373">
        <v>0</v>
      </c>
      <c r="D278" s="370"/>
      <c r="E278" s="374">
        <f>C278</f>
        <v>0</v>
      </c>
      <c r="F278" s="375"/>
      <c r="G278" s="374">
        <f>E278</f>
        <v>0</v>
      </c>
      <c r="H278" s="364"/>
      <c r="I278" s="376"/>
      <c r="J278" s="367"/>
    </row>
    <row r="279" spans="1:10" ht="13" hidden="1" x14ac:dyDescent="0.3">
      <c r="A279" s="36"/>
      <c r="B279" s="372" t="s">
        <v>172</v>
      </c>
      <c r="C279" s="377">
        <v>0</v>
      </c>
      <c r="D279" s="370"/>
      <c r="E279" s="378">
        <f>C279</f>
        <v>0</v>
      </c>
      <c r="F279" s="370"/>
      <c r="G279" s="378">
        <f>E279</f>
        <v>0</v>
      </c>
      <c r="H279" s="364"/>
      <c r="I279" s="376"/>
      <c r="J279" s="367"/>
    </row>
    <row r="280" spans="1:10" ht="13" hidden="1" x14ac:dyDescent="0.3">
      <c r="A280" s="36"/>
      <c r="B280" s="379" t="s">
        <v>173</v>
      </c>
      <c r="C280" s="380"/>
      <c r="D280" s="274"/>
      <c r="E280" s="381"/>
      <c r="F280" s="274"/>
      <c r="G280" s="381"/>
      <c r="H280" s="274"/>
      <c r="I280" s="376"/>
      <c r="J280" s="367"/>
    </row>
    <row r="281" spans="1:10" ht="13" x14ac:dyDescent="0.3">
      <c r="A281" s="36"/>
      <c r="B281" s="252"/>
      <c r="C281" s="382" t="s">
        <v>62</v>
      </c>
      <c r="D281" s="383"/>
      <c r="E281" s="383"/>
      <c r="F281" s="253"/>
      <c r="G281" s="253"/>
      <c r="H281" s="383"/>
      <c r="I281" s="383"/>
      <c r="J281" s="384"/>
    </row>
    <row r="282" spans="1:10" ht="13" x14ac:dyDescent="0.3">
      <c r="A282" s="36"/>
      <c r="B282" s="385"/>
      <c r="C282" s="386"/>
      <c r="D282" s="387"/>
      <c r="E282" s="387"/>
      <c r="F282" s="84"/>
      <c r="G282" s="84"/>
      <c r="H282" s="387"/>
      <c r="I282" s="387"/>
      <c r="J282" s="388"/>
    </row>
    <row r="283" spans="1:10" ht="13" x14ac:dyDescent="0.3">
      <c r="A283" s="36"/>
      <c r="B283" s="389" t="s">
        <v>174</v>
      </c>
      <c r="C283" s="390">
        <v>0</v>
      </c>
      <c r="D283" s="387"/>
      <c r="E283" s="387"/>
      <c r="F283" s="69"/>
      <c r="G283" s="69"/>
      <c r="H283" s="387"/>
      <c r="I283" s="387"/>
      <c r="J283" s="388"/>
    </row>
    <row r="284" spans="1:10" ht="13" x14ac:dyDescent="0.3">
      <c r="A284" s="36"/>
      <c r="B284" s="391" t="s">
        <v>175</v>
      </c>
      <c r="C284" s="392">
        <v>0</v>
      </c>
      <c r="D284" s="387"/>
      <c r="E284" s="387"/>
      <c r="F284" s="69"/>
      <c r="G284" s="69"/>
      <c r="H284" s="387"/>
      <c r="I284" s="387"/>
      <c r="J284" s="388"/>
    </row>
    <row r="285" spans="1:10" ht="13" x14ac:dyDescent="0.3">
      <c r="A285" s="36"/>
      <c r="B285" s="391" t="s">
        <v>176</v>
      </c>
      <c r="C285" s="392">
        <v>0</v>
      </c>
      <c r="D285" s="387"/>
      <c r="E285" s="387"/>
      <c r="F285" s="69"/>
      <c r="G285" s="69"/>
      <c r="H285" s="387"/>
      <c r="I285" s="387"/>
      <c r="J285" s="388"/>
    </row>
    <row r="286" spans="1:10" x14ac:dyDescent="0.25">
      <c r="A286" s="36"/>
      <c r="B286" s="391" t="s">
        <v>177</v>
      </c>
      <c r="C286" s="392">
        <v>0</v>
      </c>
      <c r="D286" s="387"/>
      <c r="E286" s="387"/>
      <c r="F286" s="387"/>
      <c r="G286" s="387"/>
      <c r="H286" s="387"/>
      <c r="I286" s="387"/>
      <c r="J286" s="388"/>
    </row>
    <row r="287" spans="1:10" x14ac:dyDescent="0.25">
      <c r="A287" s="36"/>
      <c r="B287" s="391" t="s">
        <v>178</v>
      </c>
      <c r="C287" s="392">
        <v>0</v>
      </c>
      <c r="D287" s="393"/>
      <c r="E287" s="393"/>
      <c r="F287" s="393"/>
      <c r="G287" s="393"/>
      <c r="H287" s="393"/>
      <c r="I287" s="393"/>
      <c r="J287" s="394"/>
    </row>
    <row r="288" spans="1:10" x14ac:dyDescent="0.25">
      <c r="A288" s="36"/>
      <c r="B288" s="391" t="s">
        <v>179</v>
      </c>
      <c r="C288" s="395"/>
      <c r="D288" s="387"/>
      <c r="E288" s="387"/>
      <c r="F288" s="387"/>
      <c r="G288" s="387"/>
      <c r="H288" s="387"/>
      <c r="I288" s="387"/>
      <c r="J288" s="388"/>
    </row>
    <row r="289" spans="1:10" x14ac:dyDescent="0.25">
      <c r="A289" s="36"/>
      <c r="B289" s="396" t="s">
        <v>180</v>
      </c>
      <c r="C289" s="392">
        <v>0</v>
      </c>
      <c r="D289" s="387"/>
      <c r="E289" s="387"/>
      <c r="F289" s="387"/>
      <c r="G289" s="387"/>
      <c r="H289" s="387"/>
      <c r="I289" s="387"/>
      <c r="J289" s="388"/>
    </row>
    <row r="290" spans="1:10" x14ac:dyDescent="0.25">
      <c r="A290" s="36"/>
      <c r="B290" s="396" t="s">
        <v>181</v>
      </c>
      <c r="C290" s="392">
        <v>0</v>
      </c>
      <c r="D290" s="387"/>
      <c r="E290" s="387"/>
      <c r="F290" s="387"/>
      <c r="G290" s="387"/>
      <c r="H290" s="387"/>
      <c r="I290" s="387"/>
      <c r="J290" s="388"/>
    </row>
    <row r="291" spans="1:10" x14ac:dyDescent="0.25">
      <c r="A291" s="36"/>
      <c r="B291" s="396" t="s">
        <v>182</v>
      </c>
      <c r="C291" s="392">
        <v>0</v>
      </c>
      <c r="D291" s="387"/>
      <c r="E291" s="387"/>
      <c r="F291" s="387"/>
      <c r="G291" s="387"/>
      <c r="H291" s="387"/>
      <c r="I291" s="387"/>
      <c r="J291" s="388"/>
    </row>
    <row r="292" spans="1:10" x14ac:dyDescent="0.25">
      <c r="A292" s="36"/>
      <c r="B292" s="396" t="s">
        <v>183</v>
      </c>
      <c r="C292" s="392">
        <v>0</v>
      </c>
      <c r="D292" s="387"/>
      <c r="E292" s="387"/>
      <c r="F292" s="387"/>
      <c r="G292" s="387"/>
      <c r="H292" s="387"/>
      <c r="I292" s="387"/>
      <c r="J292" s="388"/>
    </row>
    <row r="293" spans="1:10" x14ac:dyDescent="0.25">
      <c r="A293" s="36"/>
      <c r="B293" s="396" t="s">
        <v>184</v>
      </c>
      <c r="C293" s="392">
        <v>0</v>
      </c>
      <c r="D293" s="393"/>
      <c r="E293" s="393"/>
      <c r="F293" s="393"/>
      <c r="G293" s="393"/>
      <c r="H293" s="393"/>
      <c r="I293" s="393"/>
      <c r="J293" s="394"/>
    </row>
    <row r="294" spans="1:10" x14ac:dyDescent="0.25">
      <c r="A294" s="36"/>
      <c r="B294" s="391" t="s">
        <v>185</v>
      </c>
      <c r="C294" s="395"/>
      <c r="D294" s="387"/>
      <c r="E294" s="387"/>
      <c r="F294" s="387"/>
      <c r="G294" s="387"/>
      <c r="H294" s="387"/>
      <c r="I294" s="387"/>
      <c r="J294" s="388"/>
    </row>
    <row r="295" spans="1:10" x14ac:dyDescent="0.25">
      <c r="A295" s="36"/>
      <c r="B295" s="396" t="s">
        <v>186</v>
      </c>
      <c r="C295" s="392">
        <v>0</v>
      </c>
      <c r="D295" s="387"/>
      <c r="E295" s="387"/>
      <c r="F295" s="387"/>
      <c r="G295" s="387"/>
      <c r="H295" s="387"/>
      <c r="I295" s="387"/>
      <c r="J295" s="388"/>
    </row>
    <row r="296" spans="1:10" x14ac:dyDescent="0.25">
      <c r="A296" s="36"/>
      <c r="B296" s="396" t="s">
        <v>187</v>
      </c>
      <c r="C296" s="392">
        <v>0</v>
      </c>
      <c r="D296" s="387"/>
      <c r="E296" s="387"/>
      <c r="F296" s="387"/>
      <c r="G296" s="387"/>
      <c r="H296" s="387"/>
      <c r="I296" s="387"/>
      <c r="J296" s="388"/>
    </row>
    <row r="297" spans="1:10" x14ac:dyDescent="0.25">
      <c r="A297" s="36"/>
      <c r="B297" s="396" t="s">
        <v>188</v>
      </c>
      <c r="C297" s="392">
        <v>0</v>
      </c>
      <c r="D297" s="387"/>
      <c r="E297" s="387"/>
      <c r="F297" s="387"/>
      <c r="G297" s="387"/>
      <c r="H297" s="387"/>
      <c r="I297" s="387"/>
      <c r="J297" s="388"/>
    </row>
    <row r="298" spans="1:10" x14ac:dyDescent="0.25">
      <c r="A298" s="36"/>
      <c r="B298" s="397" t="s">
        <v>189</v>
      </c>
      <c r="C298" s="392">
        <v>0</v>
      </c>
      <c r="D298" s="387"/>
      <c r="E298" s="387"/>
      <c r="F298" s="387"/>
      <c r="G298" s="387"/>
      <c r="H298" s="387"/>
      <c r="I298" s="387"/>
      <c r="J298" s="388"/>
    </row>
    <row r="299" spans="1:10" ht="13" x14ac:dyDescent="0.3">
      <c r="A299" s="36"/>
      <c r="B299" s="398" t="s">
        <v>170</v>
      </c>
      <c r="C299" s="392">
        <v>0</v>
      </c>
      <c r="D299" s="387"/>
      <c r="E299" s="387"/>
      <c r="F299" s="387"/>
      <c r="G299" s="387"/>
      <c r="H299" s="387"/>
      <c r="I299" s="387"/>
      <c r="J299" s="388"/>
    </row>
    <row r="300" spans="1:10" ht="13" x14ac:dyDescent="0.3">
      <c r="A300" s="36"/>
      <c r="B300" s="398" t="s">
        <v>190</v>
      </c>
      <c r="C300" s="399"/>
      <c r="D300" s="387"/>
      <c r="E300" s="387"/>
      <c r="F300" s="387"/>
      <c r="G300" s="387"/>
      <c r="H300" s="387"/>
      <c r="I300" s="387"/>
      <c r="J300" s="388"/>
    </row>
    <row r="301" spans="1:10" x14ac:dyDescent="0.25">
      <c r="A301" s="36"/>
      <c r="B301" s="400" t="s">
        <v>124</v>
      </c>
      <c r="C301" s="401">
        <v>0</v>
      </c>
      <c r="D301" s="387"/>
      <c r="E301" s="387"/>
      <c r="F301" s="387"/>
      <c r="G301" s="387"/>
      <c r="H301" s="387"/>
      <c r="I301" s="387"/>
      <c r="J301" s="388"/>
    </row>
    <row r="302" spans="1:10" ht="15.75" customHeight="1" thickBot="1" x14ac:dyDescent="0.3">
      <c r="A302" s="36"/>
      <c r="B302" s="402" t="s">
        <v>125</v>
      </c>
      <c r="C302" s="403">
        <v>0</v>
      </c>
      <c r="D302" s="404"/>
      <c r="E302" s="404"/>
      <c r="F302" s="404"/>
      <c r="G302" s="404"/>
      <c r="H302" s="404"/>
      <c r="I302" s="404"/>
      <c r="J302" s="205"/>
    </row>
    <row r="303" spans="1:10" ht="13" hidden="1" x14ac:dyDescent="0.3">
      <c r="A303" s="36"/>
      <c r="B303" s="62"/>
      <c r="C303" s="405" t="str">
        <f>VARIABLES!B74</f>
        <v>GENER</v>
      </c>
      <c r="D303" s="406" t="str">
        <f>VARIABLES!C74</f>
        <v>FEBRER</v>
      </c>
      <c r="E303" s="406" t="str">
        <f>VARIABLES!D74</f>
        <v>MARÇ</v>
      </c>
      <c r="F303" s="406" t="str">
        <f>VARIABLES!E74</f>
        <v>ABRIL</v>
      </c>
      <c r="G303" s="406" t="str">
        <f>VARIABLES!F74</f>
        <v>MAIG</v>
      </c>
      <c r="H303" s="406" t="str">
        <f>VARIABLES!G74</f>
        <v>JUNY</v>
      </c>
      <c r="I303" s="406" t="str">
        <f>VARIABLES!H74</f>
        <v>JULIOL</v>
      </c>
      <c r="J303" s="406" t="str">
        <f>VARIABLES!I74</f>
        <v>AGOST</v>
      </c>
    </row>
    <row r="304" spans="1:10" ht="13" hidden="1" x14ac:dyDescent="0.3">
      <c r="A304" s="36"/>
      <c r="B304" s="354" t="s">
        <v>47</v>
      </c>
      <c r="C304" s="407">
        <f t="shared" ref="C304:J304" si="27">C282</f>
        <v>0</v>
      </c>
      <c r="D304" s="407">
        <f t="shared" si="27"/>
        <v>0</v>
      </c>
      <c r="E304" s="407">
        <f t="shared" si="27"/>
        <v>0</v>
      </c>
      <c r="F304" s="407">
        <f t="shared" si="27"/>
        <v>0</v>
      </c>
      <c r="G304" s="407">
        <f t="shared" si="27"/>
        <v>0</v>
      </c>
      <c r="H304" s="407">
        <f t="shared" si="27"/>
        <v>0</v>
      </c>
      <c r="I304" s="407">
        <f t="shared" si="27"/>
        <v>0</v>
      </c>
      <c r="J304" s="407">
        <f t="shared" si="27"/>
        <v>0</v>
      </c>
    </row>
    <row r="305" spans="1:10" hidden="1" x14ac:dyDescent="0.25">
      <c r="A305" s="36"/>
      <c r="B305" s="408" t="str">
        <f t="shared" ref="B305:C308" si="28">B283</f>
        <v>LLOGUERS</v>
      </c>
      <c r="C305" s="407">
        <f t="shared" si="28"/>
        <v>0</v>
      </c>
      <c r="D305" s="407">
        <f t="shared" ref="D305:J319" si="29">D283</f>
        <v>0</v>
      </c>
      <c r="E305" s="407">
        <f t="shared" si="29"/>
        <v>0</v>
      </c>
      <c r="F305" s="407">
        <f t="shared" si="29"/>
        <v>0</v>
      </c>
      <c r="G305" s="407">
        <f t="shared" si="29"/>
        <v>0</v>
      </c>
      <c r="H305" s="407">
        <f t="shared" si="29"/>
        <v>0</v>
      </c>
      <c r="I305" s="407">
        <f t="shared" si="29"/>
        <v>0</v>
      </c>
      <c r="J305" s="407">
        <f t="shared" si="29"/>
        <v>0</v>
      </c>
    </row>
    <row r="306" spans="1:10" hidden="1" x14ac:dyDescent="0.25">
      <c r="A306" s="36"/>
      <c r="B306" s="409" t="str">
        <f t="shared" si="28"/>
        <v>REPARACIONS</v>
      </c>
      <c r="C306" s="407">
        <f t="shared" si="28"/>
        <v>0</v>
      </c>
      <c r="D306" s="407">
        <f t="shared" si="29"/>
        <v>0</v>
      </c>
      <c r="E306" s="407">
        <f t="shared" si="29"/>
        <v>0</v>
      </c>
      <c r="F306" s="407">
        <f t="shared" si="29"/>
        <v>0</v>
      </c>
      <c r="G306" s="407">
        <f t="shared" si="29"/>
        <v>0</v>
      </c>
      <c r="H306" s="407">
        <f t="shared" si="29"/>
        <v>0</v>
      </c>
      <c r="I306" s="407">
        <f t="shared" si="29"/>
        <v>0</v>
      </c>
      <c r="J306" s="407">
        <f t="shared" si="29"/>
        <v>0</v>
      </c>
    </row>
    <row r="307" spans="1:10" hidden="1" x14ac:dyDescent="0.25">
      <c r="A307" s="36"/>
      <c r="B307" s="409" t="str">
        <f t="shared" si="28"/>
        <v>SERVEIS PROF. INDEPENDENTS</v>
      </c>
      <c r="C307" s="407">
        <f t="shared" si="28"/>
        <v>0</v>
      </c>
      <c r="D307" s="407">
        <f t="shared" si="29"/>
        <v>0</v>
      </c>
      <c r="E307" s="407">
        <f t="shared" si="29"/>
        <v>0</v>
      </c>
      <c r="F307" s="407">
        <f t="shared" si="29"/>
        <v>0</v>
      </c>
      <c r="G307" s="407">
        <f t="shared" si="29"/>
        <v>0</v>
      </c>
      <c r="H307" s="407">
        <f t="shared" si="29"/>
        <v>0</v>
      </c>
      <c r="I307" s="407">
        <f t="shared" si="29"/>
        <v>0</v>
      </c>
      <c r="J307" s="407">
        <f t="shared" si="29"/>
        <v>0</v>
      </c>
    </row>
    <row r="308" spans="1:10" hidden="1" x14ac:dyDescent="0.25">
      <c r="A308" s="36"/>
      <c r="B308" s="409" t="str">
        <f t="shared" si="28"/>
        <v>TRANSPORTS</v>
      </c>
      <c r="C308" s="407">
        <f t="shared" si="28"/>
        <v>0</v>
      </c>
      <c r="D308" s="407">
        <f t="shared" si="29"/>
        <v>0</v>
      </c>
      <c r="E308" s="407">
        <f t="shared" si="29"/>
        <v>0</v>
      </c>
      <c r="F308" s="407">
        <f t="shared" si="29"/>
        <v>0</v>
      </c>
      <c r="G308" s="407">
        <f t="shared" si="29"/>
        <v>0</v>
      </c>
      <c r="H308" s="407">
        <f t="shared" si="29"/>
        <v>0</v>
      </c>
      <c r="I308" s="407">
        <f t="shared" si="29"/>
        <v>0</v>
      </c>
      <c r="J308" s="407">
        <f t="shared" si="29"/>
        <v>0</v>
      </c>
    </row>
    <row r="309" spans="1:10" hidden="1" x14ac:dyDescent="0.25">
      <c r="A309" s="36"/>
      <c r="B309" s="409" t="str">
        <f t="shared" ref="B309:B320" si="30">B287</f>
        <v>PRIMES D'ASSEGURANCES</v>
      </c>
      <c r="C309" s="410"/>
      <c r="D309" s="410"/>
      <c r="E309" s="410"/>
      <c r="F309" s="410"/>
      <c r="G309" s="410"/>
      <c r="H309" s="410"/>
      <c r="I309" s="410"/>
      <c r="J309" s="410"/>
    </row>
    <row r="310" spans="1:10" hidden="1" x14ac:dyDescent="0.25">
      <c r="A310" s="36"/>
      <c r="B310" s="409" t="str">
        <f t="shared" si="30"/>
        <v>SUBMINISTRAMENTS</v>
      </c>
      <c r="C310" s="407">
        <f>C288</f>
        <v>0</v>
      </c>
      <c r="D310" s="407">
        <f t="shared" si="29"/>
        <v>0</v>
      </c>
      <c r="E310" s="407">
        <f t="shared" si="29"/>
        <v>0</v>
      </c>
      <c r="F310" s="407">
        <f t="shared" si="29"/>
        <v>0</v>
      </c>
      <c r="G310" s="407">
        <f t="shared" si="29"/>
        <v>0</v>
      </c>
      <c r="H310" s="407">
        <f t="shared" si="29"/>
        <v>0</v>
      </c>
      <c r="I310" s="407">
        <f t="shared" si="29"/>
        <v>0</v>
      </c>
      <c r="J310" s="407">
        <f t="shared" si="29"/>
        <v>0</v>
      </c>
    </row>
    <row r="311" spans="1:10" hidden="1" x14ac:dyDescent="0.25">
      <c r="A311" s="36"/>
      <c r="B311" s="411" t="str">
        <f t="shared" si="30"/>
        <v>Aigua</v>
      </c>
      <c r="C311" s="407">
        <f>C289</f>
        <v>0</v>
      </c>
      <c r="D311" s="407">
        <f t="shared" si="29"/>
        <v>0</v>
      </c>
      <c r="E311" s="407">
        <f t="shared" si="29"/>
        <v>0</v>
      </c>
      <c r="F311" s="407">
        <f t="shared" si="29"/>
        <v>0</v>
      </c>
      <c r="G311" s="407">
        <f t="shared" si="29"/>
        <v>0</v>
      </c>
      <c r="H311" s="407">
        <f t="shared" si="29"/>
        <v>0</v>
      </c>
      <c r="I311" s="407">
        <f t="shared" si="29"/>
        <v>0</v>
      </c>
      <c r="J311" s="407">
        <f t="shared" si="29"/>
        <v>0</v>
      </c>
    </row>
    <row r="312" spans="1:10" hidden="1" x14ac:dyDescent="0.25">
      <c r="A312" s="36"/>
      <c r="B312" s="411" t="str">
        <f t="shared" si="30"/>
        <v>Gas</v>
      </c>
      <c r="C312" s="407">
        <f>C290</f>
        <v>0</v>
      </c>
      <c r="D312" s="407">
        <f t="shared" si="29"/>
        <v>0</v>
      </c>
      <c r="E312" s="407">
        <f t="shared" si="29"/>
        <v>0</v>
      </c>
      <c r="F312" s="407">
        <f t="shared" si="29"/>
        <v>0</v>
      </c>
      <c r="G312" s="407">
        <f t="shared" si="29"/>
        <v>0</v>
      </c>
      <c r="H312" s="407">
        <f t="shared" si="29"/>
        <v>0</v>
      </c>
      <c r="I312" s="407">
        <f t="shared" si="29"/>
        <v>0</v>
      </c>
      <c r="J312" s="407">
        <f t="shared" si="29"/>
        <v>0</v>
      </c>
    </row>
    <row r="313" spans="1:10" hidden="1" x14ac:dyDescent="0.25">
      <c r="A313" s="36"/>
      <c r="B313" s="411" t="str">
        <f t="shared" si="30"/>
        <v>Electricitat</v>
      </c>
      <c r="C313" s="407">
        <f>C291</f>
        <v>0</v>
      </c>
      <c r="D313" s="407">
        <f t="shared" si="29"/>
        <v>0</v>
      </c>
      <c r="E313" s="407">
        <f t="shared" si="29"/>
        <v>0</v>
      </c>
      <c r="F313" s="407">
        <f t="shared" si="29"/>
        <v>0</v>
      </c>
      <c r="G313" s="407">
        <f t="shared" si="29"/>
        <v>0</v>
      </c>
      <c r="H313" s="407">
        <f t="shared" si="29"/>
        <v>0</v>
      </c>
      <c r="I313" s="407">
        <f t="shared" si="29"/>
        <v>0</v>
      </c>
      <c r="J313" s="407">
        <f t="shared" si="29"/>
        <v>0</v>
      </c>
    </row>
    <row r="314" spans="1:10" hidden="1" x14ac:dyDescent="0.25">
      <c r="A314" s="36"/>
      <c r="B314" s="411" t="str">
        <f t="shared" si="30"/>
        <v>Combustible</v>
      </c>
      <c r="C314" s="407">
        <f>C292</f>
        <v>0</v>
      </c>
      <c r="D314" s="407">
        <f t="shared" si="29"/>
        <v>0</v>
      </c>
      <c r="E314" s="407">
        <f t="shared" si="29"/>
        <v>0</v>
      </c>
      <c r="F314" s="407">
        <f t="shared" si="29"/>
        <v>0</v>
      </c>
      <c r="G314" s="407">
        <f t="shared" si="29"/>
        <v>0</v>
      </c>
      <c r="H314" s="407">
        <f t="shared" si="29"/>
        <v>0</v>
      </c>
      <c r="I314" s="407">
        <f t="shared" si="29"/>
        <v>0</v>
      </c>
      <c r="J314" s="407">
        <f t="shared" si="29"/>
        <v>0</v>
      </c>
    </row>
    <row r="315" spans="1:10" hidden="1" x14ac:dyDescent="0.25">
      <c r="A315" s="36"/>
      <c r="B315" s="411" t="str">
        <f t="shared" si="30"/>
        <v>Telèfon, fax i internet</v>
      </c>
      <c r="C315" s="410"/>
      <c r="D315" s="410"/>
      <c r="E315" s="410"/>
      <c r="F315" s="410"/>
      <c r="G315" s="410"/>
      <c r="H315" s="410"/>
      <c r="I315" s="410"/>
      <c r="J315" s="410"/>
    </row>
    <row r="316" spans="1:10" hidden="1" x14ac:dyDescent="0.25">
      <c r="A316" s="36"/>
      <c r="B316" s="409" t="str">
        <f t="shared" si="30"/>
        <v>DESPESES DIVERSES</v>
      </c>
      <c r="C316" s="407">
        <f>C294</f>
        <v>0</v>
      </c>
      <c r="D316" s="407">
        <f t="shared" si="29"/>
        <v>0</v>
      </c>
      <c r="E316" s="407">
        <f t="shared" si="29"/>
        <v>0</v>
      </c>
      <c r="F316" s="407">
        <f t="shared" si="29"/>
        <v>0</v>
      </c>
      <c r="G316" s="407">
        <f t="shared" si="29"/>
        <v>0</v>
      </c>
      <c r="H316" s="407">
        <f t="shared" si="29"/>
        <v>0</v>
      </c>
      <c r="I316" s="407">
        <f t="shared" si="29"/>
        <v>0</v>
      </c>
      <c r="J316" s="407">
        <f t="shared" si="29"/>
        <v>0</v>
      </c>
    </row>
    <row r="317" spans="1:10" hidden="1" x14ac:dyDescent="0.25">
      <c r="A317" s="36"/>
      <c r="B317" s="411" t="str">
        <f t="shared" si="30"/>
        <v>Gestoria</v>
      </c>
      <c r="C317" s="407">
        <f>C295</f>
        <v>0</v>
      </c>
      <c r="D317" s="407">
        <f t="shared" si="29"/>
        <v>0</v>
      </c>
      <c r="E317" s="407">
        <f t="shared" si="29"/>
        <v>0</v>
      </c>
      <c r="F317" s="407">
        <f t="shared" si="29"/>
        <v>0</v>
      </c>
      <c r="G317" s="407">
        <f t="shared" si="29"/>
        <v>0</v>
      </c>
      <c r="H317" s="407">
        <f t="shared" si="29"/>
        <v>0</v>
      </c>
      <c r="I317" s="407">
        <f t="shared" si="29"/>
        <v>0</v>
      </c>
      <c r="J317" s="407">
        <f t="shared" si="29"/>
        <v>0</v>
      </c>
    </row>
    <row r="318" spans="1:10" hidden="1" x14ac:dyDescent="0.25">
      <c r="A318" s="36"/>
      <c r="B318" s="411" t="str">
        <f t="shared" si="30"/>
        <v>Oficina</v>
      </c>
      <c r="C318" s="407">
        <f>C296</f>
        <v>0</v>
      </c>
      <c r="D318" s="407">
        <f t="shared" si="29"/>
        <v>0</v>
      </c>
      <c r="E318" s="407">
        <f t="shared" si="29"/>
        <v>0</v>
      </c>
      <c r="F318" s="407">
        <f t="shared" si="29"/>
        <v>0</v>
      </c>
      <c r="G318" s="407">
        <f t="shared" si="29"/>
        <v>0</v>
      </c>
      <c r="H318" s="407">
        <f t="shared" si="29"/>
        <v>0</v>
      </c>
      <c r="I318" s="407">
        <f t="shared" si="29"/>
        <v>0</v>
      </c>
      <c r="J318" s="407">
        <f t="shared" si="29"/>
        <v>0</v>
      </c>
    </row>
    <row r="319" spans="1:10" hidden="1" x14ac:dyDescent="0.25">
      <c r="A319" s="36"/>
      <c r="B319" s="411" t="str">
        <f t="shared" si="30"/>
        <v>Manutenció</v>
      </c>
      <c r="C319" s="407">
        <f>C297</f>
        <v>0</v>
      </c>
      <c r="D319" s="407">
        <f t="shared" si="29"/>
        <v>0</v>
      </c>
      <c r="E319" s="407">
        <f t="shared" si="29"/>
        <v>0</v>
      </c>
      <c r="F319" s="407">
        <f t="shared" si="29"/>
        <v>0</v>
      </c>
      <c r="G319" s="407">
        <f t="shared" si="29"/>
        <v>0</v>
      </c>
      <c r="H319" s="407">
        <f t="shared" si="29"/>
        <v>0</v>
      </c>
      <c r="I319" s="407">
        <f t="shared" si="29"/>
        <v>0</v>
      </c>
      <c r="J319" s="407">
        <f t="shared" si="29"/>
        <v>0</v>
      </c>
    </row>
    <row r="320" spans="1:10" hidden="1" x14ac:dyDescent="0.25">
      <c r="A320" s="36"/>
      <c r="B320" s="412" t="str">
        <f t="shared" si="30"/>
        <v>Varis</v>
      </c>
      <c r="C320" s="51"/>
      <c r="D320" s="51"/>
      <c r="E320" s="51"/>
      <c r="F320" s="51"/>
      <c r="G320" s="51"/>
      <c r="H320" s="51"/>
      <c r="I320" s="51"/>
      <c r="J320" s="51"/>
    </row>
    <row r="321" spans="1:10" ht="13" hidden="1" x14ac:dyDescent="0.3">
      <c r="A321" s="36"/>
      <c r="B321" s="62"/>
      <c r="C321" s="413" t="str">
        <f>VARIABLES!B140</f>
        <v>GENER</v>
      </c>
      <c r="D321" s="414" t="str">
        <f>VARIABLES!C140</f>
        <v>FEBRER</v>
      </c>
      <c r="E321" s="414" t="str">
        <f>VARIABLES!D140</f>
        <v>MARÇ</v>
      </c>
      <c r="F321" s="414" t="str">
        <f>VARIABLES!E140</f>
        <v>ABRIL</v>
      </c>
      <c r="G321" s="414" t="str">
        <f>VARIABLES!F140</f>
        <v>MAIG</v>
      </c>
      <c r="H321" s="414" t="str">
        <f>VARIABLES!G140</f>
        <v>JUNY</v>
      </c>
      <c r="I321" s="414" t="str">
        <f>VARIABLES!H140</f>
        <v>JULIOL</v>
      </c>
      <c r="J321" s="414" t="str">
        <f>VARIABLES!I140</f>
        <v>AGOST</v>
      </c>
    </row>
    <row r="322" spans="1:10" ht="13" hidden="1" x14ac:dyDescent="0.3">
      <c r="A322" s="36"/>
      <c r="B322" s="354" t="s">
        <v>57</v>
      </c>
      <c r="C322" s="407">
        <f t="shared" ref="C322:J337" si="31">C304</f>
        <v>0</v>
      </c>
      <c r="D322" s="407">
        <f t="shared" si="31"/>
        <v>0</v>
      </c>
      <c r="E322" s="407">
        <f t="shared" si="31"/>
        <v>0</v>
      </c>
      <c r="F322" s="407">
        <f t="shared" si="31"/>
        <v>0</v>
      </c>
      <c r="G322" s="407">
        <f t="shared" si="31"/>
        <v>0</v>
      </c>
      <c r="H322" s="407">
        <f t="shared" si="31"/>
        <v>0</v>
      </c>
      <c r="I322" s="407">
        <f t="shared" si="31"/>
        <v>0</v>
      </c>
      <c r="J322" s="407">
        <f t="shared" si="31"/>
        <v>0</v>
      </c>
    </row>
    <row r="323" spans="1:10" hidden="1" x14ac:dyDescent="0.25">
      <c r="A323" s="36"/>
      <c r="B323" s="408" t="str">
        <f>B283</f>
        <v>LLOGUERS</v>
      </c>
      <c r="C323" s="407">
        <f t="shared" si="31"/>
        <v>0</v>
      </c>
      <c r="D323" s="407">
        <f t="shared" si="31"/>
        <v>0</v>
      </c>
      <c r="E323" s="407">
        <f t="shared" si="31"/>
        <v>0</v>
      </c>
      <c r="F323" s="407">
        <f t="shared" si="31"/>
        <v>0</v>
      </c>
      <c r="G323" s="407">
        <f t="shared" si="31"/>
        <v>0</v>
      </c>
      <c r="H323" s="407">
        <f t="shared" si="31"/>
        <v>0</v>
      </c>
      <c r="I323" s="407">
        <f t="shared" si="31"/>
        <v>0</v>
      </c>
      <c r="J323" s="407">
        <f t="shared" si="31"/>
        <v>0</v>
      </c>
    </row>
    <row r="324" spans="1:10" hidden="1" x14ac:dyDescent="0.25">
      <c r="A324" s="36"/>
      <c r="B324" s="409" t="str">
        <f t="shared" ref="B324:B338" si="32">B284</f>
        <v>REPARACIONS</v>
      </c>
      <c r="C324" s="407">
        <f t="shared" si="31"/>
        <v>0</v>
      </c>
      <c r="D324" s="407">
        <f t="shared" si="31"/>
        <v>0</v>
      </c>
      <c r="E324" s="407">
        <f t="shared" si="31"/>
        <v>0</v>
      </c>
      <c r="F324" s="407">
        <f t="shared" si="31"/>
        <v>0</v>
      </c>
      <c r="G324" s="407">
        <f t="shared" si="31"/>
        <v>0</v>
      </c>
      <c r="H324" s="407">
        <f t="shared" si="31"/>
        <v>0</v>
      </c>
      <c r="I324" s="407">
        <f t="shared" si="31"/>
        <v>0</v>
      </c>
      <c r="J324" s="407">
        <f t="shared" si="31"/>
        <v>0</v>
      </c>
    </row>
    <row r="325" spans="1:10" hidden="1" x14ac:dyDescent="0.25">
      <c r="A325" s="36"/>
      <c r="B325" s="409" t="str">
        <f t="shared" si="32"/>
        <v>SERVEIS PROF. INDEPENDENTS</v>
      </c>
      <c r="C325" s="407">
        <f t="shared" si="31"/>
        <v>0</v>
      </c>
      <c r="D325" s="407">
        <f t="shared" si="31"/>
        <v>0</v>
      </c>
      <c r="E325" s="407">
        <f t="shared" si="31"/>
        <v>0</v>
      </c>
      <c r="F325" s="407">
        <f t="shared" si="31"/>
        <v>0</v>
      </c>
      <c r="G325" s="407">
        <f t="shared" si="31"/>
        <v>0</v>
      </c>
      <c r="H325" s="407">
        <f t="shared" si="31"/>
        <v>0</v>
      </c>
      <c r="I325" s="407">
        <f t="shared" si="31"/>
        <v>0</v>
      </c>
      <c r="J325" s="407">
        <f t="shared" si="31"/>
        <v>0</v>
      </c>
    </row>
    <row r="326" spans="1:10" hidden="1" x14ac:dyDescent="0.25">
      <c r="A326" s="36"/>
      <c r="B326" s="409" t="str">
        <f t="shared" si="32"/>
        <v>TRANSPORTS</v>
      </c>
      <c r="C326" s="407">
        <f t="shared" si="31"/>
        <v>0</v>
      </c>
      <c r="D326" s="407">
        <f t="shared" si="31"/>
        <v>0</v>
      </c>
      <c r="E326" s="407">
        <f t="shared" si="31"/>
        <v>0</v>
      </c>
      <c r="F326" s="407">
        <f t="shared" si="31"/>
        <v>0</v>
      </c>
      <c r="G326" s="407">
        <f t="shared" si="31"/>
        <v>0</v>
      </c>
      <c r="H326" s="407">
        <f t="shared" si="31"/>
        <v>0</v>
      </c>
      <c r="I326" s="407">
        <f t="shared" si="31"/>
        <v>0</v>
      </c>
      <c r="J326" s="407">
        <f t="shared" si="31"/>
        <v>0</v>
      </c>
    </row>
    <row r="327" spans="1:10" hidden="1" x14ac:dyDescent="0.25">
      <c r="A327" s="36"/>
      <c r="B327" s="409" t="str">
        <f t="shared" si="32"/>
        <v>PRIMES D'ASSEGURANCES</v>
      </c>
      <c r="C327" s="410"/>
      <c r="D327" s="410"/>
      <c r="E327" s="410"/>
      <c r="F327" s="410"/>
      <c r="G327" s="410"/>
      <c r="H327" s="410"/>
      <c r="I327" s="410"/>
      <c r="J327" s="410"/>
    </row>
    <row r="328" spans="1:10" hidden="1" x14ac:dyDescent="0.25">
      <c r="A328" s="36"/>
      <c r="B328" s="409" t="str">
        <f t="shared" si="32"/>
        <v>SUBMINISTRAMENTS</v>
      </c>
      <c r="C328" s="407">
        <f t="shared" ref="C328:D332" si="33">C310</f>
        <v>0</v>
      </c>
      <c r="D328" s="407">
        <f t="shared" si="33"/>
        <v>0</v>
      </c>
      <c r="E328" s="407">
        <f t="shared" si="31"/>
        <v>0</v>
      </c>
      <c r="F328" s="407">
        <f t="shared" si="31"/>
        <v>0</v>
      </c>
      <c r="G328" s="407">
        <f t="shared" si="31"/>
        <v>0</v>
      </c>
      <c r="H328" s="407">
        <f t="shared" si="31"/>
        <v>0</v>
      </c>
      <c r="I328" s="407">
        <f t="shared" si="31"/>
        <v>0</v>
      </c>
      <c r="J328" s="407">
        <f t="shared" si="31"/>
        <v>0</v>
      </c>
    </row>
    <row r="329" spans="1:10" hidden="1" x14ac:dyDescent="0.25">
      <c r="A329" s="36"/>
      <c r="B329" s="411" t="str">
        <f t="shared" si="32"/>
        <v>Aigua</v>
      </c>
      <c r="C329" s="407">
        <f t="shared" si="33"/>
        <v>0</v>
      </c>
      <c r="D329" s="407">
        <f t="shared" si="33"/>
        <v>0</v>
      </c>
      <c r="E329" s="407">
        <f t="shared" si="31"/>
        <v>0</v>
      </c>
      <c r="F329" s="407">
        <f t="shared" si="31"/>
        <v>0</v>
      </c>
      <c r="G329" s="407">
        <f t="shared" si="31"/>
        <v>0</v>
      </c>
      <c r="H329" s="407">
        <f t="shared" si="31"/>
        <v>0</v>
      </c>
      <c r="I329" s="407">
        <f t="shared" si="31"/>
        <v>0</v>
      </c>
      <c r="J329" s="407">
        <f t="shared" si="31"/>
        <v>0</v>
      </c>
    </row>
    <row r="330" spans="1:10" hidden="1" x14ac:dyDescent="0.25">
      <c r="A330" s="36"/>
      <c r="B330" s="411" t="str">
        <f t="shared" si="32"/>
        <v>Gas</v>
      </c>
      <c r="C330" s="407">
        <f t="shared" si="33"/>
        <v>0</v>
      </c>
      <c r="D330" s="407">
        <f t="shared" si="33"/>
        <v>0</v>
      </c>
      <c r="E330" s="407">
        <f t="shared" si="31"/>
        <v>0</v>
      </c>
      <c r="F330" s="407">
        <f t="shared" si="31"/>
        <v>0</v>
      </c>
      <c r="G330" s="407">
        <f t="shared" si="31"/>
        <v>0</v>
      </c>
      <c r="H330" s="407">
        <f t="shared" si="31"/>
        <v>0</v>
      </c>
      <c r="I330" s="407">
        <f t="shared" si="31"/>
        <v>0</v>
      </c>
      <c r="J330" s="407">
        <f t="shared" si="31"/>
        <v>0</v>
      </c>
    </row>
    <row r="331" spans="1:10" hidden="1" x14ac:dyDescent="0.25">
      <c r="A331" s="36"/>
      <c r="B331" s="411" t="str">
        <f t="shared" si="32"/>
        <v>Electricitat</v>
      </c>
      <c r="C331" s="407">
        <f t="shared" si="33"/>
        <v>0</v>
      </c>
      <c r="D331" s="407">
        <f t="shared" si="33"/>
        <v>0</v>
      </c>
      <c r="E331" s="407">
        <f t="shared" si="31"/>
        <v>0</v>
      </c>
      <c r="F331" s="407">
        <f t="shared" si="31"/>
        <v>0</v>
      </c>
      <c r="G331" s="407">
        <f t="shared" si="31"/>
        <v>0</v>
      </c>
      <c r="H331" s="407">
        <f t="shared" si="31"/>
        <v>0</v>
      </c>
      <c r="I331" s="407">
        <f t="shared" si="31"/>
        <v>0</v>
      </c>
      <c r="J331" s="407">
        <f t="shared" si="31"/>
        <v>0</v>
      </c>
    </row>
    <row r="332" spans="1:10" hidden="1" x14ac:dyDescent="0.25">
      <c r="A332" s="36"/>
      <c r="B332" s="411" t="str">
        <f t="shared" si="32"/>
        <v>Combustible</v>
      </c>
      <c r="C332" s="407">
        <f t="shared" si="33"/>
        <v>0</v>
      </c>
      <c r="D332" s="407">
        <f t="shared" si="33"/>
        <v>0</v>
      </c>
      <c r="E332" s="407">
        <f t="shared" si="31"/>
        <v>0</v>
      </c>
      <c r="F332" s="407">
        <f t="shared" si="31"/>
        <v>0</v>
      </c>
      <c r="G332" s="407">
        <f t="shared" si="31"/>
        <v>0</v>
      </c>
      <c r="H332" s="407">
        <f t="shared" si="31"/>
        <v>0</v>
      </c>
      <c r="I332" s="407">
        <f t="shared" si="31"/>
        <v>0</v>
      </c>
      <c r="J332" s="407">
        <f t="shared" si="31"/>
        <v>0</v>
      </c>
    </row>
    <row r="333" spans="1:10" hidden="1" x14ac:dyDescent="0.25">
      <c r="A333" s="36"/>
      <c r="B333" s="411" t="str">
        <f t="shared" si="32"/>
        <v>Telèfon, fax i internet</v>
      </c>
      <c r="C333" s="410"/>
      <c r="D333" s="410"/>
      <c r="E333" s="410"/>
      <c r="F333" s="410"/>
      <c r="G333" s="410"/>
      <c r="H333" s="410"/>
      <c r="I333" s="410"/>
      <c r="J333" s="410"/>
    </row>
    <row r="334" spans="1:10" hidden="1" x14ac:dyDescent="0.25">
      <c r="A334" s="36"/>
      <c r="B334" s="409" t="str">
        <f t="shared" si="32"/>
        <v>DESPESES DIVERSES</v>
      </c>
      <c r="C334" s="407">
        <f t="shared" ref="C334:D337" si="34">C316</f>
        <v>0</v>
      </c>
      <c r="D334" s="407">
        <f t="shared" si="34"/>
        <v>0</v>
      </c>
      <c r="E334" s="407">
        <f t="shared" si="31"/>
        <v>0</v>
      </c>
      <c r="F334" s="407">
        <f t="shared" si="31"/>
        <v>0</v>
      </c>
      <c r="G334" s="407">
        <f t="shared" si="31"/>
        <v>0</v>
      </c>
      <c r="H334" s="407">
        <f t="shared" si="31"/>
        <v>0</v>
      </c>
      <c r="I334" s="407">
        <f t="shared" si="31"/>
        <v>0</v>
      </c>
      <c r="J334" s="407">
        <f t="shared" si="31"/>
        <v>0</v>
      </c>
    </row>
    <row r="335" spans="1:10" hidden="1" x14ac:dyDescent="0.25">
      <c r="A335" s="36"/>
      <c r="B335" s="411" t="str">
        <f t="shared" si="32"/>
        <v>Gestoria</v>
      </c>
      <c r="C335" s="407">
        <f t="shared" si="34"/>
        <v>0</v>
      </c>
      <c r="D335" s="407">
        <f t="shared" si="34"/>
        <v>0</v>
      </c>
      <c r="E335" s="407">
        <f t="shared" si="31"/>
        <v>0</v>
      </c>
      <c r="F335" s="407">
        <f t="shared" si="31"/>
        <v>0</v>
      </c>
      <c r="G335" s="407">
        <f t="shared" si="31"/>
        <v>0</v>
      </c>
      <c r="H335" s="407">
        <f t="shared" si="31"/>
        <v>0</v>
      </c>
      <c r="I335" s="407">
        <f t="shared" si="31"/>
        <v>0</v>
      </c>
      <c r="J335" s="407">
        <f t="shared" si="31"/>
        <v>0</v>
      </c>
    </row>
    <row r="336" spans="1:10" hidden="1" x14ac:dyDescent="0.25">
      <c r="A336" s="36"/>
      <c r="B336" s="411" t="str">
        <f t="shared" si="32"/>
        <v>Oficina</v>
      </c>
      <c r="C336" s="407">
        <f t="shared" si="34"/>
        <v>0</v>
      </c>
      <c r="D336" s="407">
        <f t="shared" si="34"/>
        <v>0</v>
      </c>
      <c r="E336" s="407">
        <f t="shared" si="31"/>
        <v>0</v>
      </c>
      <c r="F336" s="407">
        <f t="shared" si="31"/>
        <v>0</v>
      </c>
      <c r="G336" s="407">
        <f t="shared" si="31"/>
        <v>0</v>
      </c>
      <c r="H336" s="407">
        <f t="shared" si="31"/>
        <v>0</v>
      </c>
      <c r="I336" s="407">
        <f t="shared" si="31"/>
        <v>0</v>
      </c>
      <c r="J336" s="407">
        <f t="shared" si="31"/>
        <v>0</v>
      </c>
    </row>
    <row r="337" spans="1:10" ht="12.75" hidden="1" customHeight="1" x14ac:dyDescent="0.25">
      <c r="A337" s="36"/>
      <c r="B337" s="411" t="str">
        <f t="shared" si="32"/>
        <v>Manutenció</v>
      </c>
      <c r="C337" s="407">
        <f t="shared" si="34"/>
        <v>0</v>
      </c>
      <c r="D337" s="407">
        <f t="shared" si="34"/>
        <v>0</v>
      </c>
      <c r="E337" s="407">
        <f t="shared" si="31"/>
        <v>0</v>
      </c>
      <c r="F337" s="407">
        <f t="shared" si="31"/>
        <v>0</v>
      </c>
      <c r="G337" s="407">
        <f t="shared" si="31"/>
        <v>0</v>
      </c>
      <c r="H337" s="407">
        <f t="shared" si="31"/>
        <v>0</v>
      </c>
      <c r="I337" s="407">
        <f t="shared" si="31"/>
        <v>0</v>
      </c>
      <c r="J337" s="407">
        <f t="shared" si="31"/>
        <v>0</v>
      </c>
    </row>
    <row r="338" spans="1:10" ht="12.75" hidden="1" customHeight="1" x14ac:dyDescent="0.25">
      <c r="A338" s="36"/>
      <c r="B338" s="411" t="str">
        <f t="shared" si="32"/>
        <v>Varis</v>
      </c>
      <c r="C338" s="404"/>
      <c r="D338" s="404"/>
      <c r="E338" s="404"/>
      <c r="F338" s="404"/>
      <c r="G338" s="404"/>
      <c r="H338" s="404"/>
      <c r="I338" s="404"/>
      <c r="J338" s="404"/>
    </row>
    <row r="339" spans="1:10" ht="1.5" customHeight="1" thickBot="1" x14ac:dyDescent="0.3">
      <c r="A339" s="36"/>
      <c r="B339" s="415"/>
      <c r="C339" s="37"/>
      <c r="D339" s="37"/>
      <c r="E339" s="37"/>
      <c r="F339" s="37"/>
      <c r="G339" s="37"/>
      <c r="H339" s="37"/>
      <c r="I339" s="37"/>
      <c r="J339" s="37"/>
    </row>
    <row r="340" spans="1:10" ht="10.5" customHeight="1" thickBot="1" x14ac:dyDescent="0.3">
      <c r="A340" s="37"/>
      <c r="B340" s="37"/>
      <c r="C340" s="37"/>
      <c r="D340" s="37"/>
      <c r="E340" s="37"/>
      <c r="F340" s="37"/>
      <c r="G340" s="37"/>
      <c r="H340" s="37"/>
      <c r="I340" s="37"/>
      <c r="J340" s="37"/>
    </row>
    <row r="341" spans="1:10" ht="16.5" customHeight="1" x14ac:dyDescent="0.35">
      <c r="A341" s="347">
        <v>5</v>
      </c>
      <c r="B341" s="43" t="s">
        <v>191</v>
      </c>
      <c r="C341" s="46"/>
      <c r="D341" s="46"/>
      <c r="E341" s="46"/>
      <c r="F341" s="46"/>
      <c r="G341" s="46"/>
      <c r="H341" s="46"/>
      <c r="I341" s="46"/>
      <c r="J341" s="47"/>
    </row>
    <row r="342" spans="1:10" ht="13" x14ac:dyDescent="0.3">
      <c r="A342" s="36"/>
      <c r="B342" s="416"/>
      <c r="C342" s="417" t="s">
        <v>192</v>
      </c>
      <c r="D342" s="417" t="s">
        <v>193</v>
      </c>
      <c r="E342" s="418"/>
      <c r="F342" s="418"/>
      <c r="G342" s="418"/>
      <c r="H342" s="418"/>
      <c r="I342" s="418"/>
      <c r="J342" s="419"/>
    </row>
    <row r="343" spans="1:10" ht="13" x14ac:dyDescent="0.3">
      <c r="A343" s="36"/>
      <c r="B343" s="420" t="s">
        <v>194</v>
      </c>
      <c r="C343" s="49" t="str">
        <f>+$C$10</f>
        <v>GENER</v>
      </c>
      <c r="D343" s="49" t="str">
        <f>+$C$10</f>
        <v>GENER</v>
      </c>
      <c r="E343" s="421"/>
      <c r="F343" s="421"/>
      <c r="G343" s="421"/>
      <c r="H343" s="421"/>
      <c r="I343" s="421"/>
      <c r="J343" s="422"/>
    </row>
    <row r="344" spans="1:10" ht="13" x14ac:dyDescent="0.3">
      <c r="A344" s="36"/>
      <c r="B344" s="420" t="s">
        <v>195</v>
      </c>
      <c r="C344" s="49" t="str">
        <f>+C343</f>
        <v>GENER</v>
      </c>
      <c r="D344" s="49" t="str">
        <f>+D343</f>
        <v>GENER</v>
      </c>
      <c r="E344" s="421"/>
      <c r="F344" s="421"/>
      <c r="G344" s="421"/>
      <c r="H344" s="421"/>
      <c r="I344" s="421"/>
      <c r="J344" s="422"/>
    </row>
    <row r="345" spans="1:10" ht="13" hidden="1" x14ac:dyDescent="0.3">
      <c r="A345" s="36"/>
      <c r="B345" s="398" t="s">
        <v>195</v>
      </c>
      <c r="C345" s="423"/>
      <c r="D345" s="423"/>
      <c r="E345" s="424"/>
      <c r="F345" s="424"/>
      <c r="G345" s="424"/>
      <c r="H345" s="424"/>
      <c r="I345" s="424"/>
      <c r="J345" s="425"/>
    </row>
    <row r="346" spans="1:10" hidden="1" x14ac:dyDescent="0.25">
      <c r="A346" s="36"/>
      <c r="B346" s="391" t="s">
        <v>196</v>
      </c>
      <c r="C346" s="423"/>
      <c r="D346" s="423"/>
      <c r="E346" s="424"/>
      <c r="F346" s="424"/>
      <c r="G346" s="424"/>
      <c r="H346" s="424"/>
      <c r="I346" s="424"/>
      <c r="J346" s="425"/>
    </row>
    <row r="347" spans="1:10" x14ac:dyDescent="0.25">
      <c r="A347" s="36"/>
      <c r="B347" s="426"/>
      <c r="C347" s="427"/>
      <c r="D347" s="427"/>
      <c r="E347" s="428"/>
      <c r="F347" s="428"/>
      <c r="G347" s="428"/>
      <c r="H347" s="428"/>
      <c r="I347" s="428"/>
      <c r="J347" s="429"/>
    </row>
    <row r="348" spans="1:10" ht="10.5" customHeight="1" x14ac:dyDescent="0.3">
      <c r="A348" s="36"/>
      <c r="B348" s="430" t="s">
        <v>197</v>
      </c>
      <c r="C348" s="431">
        <v>0</v>
      </c>
      <c r="D348" s="431">
        <v>0</v>
      </c>
      <c r="E348" s="432"/>
      <c r="F348" s="432"/>
      <c r="G348" s="432"/>
      <c r="H348" s="432"/>
      <c r="I348" s="432"/>
      <c r="J348" s="433"/>
    </row>
    <row r="349" spans="1:10" hidden="1" x14ac:dyDescent="0.25">
      <c r="A349" s="36"/>
      <c r="B349" s="430" t="s">
        <v>197</v>
      </c>
      <c r="C349" s="434"/>
      <c r="D349" s="434"/>
      <c r="E349" s="435"/>
      <c r="F349" s="435"/>
      <c r="G349" s="435"/>
      <c r="H349" s="435"/>
      <c r="I349" s="435"/>
      <c r="J349" s="436"/>
    </row>
    <row r="350" spans="1:10" hidden="1" x14ac:dyDescent="0.25">
      <c r="A350" s="36"/>
      <c r="B350" s="430" t="s">
        <v>198</v>
      </c>
      <c r="C350" s="437">
        <v>0</v>
      </c>
      <c r="D350" s="437">
        <v>0</v>
      </c>
      <c r="E350" s="438"/>
      <c r="F350" s="438"/>
      <c r="G350" s="438"/>
      <c r="H350" s="438"/>
      <c r="I350" s="438"/>
      <c r="J350" s="439"/>
    </row>
    <row r="351" spans="1:10" hidden="1" x14ac:dyDescent="0.25">
      <c r="A351" s="36"/>
      <c r="B351" s="440" t="s">
        <v>199</v>
      </c>
      <c r="C351" s="441">
        <v>0</v>
      </c>
      <c r="D351" s="441">
        <v>0</v>
      </c>
      <c r="E351" s="442"/>
      <c r="F351" s="442"/>
      <c r="G351" s="442"/>
      <c r="H351" s="442"/>
      <c r="I351" s="442"/>
      <c r="J351" s="443"/>
    </row>
    <row r="352" spans="1:10" s="7" customFormat="1" ht="12.75" hidden="1" customHeight="1" x14ac:dyDescent="0.3">
      <c r="A352" s="444"/>
      <c r="B352" s="440" t="s">
        <v>200</v>
      </c>
      <c r="C352" s="445">
        <v>0</v>
      </c>
      <c r="D352" s="445">
        <v>0</v>
      </c>
      <c r="E352" s="446"/>
      <c r="F352" s="446"/>
      <c r="G352" s="446"/>
      <c r="H352" s="446"/>
      <c r="I352" s="446"/>
      <c r="J352" s="447"/>
    </row>
    <row r="353" spans="1:10" s="7" customFormat="1" ht="13" hidden="1" x14ac:dyDescent="0.3">
      <c r="A353" s="444"/>
      <c r="B353" s="430" t="s">
        <v>201</v>
      </c>
      <c r="C353" s="448">
        <v>0.29799999999999999</v>
      </c>
      <c r="D353" s="448">
        <v>0.29799999999999999</v>
      </c>
      <c r="E353" s="449"/>
      <c r="F353" s="449"/>
      <c r="G353" s="449"/>
      <c r="H353" s="449"/>
      <c r="I353" s="449"/>
      <c r="J353" s="450"/>
    </row>
    <row r="354" spans="1:10" s="7" customFormat="1" ht="12.75" hidden="1" customHeight="1" x14ac:dyDescent="0.3">
      <c r="A354" s="444"/>
      <c r="B354" s="430" t="s">
        <v>202</v>
      </c>
      <c r="C354" s="448">
        <v>0</v>
      </c>
      <c r="D354" s="448">
        <v>0</v>
      </c>
      <c r="E354" s="449"/>
      <c r="F354" s="449"/>
      <c r="G354" s="449"/>
      <c r="H354" s="449"/>
      <c r="I354" s="449"/>
      <c r="J354" s="450"/>
    </row>
    <row r="355" spans="1:10" hidden="1" x14ac:dyDescent="0.25">
      <c r="A355" s="36"/>
      <c r="B355" s="451" t="s">
        <v>203</v>
      </c>
      <c r="C355" s="452" t="s">
        <v>192</v>
      </c>
      <c r="D355" s="452" t="s">
        <v>193</v>
      </c>
      <c r="E355" s="418"/>
      <c r="F355" s="418"/>
      <c r="G355" s="418"/>
      <c r="H355" s="418"/>
      <c r="I355" s="418"/>
      <c r="J355" s="419"/>
    </row>
    <row r="356" spans="1:10" ht="13" hidden="1" x14ac:dyDescent="0.3">
      <c r="A356" s="36"/>
      <c r="B356" s="453" t="s">
        <v>47</v>
      </c>
      <c r="C356" s="49" t="str">
        <f>+$C$10</f>
        <v>GENER</v>
      </c>
      <c r="D356" s="49" t="str">
        <f>+$C$10</f>
        <v>GENER</v>
      </c>
      <c r="E356" s="421"/>
      <c r="F356" s="421"/>
      <c r="G356" s="421"/>
      <c r="H356" s="421"/>
      <c r="I356" s="421"/>
      <c r="J356" s="422"/>
    </row>
    <row r="357" spans="1:10" ht="13" hidden="1" x14ac:dyDescent="0.3">
      <c r="A357" s="36"/>
      <c r="B357" s="420" t="s">
        <v>194</v>
      </c>
      <c r="C357" s="49" t="str">
        <f>+$C$10</f>
        <v>GENER</v>
      </c>
      <c r="D357" s="49" t="str">
        <f>+$C$10</f>
        <v>GENER</v>
      </c>
      <c r="E357" s="421"/>
      <c r="F357" s="421"/>
      <c r="G357" s="421"/>
      <c r="H357" s="421"/>
      <c r="I357" s="421"/>
      <c r="J357" s="422"/>
    </row>
    <row r="358" spans="1:10" ht="13" hidden="1" x14ac:dyDescent="0.3">
      <c r="A358" s="36"/>
      <c r="B358" s="398" t="s">
        <v>195</v>
      </c>
      <c r="C358" s="454"/>
      <c r="D358" s="454"/>
      <c r="E358" s="455"/>
      <c r="F358" s="455"/>
      <c r="G358" s="455"/>
      <c r="H358" s="455"/>
      <c r="I358" s="455"/>
      <c r="J358" s="456"/>
    </row>
    <row r="359" spans="1:10" hidden="1" x14ac:dyDescent="0.25">
      <c r="A359" s="36"/>
      <c r="B359" s="391" t="s">
        <v>204</v>
      </c>
      <c r="C359" s="454"/>
      <c r="D359" s="454"/>
      <c r="E359" s="455"/>
      <c r="F359" s="455"/>
      <c r="G359" s="455"/>
      <c r="H359" s="455"/>
      <c r="I359" s="455"/>
      <c r="J359" s="456"/>
    </row>
    <row r="360" spans="1:10" hidden="1" x14ac:dyDescent="0.25">
      <c r="A360" s="36"/>
      <c r="B360" s="391" t="s">
        <v>205</v>
      </c>
      <c r="C360" s="457"/>
      <c r="D360" s="457"/>
      <c r="E360" s="458"/>
      <c r="F360" s="458"/>
      <c r="G360" s="458"/>
      <c r="H360" s="458"/>
      <c r="I360" s="458"/>
      <c r="J360" s="459"/>
    </row>
    <row r="361" spans="1:10" ht="13" hidden="1" x14ac:dyDescent="0.3">
      <c r="A361" s="36"/>
      <c r="B361" s="430" t="s">
        <v>206</v>
      </c>
      <c r="C361" s="431">
        <f>+C348</f>
        <v>0</v>
      </c>
      <c r="D361" s="431">
        <f>D348</f>
        <v>0</v>
      </c>
      <c r="E361" s="460"/>
      <c r="F361" s="460"/>
      <c r="G361" s="460"/>
      <c r="H361" s="460"/>
      <c r="I361" s="460"/>
      <c r="J361" s="461"/>
    </row>
    <row r="362" spans="1:10" hidden="1" x14ac:dyDescent="0.25">
      <c r="A362" s="36"/>
      <c r="B362" s="430" t="s">
        <v>197</v>
      </c>
      <c r="C362" s="434"/>
      <c r="D362" s="434"/>
      <c r="E362" s="462"/>
      <c r="F362" s="462"/>
      <c r="G362" s="462"/>
      <c r="H362" s="462"/>
      <c r="I362" s="462"/>
      <c r="J362" s="463"/>
    </row>
    <row r="363" spans="1:10" hidden="1" x14ac:dyDescent="0.25">
      <c r="A363" s="36"/>
      <c r="B363" s="430" t="s">
        <v>198</v>
      </c>
      <c r="C363" s="437">
        <f t="shared" ref="C363:D367" si="35">C350</f>
        <v>0</v>
      </c>
      <c r="D363" s="437">
        <f t="shared" si="35"/>
        <v>0</v>
      </c>
      <c r="E363" s="464"/>
      <c r="F363" s="464"/>
      <c r="G363" s="464"/>
      <c r="H363" s="464"/>
      <c r="I363" s="464"/>
      <c r="J363" s="465"/>
    </row>
    <row r="364" spans="1:10" hidden="1" x14ac:dyDescent="0.25">
      <c r="A364" s="36"/>
      <c r="B364" s="440" t="s">
        <v>199</v>
      </c>
      <c r="C364" s="441">
        <f t="shared" si="35"/>
        <v>0</v>
      </c>
      <c r="D364" s="441">
        <f t="shared" si="35"/>
        <v>0</v>
      </c>
      <c r="E364" s="466"/>
      <c r="F364" s="466"/>
      <c r="G364" s="466"/>
      <c r="H364" s="466"/>
      <c r="I364" s="466"/>
      <c r="J364" s="467"/>
    </row>
    <row r="365" spans="1:10" s="7" customFormat="1" ht="13" hidden="1" x14ac:dyDescent="0.3">
      <c r="A365" s="444"/>
      <c r="B365" s="440" t="s">
        <v>200</v>
      </c>
      <c r="C365" s="445">
        <f t="shared" si="35"/>
        <v>0</v>
      </c>
      <c r="D365" s="445">
        <f t="shared" si="35"/>
        <v>0</v>
      </c>
      <c r="E365" s="468"/>
      <c r="F365" s="468"/>
      <c r="G365" s="468"/>
      <c r="H365" s="468"/>
      <c r="I365" s="468"/>
      <c r="J365" s="469"/>
    </row>
    <row r="366" spans="1:10" s="7" customFormat="1" ht="13" hidden="1" x14ac:dyDescent="0.3">
      <c r="A366" s="444"/>
      <c r="B366" s="430" t="s">
        <v>201</v>
      </c>
      <c r="C366" s="448">
        <f t="shared" si="35"/>
        <v>0.29799999999999999</v>
      </c>
      <c r="D366" s="448">
        <f t="shared" si="35"/>
        <v>0.29799999999999999</v>
      </c>
      <c r="E366" s="470"/>
      <c r="F366" s="470"/>
      <c r="G366" s="470"/>
      <c r="H366" s="470"/>
      <c r="I366" s="470"/>
      <c r="J366" s="471"/>
    </row>
    <row r="367" spans="1:10" s="7" customFormat="1" ht="13" hidden="1" x14ac:dyDescent="0.3">
      <c r="A367" s="444"/>
      <c r="B367" s="430" t="s">
        <v>202</v>
      </c>
      <c r="C367" s="448">
        <f t="shared" si="35"/>
        <v>0</v>
      </c>
      <c r="D367" s="448">
        <f t="shared" si="35"/>
        <v>0</v>
      </c>
      <c r="E367" s="470"/>
      <c r="F367" s="470"/>
      <c r="G367" s="470"/>
      <c r="H367" s="470"/>
      <c r="I367" s="470"/>
      <c r="J367" s="471"/>
    </row>
    <row r="368" spans="1:10" hidden="1" x14ac:dyDescent="0.25">
      <c r="A368" s="472"/>
      <c r="B368" s="451" t="s">
        <v>203</v>
      </c>
      <c r="C368" s="452" t="s">
        <v>192</v>
      </c>
      <c r="D368" s="452" t="s">
        <v>193</v>
      </c>
      <c r="E368" s="418"/>
      <c r="F368" s="418"/>
      <c r="G368" s="418"/>
      <c r="H368" s="418"/>
      <c r="I368" s="418"/>
      <c r="J368" s="419"/>
    </row>
    <row r="369" spans="1:10" ht="13" hidden="1" x14ac:dyDescent="0.3">
      <c r="A369" s="36"/>
      <c r="B369" s="453" t="s">
        <v>57</v>
      </c>
      <c r="C369" s="49" t="str">
        <f>+$C$10</f>
        <v>GENER</v>
      </c>
      <c r="D369" s="49" t="str">
        <f>+$C$10</f>
        <v>GENER</v>
      </c>
      <c r="E369" s="421"/>
      <c r="F369" s="421"/>
      <c r="G369" s="421"/>
      <c r="H369" s="421"/>
      <c r="I369" s="421"/>
      <c r="J369" s="422"/>
    </row>
    <row r="370" spans="1:10" ht="13" hidden="1" x14ac:dyDescent="0.3">
      <c r="A370" s="36"/>
      <c r="B370" s="420" t="s">
        <v>194</v>
      </c>
      <c r="C370" s="49" t="str">
        <f>+$C$10</f>
        <v>GENER</v>
      </c>
      <c r="D370" s="49" t="str">
        <f>+$C$10</f>
        <v>GENER</v>
      </c>
      <c r="E370" s="421"/>
      <c r="F370" s="421"/>
      <c r="G370" s="421"/>
      <c r="H370" s="421"/>
      <c r="I370" s="421"/>
      <c r="J370" s="422"/>
    </row>
    <row r="371" spans="1:10" ht="13" hidden="1" x14ac:dyDescent="0.3">
      <c r="A371" s="36"/>
      <c r="B371" s="398" t="s">
        <v>195</v>
      </c>
      <c r="C371" s="454"/>
      <c r="D371" s="454"/>
      <c r="E371" s="455"/>
      <c r="F371" s="455"/>
      <c r="G371" s="455"/>
      <c r="H371" s="455"/>
      <c r="I371" s="455"/>
      <c r="J371" s="456"/>
    </row>
    <row r="372" spans="1:10" hidden="1" x14ac:dyDescent="0.25">
      <c r="A372" s="36"/>
      <c r="B372" s="391" t="s">
        <v>204</v>
      </c>
      <c r="C372" s="454"/>
      <c r="D372" s="454"/>
      <c r="E372" s="455"/>
      <c r="F372" s="455"/>
      <c r="G372" s="455"/>
      <c r="H372" s="455"/>
      <c r="I372" s="455"/>
      <c r="J372" s="456"/>
    </row>
    <row r="373" spans="1:10" hidden="1" x14ac:dyDescent="0.25">
      <c r="A373" s="36"/>
      <c r="B373" s="391" t="s">
        <v>205</v>
      </c>
      <c r="C373" s="457"/>
      <c r="D373" s="457"/>
      <c r="E373" s="458"/>
      <c r="F373" s="458"/>
      <c r="G373" s="458"/>
      <c r="H373" s="458"/>
      <c r="I373" s="458"/>
      <c r="J373" s="459"/>
    </row>
    <row r="374" spans="1:10" ht="13" hidden="1" x14ac:dyDescent="0.3">
      <c r="A374" s="36"/>
      <c r="B374" s="430" t="s">
        <v>206</v>
      </c>
      <c r="C374" s="431">
        <f>+C361</f>
        <v>0</v>
      </c>
      <c r="D374" s="431">
        <f>D361</f>
        <v>0</v>
      </c>
      <c r="E374" s="460"/>
      <c r="F374" s="460"/>
      <c r="G374" s="460"/>
      <c r="H374" s="460"/>
      <c r="I374" s="460"/>
      <c r="J374" s="461"/>
    </row>
    <row r="375" spans="1:10" hidden="1" x14ac:dyDescent="0.25">
      <c r="A375" s="36"/>
      <c r="B375" s="430" t="s">
        <v>197</v>
      </c>
      <c r="C375" s="434"/>
      <c r="D375" s="434"/>
      <c r="E375" s="462"/>
      <c r="F375" s="462"/>
      <c r="G375" s="462"/>
      <c r="H375" s="462"/>
      <c r="I375" s="462"/>
      <c r="J375" s="463"/>
    </row>
    <row r="376" spans="1:10" hidden="1" x14ac:dyDescent="0.25">
      <c r="A376" s="36"/>
      <c r="B376" s="430" t="s">
        <v>198</v>
      </c>
      <c r="C376" s="437">
        <f>C363</f>
        <v>0</v>
      </c>
      <c r="D376" s="437">
        <f>D363</f>
        <v>0</v>
      </c>
      <c r="E376" s="464"/>
      <c r="F376" s="464"/>
      <c r="G376" s="464"/>
      <c r="H376" s="464"/>
      <c r="I376" s="464"/>
      <c r="J376" s="465"/>
    </row>
    <row r="377" spans="1:10" hidden="1" x14ac:dyDescent="0.25">
      <c r="A377" s="36"/>
      <c r="B377" s="440" t="s">
        <v>199</v>
      </c>
      <c r="C377" s="441">
        <f>C364</f>
        <v>0</v>
      </c>
      <c r="D377" s="441">
        <f>D364</f>
        <v>0</v>
      </c>
      <c r="E377" s="466"/>
      <c r="F377" s="466"/>
      <c r="G377" s="466"/>
      <c r="H377" s="466"/>
      <c r="I377" s="466"/>
      <c r="J377" s="467"/>
    </row>
    <row r="378" spans="1:10" s="7" customFormat="1" ht="13" hidden="1" x14ac:dyDescent="0.3">
      <c r="A378" s="444"/>
      <c r="B378" s="440" t="s">
        <v>200</v>
      </c>
      <c r="C378" s="473"/>
      <c r="D378" s="473"/>
      <c r="E378" s="468"/>
      <c r="F378" s="468"/>
      <c r="G378" s="468"/>
      <c r="H378" s="468"/>
      <c r="I378" s="468"/>
      <c r="J378" s="469"/>
    </row>
    <row r="379" spans="1:10" s="7" customFormat="1" ht="13" x14ac:dyDescent="0.3">
      <c r="A379" s="444"/>
      <c r="B379" s="430" t="s">
        <v>201</v>
      </c>
      <c r="C379" s="445">
        <v>0</v>
      </c>
      <c r="D379" s="445">
        <v>0</v>
      </c>
      <c r="E379" s="470"/>
      <c r="F379" s="470"/>
      <c r="G379" s="470"/>
      <c r="H379" s="470"/>
      <c r="I379" s="470"/>
      <c r="J379" s="471"/>
    </row>
    <row r="380" spans="1:10" s="7" customFormat="1" ht="13" x14ac:dyDescent="0.3">
      <c r="A380" s="444"/>
      <c r="B380" s="430" t="s">
        <v>202</v>
      </c>
      <c r="C380" s="448">
        <v>0.29799999999999999</v>
      </c>
      <c r="D380" s="448">
        <v>0.29799999999999999</v>
      </c>
      <c r="E380" s="474"/>
      <c r="F380" s="474"/>
      <c r="G380" s="474"/>
      <c r="H380" s="474"/>
      <c r="I380" s="474"/>
      <c r="J380" s="475"/>
    </row>
    <row r="381" spans="1:10" ht="13" x14ac:dyDescent="0.3">
      <c r="A381" s="36"/>
      <c r="B381" s="430" t="s">
        <v>203</v>
      </c>
      <c r="C381" s="476">
        <v>0</v>
      </c>
      <c r="D381" s="476">
        <v>0</v>
      </c>
      <c r="E381" s="51"/>
      <c r="F381" s="51"/>
      <c r="G381" s="51"/>
      <c r="H381" s="51"/>
      <c r="I381" s="51"/>
      <c r="J381" s="52"/>
    </row>
    <row r="382" spans="1:10" ht="12.75" customHeight="1" x14ac:dyDescent="0.25">
      <c r="A382" s="37"/>
      <c r="B382" s="477"/>
      <c r="C382" s="404"/>
      <c r="D382" s="404"/>
      <c r="E382" s="404"/>
      <c r="F382" s="404"/>
      <c r="G382" s="404"/>
      <c r="H382" s="404"/>
      <c r="I382" s="404"/>
      <c r="J382" s="205"/>
    </row>
    <row r="383" spans="1:10" x14ac:dyDescent="0.25">
      <c r="A383" s="36"/>
      <c r="B383" s="37"/>
      <c r="C383" s="37"/>
      <c r="D383" s="37"/>
      <c r="E383" s="37"/>
      <c r="F383" s="37"/>
      <c r="G383" s="37"/>
      <c r="H383" s="37"/>
      <c r="I383" s="37"/>
      <c r="J383" s="37"/>
    </row>
    <row r="384" spans="1:10" x14ac:dyDescent="0.25">
      <c r="A384" s="37"/>
      <c r="B384" s="37"/>
      <c r="C384" s="37"/>
      <c r="D384" s="37"/>
      <c r="E384" s="37"/>
      <c r="F384" s="37"/>
      <c r="G384" s="37"/>
      <c r="H384" s="37"/>
      <c r="I384" s="37"/>
      <c r="J384" s="37"/>
    </row>
    <row r="385" spans="1:10" ht="15.5" x14ac:dyDescent="0.35">
      <c r="A385" s="42">
        <v>6</v>
      </c>
      <c r="B385" s="43" t="s">
        <v>207</v>
      </c>
      <c r="C385" s="46"/>
      <c r="D385" s="46"/>
      <c r="E385" s="46"/>
      <c r="F385" s="46"/>
      <c r="G385" s="47"/>
      <c r="H385" s="37"/>
      <c r="I385" s="37"/>
      <c r="J385" s="37"/>
    </row>
    <row r="386" spans="1:10" ht="13" x14ac:dyDescent="0.3">
      <c r="A386" s="36"/>
      <c r="B386" s="183"/>
      <c r="C386" s="417" t="s">
        <v>208</v>
      </c>
      <c r="D386" s="417" t="s">
        <v>209</v>
      </c>
      <c r="E386" s="418"/>
      <c r="F386" s="418"/>
      <c r="G386" s="419"/>
      <c r="H386" s="478"/>
      <c r="I386" s="37"/>
      <c r="J386" s="37"/>
    </row>
    <row r="387" spans="1:10" ht="13" x14ac:dyDescent="0.3">
      <c r="A387" s="36"/>
      <c r="B387" s="479"/>
      <c r="C387" s="479"/>
      <c r="D387" s="479"/>
      <c r="E387" s="50"/>
      <c r="F387" s="50"/>
      <c r="G387" s="480"/>
      <c r="H387" s="478"/>
      <c r="I387" s="37"/>
      <c r="J387" s="37"/>
    </row>
    <row r="388" spans="1:10" ht="12.75" customHeight="1" x14ac:dyDescent="0.3">
      <c r="A388" s="36"/>
      <c r="B388" s="481" t="s">
        <v>210</v>
      </c>
      <c r="C388" s="49">
        <v>0</v>
      </c>
      <c r="D388" s="49">
        <v>0</v>
      </c>
      <c r="E388" s="421"/>
      <c r="F388" s="421"/>
      <c r="G388" s="422"/>
      <c r="H388" s="478"/>
      <c r="I388" s="37"/>
      <c r="J388" s="37"/>
    </row>
    <row r="389" spans="1:10" ht="13" hidden="1" x14ac:dyDescent="0.3">
      <c r="A389" s="36"/>
      <c r="B389" s="481" t="s">
        <v>194</v>
      </c>
      <c r="C389" s="482"/>
      <c r="D389" s="482"/>
      <c r="E389" s="421"/>
      <c r="F389" s="421"/>
      <c r="G389" s="422"/>
      <c r="H389" s="478"/>
      <c r="I389" s="37"/>
      <c r="J389" s="37"/>
    </row>
    <row r="390" spans="1:10" ht="14.25" customHeight="1" x14ac:dyDescent="0.3">
      <c r="A390" s="36"/>
      <c r="B390" s="481" t="s">
        <v>195</v>
      </c>
      <c r="C390" s="49" t="str">
        <f>+$C$10</f>
        <v>GENER</v>
      </c>
      <c r="D390" s="49" t="str">
        <f>+$C$10</f>
        <v>GENER</v>
      </c>
      <c r="E390" s="418"/>
      <c r="F390" s="418"/>
      <c r="G390" s="419"/>
      <c r="H390" s="478"/>
      <c r="I390" s="37"/>
      <c r="J390" s="37"/>
    </row>
    <row r="391" spans="1:10" ht="12.75" hidden="1" customHeight="1" x14ac:dyDescent="0.3">
      <c r="A391" s="36"/>
      <c r="B391" s="481" t="s">
        <v>211</v>
      </c>
      <c r="C391" s="49" t="str">
        <f>+C390</f>
        <v>GENER</v>
      </c>
      <c r="D391" s="49" t="str">
        <f>+D390</f>
        <v>GENER</v>
      </c>
      <c r="E391" s="193"/>
      <c r="F391" s="193"/>
      <c r="G391" s="483"/>
      <c r="H391" s="484"/>
      <c r="I391" s="37"/>
      <c r="J391" s="37"/>
    </row>
    <row r="392" spans="1:10" ht="13" hidden="1" x14ac:dyDescent="0.3">
      <c r="A392" s="36"/>
      <c r="B392" s="481" t="s">
        <v>212</v>
      </c>
      <c r="C392" s="485"/>
      <c r="D392" s="485"/>
      <c r="E392" s="418"/>
      <c r="F392" s="418"/>
      <c r="G392" s="419"/>
      <c r="H392" s="486"/>
      <c r="I392" s="37"/>
      <c r="J392" s="37"/>
    </row>
    <row r="393" spans="1:10" ht="13" hidden="1" x14ac:dyDescent="0.3">
      <c r="A393" s="36"/>
      <c r="B393" s="73" t="s">
        <v>198</v>
      </c>
      <c r="C393" s="192">
        <v>0</v>
      </c>
      <c r="D393" s="192">
        <v>0</v>
      </c>
      <c r="E393" s="487"/>
      <c r="F393" s="487"/>
      <c r="G393" s="488"/>
      <c r="H393" s="489"/>
      <c r="I393" s="37"/>
      <c r="J393" s="37"/>
    </row>
    <row r="394" spans="1:10" hidden="1" x14ac:dyDescent="0.25">
      <c r="A394" s="36"/>
      <c r="B394" s="490" t="s">
        <v>213</v>
      </c>
      <c r="C394" s="485"/>
      <c r="D394" s="485"/>
      <c r="E394" s="491"/>
      <c r="F394" s="491"/>
      <c r="G394" s="492"/>
      <c r="H394" s="489"/>
      <c r="I394" s="37"/>
      <c r="J394" s="37"/>
    </row>
    <row r="395" spans="1:10" ht="13" x14ac:dyDescent="0.3">
      <c r="A395" s="36"/>
      <c r="B395" s="493" t="s">
        <v>214</v>
      </c>
      <c r="C395" s="49">
        <v>0</v>
      </c>
      <c r="D395" s="49">
        <v>0</v>
      </c>
      <c r="E395" s="494"/>
      <c r="F395" s="494"/>
      <c r="G395" s="495"/>
      <c r="H395" s="489"/>
      <c r="I395" s="37"/>
      <c r="J395" s="37"/>
    </row>
    <row r="396" spans="1:10" ht="13" x14ac:dyDescent="0.3">
      <c r="A396" s="36"/>
      <c r="B396" s="481" t="s">
        <v>215</v>
      </c>
      <c r="C396" s="496">
        <v>14</v>
      </c>
      <c r="D396" s="496">
        <v>14</v>
      </c>
      <c r="E396" s="418"/>
      <c r="F396" s="418"/>
      <c r="G396" s="419"/>
      <c r="H396" s="37"/>
      <c r="I396" s="37"/>
      <c r="J396" s="37"/>
    </row>
    <row r="397" spans="1:10" ht="13" x14ac:dyDescent="0.3">
      <c r="A397" s="36"/>
      <c r="B397" s="73" t="s">
        <v>202</v>
      </c>
      <c r="C397" s="497"/>
      <c r="D397" s="497"/>
      <c r="E397" s="498"/>
      <c r="F397" s="498"/>
      <c r="G397" s="499"/>
      <c r="H397" s="37"/>
      <c r="I397" s="37"/>
      <c r="J397" s="37"/>
    </row>
    <row r="398" spans="1:10" ht="13" x14ac:dyDescent="0.3">
      <c r="A398" s="36"/>
      <c r="B398" s="73" t="s">
        <v>216</v>
      </c>
      <c r="C398" s="500">
        <f>23.6%+6.7%+0.6%+0.4%+0.99%</f>
        <v>0.32290000000000008</v>
      </c>
      <c r="D398" s="500">
        <f>23.6%+6.7%+0.6%+0.4%+0.99%</f>
        <v>0.32290000000000008</v>
      </c>
      <c r="E398" s="498"/>
      <c r="F398" s="498"/>
      <c r="G398" s="499"/>
      <c r="H398" s="478"/>
      <c r="I398" s="37"/>
      <c r="J398" s="37"/>
    </row>
    <row r="399" spans="1:10" ht="13" x14ac:dyDescent="0.3">
      <c r="A399" s="36"/>
      <c r="B399" s="73" t="s">
        <v>217</v>
      </c>
      <c r="C399" s="500">
        <v>6.3500000000000001E-2</v>
      </c>
      <c r="D399" s="500">
        <v>6.3500000000000001E-2</v>
      </c>
      <c r="E399" s="69"/>
      <c r="F399" s="69"/>
      <c r="G399" s="501"/>
      <c r="H399" s="502"/>
      <c r="I399" s="37"/>
      <c r="J399" s="37"/>
    </row>
    <row r="400" spans="1:10" ht="13" x14ac:dyDescent="0.3">
      <c r="A400" s="36"/>
      <c r="B400" s="73" t="s">
        <v>203</v>
      </c>
      <c r="C400" s="503">
        <v>0</v>
      </c>
      <c r="D400" s="503">
        <v>0</v>
      </c>
      <c r="E400" s="504"/>
      <c r="F400" s="504"/>
      <c r="G400" s="505"/>
      <c r="H400" s="506"/>
      <c r="I400" s="502"/>
      <c r="J400" s="37"/>
    </row>
    <row r="401" spans="1:10" ht="15.75" customHeight="1" thickBot="1" x14ac:dyDescent="0.35">
      <c r="A401" s="36"/>
      <c r="B401" s="245"/>
      <c r="C401" s="507"/>
      <c r="D401" s="508"/>
      <c r="E401" s="508"/>
      <c r="F401" s="508"/>
      <c r="G401" s="509"/>
      <c r="H401" s="506"/>
      <c r="I401" s="502"/>
      <c r="J401" s="37"/>
    </row>
    <row r="402" spans="1:10" ht="12.75" hidden="1" customHeight="1" x14ac:dyDescent="0.3">
      <c r="A402" s="36"/>
      <c r="B402" s="510" t="s">
        <v>218</v>
      </c>
      <c r="C402" s="511" t="s">
        <v>10</v>
      </c>
      <c r="D402" s="511" t="s">
        <v>16</v>
      </c>
      <c r="E402" s="512"/>
      <c r="F402" s="508"/>
      <c r="G402" s="509"/>
      <c r="H402" s="506"/>
      <c r="I402" s="502"/>
      <c r="J402" s="37"/>
    </row>
    <row r="403" spans="1:10" ht="12.75" hidden="1" customHeight="1" x14ac:dyDescent="0.25">
      <c r="A403" s="36"/>
      <c r="B403" s="415"/>
      <c r="C403" s="404"/>
      <c r="D403" s="404"/>
      <c r="E403" s="404"/>
      <c r="F403" s="404"/>
      <c r="G403" s="205"/>
      <c r="H403" s="37"/>
      <c r="I403" s="37"/>
      <c r="J403" s="37"/>
    </row>
    <row r="404" spans="1:10" hidden="1" x14ac:dyDescent="0.25">
      <c r="A404" s="36"/>
      <c r="B404" s="62"/>
      <c r="C404" s="513" t="s">
        <v>208</v>
      </c>
      <c r="D404" s="513" t="s">
        <v>209</v>
      </c>
      <c r="E404" s="513" t="s">
        <v>219</v>
      </c>
      <c r="F404" s="513" t="s">
        <v>220</v>
      </c>
      <c r="G404" s="513" t="s">
        <v>221</v>
      </c>
      <c r="H404" s="37"/>
      <c r="I404" s="37"/>
      <c r="J404" s="37"/>
    </row>
    <row r="405" spans="1:10" ht="13" hidden="1" x14ac:dyDescent="0.3">
      <c r="A405" s="36"/>
      <c r="B405" s="514" t="s">
        <v>47</v>
      </c>
      <c r="C405" s="515">
        <f>+C388</f>
        <v>0</v>
      </c>
      <c r="D405" s="515">
        <f>D388</f>
        <v>0</v>
      </c>
      <c r="E405" s="515">
        <f>E387</f>
        <v>0</v>
      </c>
      <c r="F405" s="515">
        <f>F387</f>
        <v>0</v>
      </c>
      <c r="G405" s="516">
        <f>G387</f>
        <v>0</v>
      </c>
      <c r="H405" s="37"/>
      <c r="I405" s="37"/>
      <c r="J405" s="37"/>
    </row>
    <row r="406" spans="1:10" ht="13" hidden="1" x14ac:dyDescent="0.3">
      <c r="A406" s="36"/>
      <c r="B406" s="481" t="s">
        <v>210</v>
      </c>
      <c r="C406" s="515" t="str">
        <f t="shared" ref="C406:G407" si="36">+$C$10</f>
        <v>GENER</v>
      </c>
      <c r="D406" s="515" t="str">
        <f t="shared" si="36"/>
        <v>GENER</v>
      </c>
      <c r="E406" s="515" t="str">
        <f t="shared" si="36"/>
        <v>GENER</v>
      </c>
      <c r="F406" s="515" t="str">
        <f t="shared" si="36"/>
        <v>GENER</v>
      </c>
      <c r="G406" s="515" t="str">
        <f t="shared" si="36"/>
        <v>GENER</v>
      </c>
      <c r="H406" s="37"/>
      <c r="I406" s="37"/>
      <c r="J406" s="37"/>
    </row>
    <row r="407" spans="1:10" ht="13" hidden="1" x14ac:dyDescent="0.3">
      <c r="A407" s="36"/>
      <c r="B407" s="481" t="s">
        <v>194</v>
      </c>
      <c r="C407" s="515" t="str">
        <f t="shared" si="36"/>
        <v>GENER</v>
      </c>
      <c r="D407" s="515" t="str">
        <f t="shared" si="36"/>
        <v>GENER</v>
      </c>
      <c r="E407" s="515" t="str">
        <f t="shared" si="36"/>
        <v>GENER</v>
      </c>
      <c r="F407" s="515" t="str">
        <f t="shared" si="36"/>
        <v>GENER</v>
      </c>
      <c r="G407" s="515" t="str">
        <f t="shared" si="36"/>
        <v>GENER</v>
      </c>
      <c r="H407" s="37"/>
      <c r="I407" s="37"/>
      <c r="J407" s="37"/>
    </row>
    <row r="408" spans="1:10" ht="13" hidden="1" x14ac:dyDescent="0.3">
      <c r="A408" s="36"/>
      <c r="B408" s="481" t="s">
        <v>195</v>
      </c>
      <c r="C408" s="517"/>
      <c r="D408" s="517"/>
      <c r="E408" s="517"/>
      <c r="F408" s="517"/>
      <c r="G408" s="518"/>
      <c r="H408" s="37"/>
      <c r="I408" s="37"/>
      <c r="J408" s="37"/>
    </row>
    <row r="409" spans="1:10" ht="13" hidden="1" x14ac:dyDescent="0.3">
      <c r="A409" s="36"/>
      <c r="B409" s="481" t="s">
        <v>211</v>
      </c>
      <c r="C409" s="519">
        <f>C393</f>
        <v>0</v>
      </c>
      <c r="D409" s="519">
        <f>D393</f>
        <v>0</v>
      </c>
      <c r="E409" s="519">
        <f>E391</f>
        <v>0</v>
      </c>
      <c r="F409" s="519">
        <f>F391</f>
        <v>0</v>
      </c>
      <c r="G409" s="520">
        <f>G391</f>
        <v>0</v>
      </c>
      <c r="H409" s="37"/>
      <c r="I409" s="37"/>
      <c r="J409" s="37"/>
    </row>
    <row r="410" spans="1:10" ht="13" hidden="1" x14ac:dyDescent="0.3">
      <c r="A410" s="36"/>
      <c r="B410" s="481" t="s">
        <v>212</v>
      </c>
      <c r="C410" s="517"/>
      <c r="D410" s="517"/>
      <c r="E410" s="517"/>
      <c r="F410" s="517"/>
      <c r="G410" s="518"/>
      <c r="H410" s="37"/>
      <c r="I410" s="37"/>
      <c r="J410" s="37"/>
    </row>
    <row r="411" spans="1:10" hidden="1" x14ac:dyDescent="0.25">
      <c r="A411" s="36"/>
      <c r="B411" s="73" t="s">
        <v>198</v>
      </c>
      <c r="C411" s="521">
        <f>C395</f>
        <v>0</v>
      </c>
      <c r="D411" s="521">
        <f>D395</f>
        <v>0</v>
      </c>
      <c r="E411" s="521">
        <f t="shared" ref="E411:G413" si="37">E393</f>
        <v>0</v>
      </c>
      <c r="F411" s="521">
        <f t="shared" si="37"/>
        <v>0</v>
      </c>
      <c r="G411" s="522">
        <f t="shared" si="37"/>
        <v>0</v>
      </c>
      <c r="H411" s="37"/>
      <c r="I411" s="37"/>
      <c r="J411" s="37"/>
    </row>
    <row r="412" spans="1:10" hidden="1" x14ac:dyDescent="0.25">
      <c r="A412" s="36"/>
      <c r="B412" s="490" t="s">
        <v>213</v>
      </c>
      <c r="C412" s="523">
        <f>C396</f>
        <v>14</v>
      </c>
      <c r="D412" s="523">
        <f>D396</f>
        <v>14</v>
      </c>
      <c r="E412" s="523">
        <f t="shared" si="37"/>
        <v>0</v>
      </c>
      <c r="F412" s="523">
        <f t="shared" si="37"/>
        <v>0</v>
      </c>
      <c r="G412" s="524">
        <f t="shared" si="37"/>
        <v>0</v>
      </c>
      <c r="H412" s="37"/>
      <c r="I412" s="37"/>
      <c r="J412" s="37"/>
    </row>
    <row r="413" spans="1:10" ht="13" hidden="1" x14ac:dyDescent="0.3">
      <c r="A413" s="36"/>
      <c r="B413" s="490" t="s">
        <v>200</v>
      </c>
      <c r="C413" s="525">
        <f>+C397</f>
        <v>0</v>
      </c>
      <c r="D413" s="525">
        <f>D397</f>
        <v>0</v>
      </c>
      <c r="E413" s="525">
        <f t="shared" si="37"/>
        <v>0</v>
      </c>
      <c r="F413" s="525">
        <f t="shared" si="37"/>
        <v>0</v>
      </c>
      <c r="G413" s="526">
        <f t="shared" si="37"/>
        <v>0</v>
      </c>
      <c r="H413" s="37"/>
      <c r="I413" s="37"/>
      <c r="J413" s="37"/>
    </row>
    <row r="414" spans="1:10" ht="13" hidden="1" x14ac:dyDescent="0.3">
      <c r="A414" s="36"/>
      <c r="B414" s="481" t="s">
        <v>222</v>
      </c>
      <c r="C414" s="517"/>
      <c r="D414" s="517"/>
      <c r="E414" s="517"/>
      <c r="F414" s="517"/>
      <c r="G414" s="518"/>
      <c r="H414" s="37"/>
      <c r="I414" s="37"/>
      <c r="J414" s="37"/>
    </row>
    <row r="415" spans="1:10" ht="13" hidden="1" x14ac:dyDescent="0.3">
      <c r="A415" s="36"/>
      <c r="B415" s="73" t="s">
        <v>202</v>
      </c>
      <c r="C415" s="527">
        <f>C398</f>
        <v>0.32290000000000008</v>
      </c>
      <c r="D415" s="527" t="e">
        <f>#REF!</f>
        <v>#REF!</v>
      </c>
      <c r="E415" s="527">
        <f t="shared" ref="D415:G417" si="38">E397</f>
        <v>0</v>
      </c>
      <c r="F415" s="527">
        <f t="shared" si="38"/>
        <v>0</v>
      </c>
      <c r="G415" s="528">
        <f t="shared" si="38"/>
        <v>0</v>
      </c>
      <c r="H415" s="37"/>
      <c r="I415" s="37"/>
      <c r="J415" s="37"/>
    </row>
    <row r="416" spans="1:10" ht="13" hidden="1" x14ac:dyDescent="0.3">
      <c r="A416" s="36"/>
      <c r="B416" s="73" t="s">
        <v>216</v>
      </c>
      <c r="C416" s="527">
        <f>C399</f>
        <v>6.3500000000000001E-2</v>
      </c>
      <c r="D416" s="527">
        <f t="shared" si="38"/>
        <v>0.32290000000000008</v>
      </c>
      <c r="E416" s="527">
        <f t="shared" si="38"/>
        <v>0</v>
      </c>
      <c r="F416" s="527">
        <f t="shared" si="38"/>
        <v>0</v>
      </c>
      <c r="G416" s="528">
        <f t="shared" si="38"/>
        <v>0</v>
      </c>
      <c r="H416" s="37"/>
      <c r="I416" s="37"/>
      <c r="J416" s="37"/>
    </row>
    <row r="417" spans="1:10" ht="13" hidden="1" x14ac:dyDescent="0.3">
      <c r="A417" s="36"/>
      <c r="B417" s="73" t="s">
        <v>217</v>
      </c>
      <c r="C417" s="529">
        <f>C400</f>
        <v>0</v>
      </c>
      <c r="D417" s="529">
        <f t="shared" si="38"/>
        <v>6.3500000000000001E-2</v>
      </c>
      <c r="E417" s="529">
        <f t="shared" si="38"/>
        <v>0</v>
      </c>
      <c r="F417" s="529">
        <f t="shared" si="38"/>
        <v>0</v>
      </c>
      <c r="G417" s="530">
        <f t="shared" si="38"/>
        <v>0</v>
      </c>
      <c r="H417" s="37"/>
      <c r="I417" s="37"/>
      <c r="J417" s="37"/>
    </row>
    <row r="418" spans="1:10" ht="13" hidden="1" x14ac:dyDescent="0.3">
      <c r="A418" s="36"/>
      <c r="B418" s="73" t="s">
        <v>203</v>
      </c>
      <c r="C418" s="424"/>
      <c r="D418" s="504"/>
      <c r="E418" s="504"/>
      <c r="F418" s="504"/>
      <c r="G418" s="505"/>
      <c r="H418" s="37"/>
      <c r="I418" s="37"/>
      <c r="J418" s="37"/>
    </row>
    <row r="419" spans="1:10" ht="13" hidden="1" x14ac:dyDescent="0.3">
      <c r="A419" s="36"/>
      <c r="B419" s="232"/>
      <c r="C419" s="424"/>
      <c r="D419" s="504"/>
      <c r="E419" s="504"/>
      <c r="F419" s="504"/>
      <c r="G419" s="505"/>
      <c r="H419" s="37"/>
      <c r="I419" s="37"/>
      <c r="J419" s="37"/>
    </row>
    <row r="420" spans="1:10" ht="13" hidden="1" x14ac:dyDescent="0.3">
      <c r="A420" s="36"/>
      <c r="B420" s="73" t="s">
        <v>218</v>
      </c>
      <c r="C420" s="207" t="s">
        <v>10</v>
      </c>
      <c r="D420" s="207" t="s">
        <v>16</v>
      </c>
      <c r="E420" s="531"/>
      <c r="F420" s="504"/>
      <c r="G420" s="505"/>
      <c r="H420" s="37"/>
      <c r="I420" s="37"/>
      <c r="J420" s="37"/>
    </row>
    <row r="421" spans="1:10" hidden="1" x14ac:dyDescent="0.25">
      <c r="A421" s="36"/>
      <c r="B421" s="62"/>
      <c r="C421" s="51"/>
      <c r="D421" s="51"/>
      <c r="E421" s="51"/>
      <c r="F421" s="51"/>
      <c r="G421" s="52"/>
      <c r="H421" s="37"/>
      <c r="I421" s="37"/>
      <c r="J421" s="37"/>
    </row>
    <row r="422" spans="1:10" hidden="1" x14ac:dyDescent="0.25">
      <c r="A422" s="36"/>
      <c r="B422" s="62"/>
      <c r="C422" s="417" t="s">
        <v>208</v>
      </c>
      <c r="D422" s="417" t="s">
        <v>209</v>
      </c>
      <c r="E422" s="417" t="s">
        <v>219</v>
      </c>
      <c r="F422" s="417" t="s">
        <v>220</v>
      </c>
      <c r="G422" s="532" t="s">
        <v>221</v>
      </c>
      <c r="H422" s="37"/>
      <c r="I422" s="37"/>
      <c r="J422" s="37"/>
    </row>
    <row r="423" spans="1:10" ht="13" hidden="1" x14ac:dyDescent="0.3">
      <c r="A423" s="36"/>
      <c r="B423" s="514" t="s">
        <v>57</v>
      </c>
      <c r="C423" s="515">
        <f>C405</f>
        <v>0</v>
      </c>
      <c r="D423" s="515">
        <f>D405</f>
        <v>0</v>
      </c>
      <c r="E423" s="515">
        <f>E405</f>
        <v>0</v>
      </c>
      <c r="F423" s="515">
        <f>F405</f>
        <v>0</v>
      </c>
      <c r="G423" s="516">
        <f>G405</f>
        <v>0</v>
      </c>
      <c r="H423" s="37"/>
      <c r="I423" s="37"/>
      <c r="J423" s="37"/>
    </row>
    <row r="424" spans="1:10" ht="13" hidden="1" x14ac:dyDescent="0.3">
      <c r="A424" s="36"/>
      <c r="B424" s="481" t="s">
        <v>210</v>
      </c>
      <c r="C424" s="515" t="str">
        <f t="shared" ref="C424:G425" si="39">+$C$10</f>
        <v>GENER</v>
      </c>
      <c r="D424" s="515" t="str">
        <f t="shared" si="39"/>
        <v>GENER</v>
      </c>
      <c r="E424" s="515" t="str">
        <f t="shared" si="39"/>
        <v>GENER</v>
      </c>
      <c r="F424" s="515" t="str">
        <f t="shared" si="39"/>
        <v>GENER</v>
      </c>
      <c r="G424" s="515" t="str">
        <f t="shared" si="39"/>
        <v>GENER</v>
      </c>
      <c r="H424" s="37"/>
      <c r="I424" s="37"/>
      <c r="J424" s="37"/>
    </row>
    <row r="425" spans="1:10" ht="13" hidden="1" x14ac:dyDescent="0.3">
      <c r="A425" s="36"/>
      <c r="B425" s="481" t="s">
        <v>194</v>
      </c>
      <c r="C425" s="515" t="str">
        <f t="shared" si="39"/>
        <v>GENER</v>
      </c>
      <c r="D425" s="515" t="str">
        <f t="shared" si="39"/>
        <v>GENER</v>
      </c>
      <c r="E425" s="515" t="str">
        <f t="shared" si="39"/>
        <v>GENER</v>
      </c>
      <c r="F425" s="515" t="str">
        <f t="shared" si="39"/>
        <v>GENER</v>
      </c>
      <c r="G425" s="515" t="str">
        <f t="shared" si="39"/>
        <v>GENER</v>
      </c>
      <c r="H425" s="37"/>
      <c r="I425" s="37"/>
      <c r="J425" s="37"/>
    </row>
    <row r="426" spans="1:10" ht="13" hidden="1" x14ac:dyDescent="0.3">
      <c r="A426" s="36"/>
      <c r="B426" s="481" t="s">
        <v>195</v>
      </c>
      <c r="C426" s="517"/>
      <c r="D426" s="517"/>
      <c r="E426" s="517"/>
      <c r="F426" s="517"/>
      <c r="G426" s="518"/>
      <c r="H426" s="37"/>
      <c r="I426" s="37"/>
      <c r="J426" s="37"/>
    </row>
    <row r="427" spans="1:10" ht="13" hidden="1" x14ac:dyDescent="0.3">
      <c r="A427" s="36"/>
      <c r="B427" s="481" t="s">
        <v>211</v>
      </c>
      <c r="C427" s="519">
        <f>C409</f>
        <v>0</v>
      </c>
      <c r="D427" s="519">
        <f>D409</f>
        <v>0</v>
      </c>
      <c r="E427" s="519">
        <f>E409</f>
        <v>0</v>
      </c>
      <c r="F427" s="519">
        <f>F409</f>
        <v>0</v>
      </c>
      <c r="G427" s="520">
        <f>G409</f>
        <v>0</v>
      </c>
      <c r="H427" s="37"/>
      <c r="I427" s="37"/>
      <c r="J427" s="37"/>
    </row>
    <row r="428" spans="1:10" ht="13" hidden="1" x14ac:dyDescent="0.3">
      <c r="A428" s="36"/>
      <c r="B428" s="481" t="s">
        <v>212</v>
      </c>
      <c r="C428" s="517"/>
      <c r="D428" s="517"/>
      <c r="E428" s="517"/>
      <c r="F428" s="517"/>
      <c r="G428" s="518"/>
      <c r="H428" s="37"/>
      <c r="I428" s="37"/>
      <c r="J428" s="37"/>
    </row>
    <row r="429" spans="1:10" hidden="1" x14ac:dyDescent="0.25">
      <c r="A429" s="36"/>
      <c r="B429" s="73" t="s">
        <v>198</v>
      </c>
      <c r="C429" s="521">
        <f t="shared" ref="C429:G431" si="40">C411</f>
        <v>0</v>
      </c>
      <c r="D429" s="521">
        <f t="shared" si="40"/>
        <v>0</v>
      </c>
      <c r="E429" s="521">
        <f t="shared" si="40"/>
        <v>0</v>
      </c>
      <c r="F429" s="521">
        <f t="shared" si="40"/>
        <v>0</v>
      </c>
      <c r="G429" s="522">
        <f t="shared" si="40"/>
        <v>0</v>
      </c>
      <c r="H429" s="37"/>
      <c r="I429" s="37"/>
      <c r="J429" s="37"/>
    </row>
    <row r="430" spans="1:10" hidden="1" x14ac:dyDescent="0.25">
      <c r="A430" s="36"/>
      <c r="B430" s="490" t="s">
        <v>213</v>
      </c>
      <c r="C430" s="523">
        <f t="shared" si="40"/>
        <v>14</v>
      </c>
      <c r="D430" s="523">
        <f t="shared" si="40"/>
        <v>14</v>
      </c>
      <c r="E430" s="523">
        <f t="shared" si="40"/>
        <v>0</v>
      </c>
      <c r="F430" s="523">
        <f t="shared" si="40"/>
        <v>0</v>
      </c>
      <c r="G430" s="524">
        <f t="shared" si="40"/>
        <v>0</v>
      </c>
      <c r="H430" s="37"/>
      <c r="I430" s="37"/>
      <c r="J430" s="37"/>
    </row>
    <row r="431" spans="1:10" ht="13" hidden="1" x14ac:dyDescent="0.3">
      <c r="A431" s="36"/>
      <c r="B431" s="490" t="s">
        <v>200</v>
      </c>
      <c r="C431" s="525">
        <f t="shared" si="40"/>
        <v>0</v>
      </c>
      <c r="D431" s="525">
        <f t="shared" si="40"/>
        <v>0</v>
      </c>
      <c r="E431" s="525">
        <f t="shared" si="40"/>
        <v>0</v>
      </c>
      <c r="F431" s="525">
        <f t="shared" si="40"/>
        <v>0</v>
      </c>
      <c r="G431" s="526">
        <f t="shared" si="40"/>
        <v>0</v>
      </c>
      <c r="H431" s="37"/>
      <c r="I431" s="37"/>
      <c r="J431" s="37"/>
    </row>
    <row r="432" spans="1:10" ht="13" hidden="1" x14ac:dyDescent="0.3">
      <c r="A432" s="36"/>
      <c r="B432" s="481" t="s">
        <v>222</v>
      </c>
      <c r="C432" s="517"/>
      <c r="D432" s="517"/>
      <c r="E432" s="517"/>
      <c r="F432" s="517"/>
      <c r="G432" s="518"/>
      <c r="H432" s="37"/>
      <c r="I432" s="37"/>
      <c r="J432" s="37"/>
    </row>
    <row r="433" spans="1:10" ht="13" hidden="1" x14ac:dyDescent="0.3">
      <c r="A433" s="36"/>
      <c r="B433" s="73" t="s">
        <v>202</v>
      </c>
      <c r="C433" s="527">
        <f t="shared" ref="C433:G435" si="41">C415</f>
        <v>0.32290000000000008</v>
      </c>
      <c r="D433" s="527" t="e">
        <f t="shared" si="41"/>
        <v>#REF!</v>
      </c>
      <c r="E433" s="527">
        <f t="shared" si="41"/>
        <v>0</v>
      </c>
      <c r="F433" s="527">
        <f t="shared" si="41"/>
        <v>0</v>
      </c>
      <c r="G433" s="528">
        <f t="shared" si="41"/>
        <v>0</v>
      </c>
      <c r="H433" s="37"/>
      <c r="I433" s="37"/>
      <c r="J433" s="37"/>
    </row>
    <row r="434" spans="1:10" ht="13" hidden="1" x14ac:dyDescent="0.3">
      <c r="A434" s="36"/>
      <c r="B434" s="73" t="s">
        <v>216</v>
      </c>
      <c r="C434" s="527">
        <f t="shared" si="41"/>
        <v>6.3500000000000001E-2</v>
      </c>
      <c r="D434" s="527">
        <f t="shared" si="41"/>
        <v>0.32290000000000008</v>
      </c>
      <c r="E434" s="527">
        <f t="shared" si="41"/>
        <v>0</v>
      </c>
      <c r="F434" s="527">
        <f t="shared" si="41"/>
        <v>0</v>
      </c>
      <c r="G434" s="528">
        <f t="shared" si="41"/>
        <v>0</v>
      </c>
      <c r="H434" s="37"/>
      <c r="I434" s="37"/>
      <c r="J434" s="37"/>
    </row>
    <row r="435" spans="1:10" ht="13" hidden="1" x14ac:dyDescent="0.3">
      <c r="A435" s="36"/>
      <c r="B435" s="73" t="s">
        <v>217</v>
      </c>
      <c r="C435" s="529">
        <f t="shared" si="41"/>
        <v>0</v>
      </c>
      <c r="D435" s="529">
        <f t="shared" si="41"/>
        <v>6.3500000000000001E-2</v>
      </c>
      <c r="E435" s="529">
        <f t="shared" si="41"/>
        <v>0</v>
      </c>
      <c r="F435" s="529">
        <f t="shared" si="41"/>
        <v>0</v>
      </c>
      <c r="G435" s="530">
        <f t="shared" si="41"/>
        <v>0</v>
      </c>
      <c r="H435" s="37"/>
      <c r="I435" s="37"/>
      <c r="J435" s="37"/>
    </row>
    <row r="436" spans="1:10" ht="13" hidden="1" x14ac:dyDescent="0.3">
      <c r="A436" s="36"/>
      <c r="B436" s="73" t="s">
        <v>203</v>
      </c>
      <c r="C436" s="424"/>
      <c r="D436" s="504"/>
      <c r="E436" s="504"/>
      <c r="F436" s="504"/>
      <c r="G436" s="505"/>
      <c r="H436" s="37"/>
      <c r="I436" s="37"/>
      <c r="J436" s="37"/>
    </row>
    <row r="437" spans="1:10" ht="13" hidden="1" x14ac:dyDescent="0.3">
      <c r="A437" s="36"/>
      <c r="B437" s="533"/>
      <c r="C437" s="424"/>
      <c r="D437" s="504"/>
      <c r="E437" s="504"/>
      <c r="F437" s="504"/>
      <c r="G437" s="505"/>
      <c r="H437" s="37"/>
      <c r="I437" s="37"/>
      <c r="J437" s="37"/>
    </row>
    <row r="438" spans="1:10" ht="13" hidden="1" x14ac:dyDescent="0.3">
      <c r="A438" s="36"/>
      <c r="B438" s="73" t="s">
        <v>218</v>
      </c>
      <c r="C438" s="534" t="s">
        <v>10</v>
      </c>
      <c r="D438" s="207" t="s">
        <v>16</v>
      </c>
      <c r="E438" s="531"/>
      <c r="F438" s="504"/>
      <c r="G438" s="505"/>
      <c r="H438" s="37"/>
      <c r="I438" s="37"/>
      <c r="J438" s="37"/>
    </row>
    <row r="439" spans="1:10" hidden="1" x14ac:dyDescent="0.25">
      <c r="A439" s="36"/>
      <c r="B439" s="535"/>
      <c r="C439" s="404"/>
      <c r="D439" s="404"/>
      <c r="E439" s="404"/>
      <c r="F439" s="404"/>
      <c r="G439" s="205"/>
      <c r="H439" s="37"/>
      <c r="I439" s="37"/>
      <c r="J439" s="37"/>
    </row>
    <row r="440" spans="1:10" ht="12.75" hidden="1" customHeight="1" x14ac:dyDescent="0.25">
      <c r="A440" s="36"/>
      <c r="B440" s="415"/>
      <c r="C440" s="37"/>
      <c r="D440" s="37"/>
      <c r="E440" s="37"/>
      <c r="F440" s="37"/>
      <c r="G440" s="37"/>
      <c r="H440" s="37"/>
      <c r="I440" s="37"/>
      <c r="J440" s="37"/>
    </row>
    <row r="441" spans="1:10" ht="15.5" hidden="1" x14ac:dyDescent="0.35">
      <c r="A441" s="42">
        <v>8</v>
      </c>
      <c r="B441" s="37"/>
      <c r="C441" s="37"/>
      <c r="D441" s="37"/>
      <c r="E441" s="37"/>
      <c r="F441" s="37"/>
      <c r="G441" s="37"/>
      <c r="H441" s="37"/>
      <c r="I441" s="37"/>
      <c r="J441" s="37"/>
    </row>
    <row r="442" spans="1:10" ht="15.5" hidden="1" x14ac:dyDescent="0.35">
      <c r="A442" s="36"/>
      <c r="B442" s="43" t="s">
        <v>155</v>
      </c>
      <c r="C442" s="46"/>
      <c r="D442" s="46"/>
      <c r="E442" s="46"/>
      <c r="F442" s="46"/>
      <c r="G442" s="46"/>
      <c r="H442" s="46"/>
      <c r="I442" s="46"/>
      <c r="J442" s="46"/>
    </row>
    <row r="443" spans="1:10" ht="13" hidden="1" x14ac:dyDescent="0.25">
      <c r="A443" s="36"/>
      <c r="B443" s="183"/>
      <c r="C443" s="1786" t="s">
        <v>156</v>
      </c>
      <c r="D443" s="1786"/>
      <c r="E443" s="320" t="s">
        <v>157</v>
      </c>
      <c r="F443" s="321">
        <v>30</v>
      </c>
      <c r="G443" s="321">
        <f>F443+30</f>
        <v>60</v>
      </c>
      <c r="H443" s="536">
        <f>G443+30</f>
        <v>90</v>
      </c>
      <c r="I443" s="537"/>
      <c r="J443" s="537"/>
    </row>
    <row r="444" spans="1:10" ht="13" hidden="1" x14ac:dyDescent="0.25">
      <c r="A444" s="36"/>
      <c r="B444" s="1790" t="s">
        <v>17</v>
      </c>
      <c r="C444" s="324" t="s">
        <v>158</v>
      </c>
      <c r="D444" s="325">
        <f>SUM(E444:J444)</f>
        <v>1</v>
      </c>
      <c r="E444" s="538">
        <v>1</v>
      </c>
      <c r="F444" s="342">
        <v>0</v>
      </c>
      <c r="G444" s="342">
        <v>0</v>
      </c>
      <c r="H444" s="343">
        <v>0</v>
      </c>
      <c r="I444" s="539"/>
      <c r="J444" s="539"/>
    </row>
    <row r="445" spans="1:10" ht="13" hidden="1" x14ac:dyDescent="0.25">
      <c r="A445" s="36"/>
      <c r="B445" s="1790"/>
      <c r="C445" s="324" t="s">
        <v>159</v>
      </c>
      <c r="D445" s="330">
        <f>SUM(E445:J445)</f>
        <v>1</v>
      </c>
      <c r="E445" s="540">
        <v>1</v>
      </c>
      <c r="F445" s="344">
        <v>0</v>
      </c>
      <c r="G445" s="344">
        <v>0</v>
      </c>
      <c r="H445" s="345">
        <v>0</v>
      </c>
      <c r="I445" s="539"/>
      <c r="J445" s="539"/>
    </row>
    <row r="446" spans="1:10" hidden="1" x14ac:dyDescent="0.25">
      <c r="A446" s="36"/>
      <c r="B446" s="1790"/>
      <c r="C446" s="337"/>
      <c r="D446" s="337"/>
      <c r="E446" s="337"/>
      <c r="F446" s="337"/>
      <c r="G446" s="337"/>
      <c r="H446" s="337"/>
      <c r="I446" s="51"/>
      <c r="J446" s="51"/>
    </row>
    <row r="447" spans="1:10" ht="13" hidden="1" x14ac:dyDescent="0.25">
      <c r="A447" s="36"/>
      <c r="B447" s="541"/>
      <c r="C447" s="1786" t="s">
        <v>156</v>
      </c>
      <c r="D447" s="1786"/>
      <c r="E447" s="339" t="s">
        <v>157</v>
      </c>
      <c r="F447" s="340">
        <v>30</v>
      </c>
      <c r="G447" s="340">
        <f>F447+30</f>
        <v>60</v>
      </c>
      <c r="H447" s="341">
        <f>G447+30</f>
        <v>90</v>
      </c>
      <c r="I447" s="537"/>
      <c r="J447" s="537"/>
    </row>
    <row r="448" spans="1:10" ht="13" hidden="1" x14ac:dyDescent="0.25">
      <c r="A448" s="36"/>
      <c r="B448" s="1790" t="s">
        <v>47</v>
      </c>
      <c r="C448" s="324" t="s">
        <v>158</v>
      </c>
      <c r="D448" s="325">
        <f>SUM(E448:J448)</f>
        <v>1</v>
      </c>
      <c r="E448" s="342">
        <f t="shared" ref="E448:H449" si="42">E444</f>
        <v>1</v>
      </c>
      <c r="F448" s="342">
        <f t="shared" si="42"/>
        <v>0</v>
      </c>
      <c r="G448" s="342">
        <f t="shared" si="42"/>
        <v>0</v>
      </c>
      <c r="H448" s="343">
        <f t="shared" si="42"/>
        <v>0</v>
      </c>
      <c r="I448" s="539"/>
      <c r="J448" s="539"/>
    </row>
    <row r="449" spans="1:10" ht="13" hidden="1" x14ac:dyDescent="0.25">
      <c r="A449" s="36"/>
      <c r="B449" s="1790"/>
      <c r="C449" s="324" t="s">
        <v>159</v>
      </c>
      <c r="D449" s="330">
        <f>SUM(E449:J449)</f>
        <v>1</v>
      </c>
      <c r="E449" s="344">
        <f t="shared" si="42"/>
        <v>1</v>
      </c>
      <c r="F449" s="344">
        <f t="shared" si="42"/>
        <v>0</v>
      </c>
      <c r="G449" s="344">
        <f t="shared" si="42"/>
        <v>0</v>
      </c>
      <c r="H449" s="345">
        <f t="shared" si="42"/>
        <v>0</v>
      </c>
      <c r="I449" s="539"/>
      <c r="J449" s="539"/>
    </row>
    <row r="450" spans="1:10" hidden="1" x14ac:dyDescent="0.25">
      <c r="A450" s="36"/>
      <c r="B450" s="1790"/>
      <c r="C450" s="337"/>
      <c r="D450" s="337"/>
      <c r="E450" s="337"/>
      <c r="F450" s="337"/>
      <c r="G450" s="337"/>
      <c r="H450" s="337"/>
      <c r="I450" s="51"/>
      <c r="J450" s="51"/>
    </row>
    <row r="451" spans="1:10" ht="13" hidden="1" x14ac:dyDescent="0.25">
      <c r="A451" s="36"/>
      <c r="B451" s="346"/>
      <c r="C451" s="1786" t="s">
        <v>156</v>
      </c>
      <c r="D451" s="1786"/>
      <c r="E451" s="339" t="s">
        <v>157</v>
      </c>
      <c r="F451" s="340">
        <v>30</v>
      </c>
      <c r="G451" s="340">
        <f>F451+30</f>
        <v>60</v>
      </c>
      <c r="H451" s="341">
        <f>G451+30</f>
        <v>90</v>
      </c>
      <c r="I451" s="537"/>
      <c r="J451" s="537"/>
    </row>
    <row r="452" spans="1:10" ht="13" hidden="1" x14ac:dyDescent="0.25">
      <c r="A452" s="36"/>
      <c r="B452" s="1790" t="s">
        <v>57</v>
      </c>
      <c r="C452" s="324" t="s">
        <v>158</v>
      </c>
      <c r="D452" s="325">
        <f>SUM(E452:J452)</f>
        <v>1</v>
      </c>
      <c r="E452" s="342">
        <f t="shared" ref="E452:H453" si="43">E448</f>
        <v>1</v>
      </c>
      <c r="F452" s="342">
        <f t="shared" si="43"/>
        <v>0</v>
      </c>
      <c r="G452" s="342">
        <f t="shared" si="43"/>
        <v>0</v>
      </c>
      <c r="H452" s="343">
        <f t="shared" si="43"/>
        <v>0</v>
      </c>
      <c r="I452" s="539"/>
      <c r="J452" s="539"/>
    </row>
    <row r="453" spans="1:10" ht="13" hidden="1" x14ac:dyDescent="0.25">
      <c r="A453" s="36"/>
      <c r="B453" s="1790"/>
      <c r="C453" s="324" t="s">
        <v>159</v>
      </c>
      <c r="D453" s="325">
        <f>SUM(E453:J453)</f>
        <v>1</v>
      </c>
      <c r="E453" s="342">
        <f t="shared" si="43"/>
        <v>1</v>
      </c>
      <c r="F453" s="342">
        <f t="shared" si="43"/>
        <v>0</v>
      </c>
      <c r="G453" s="342">
        <f t="shared" si="43"/>
        <v>0</v>
      </c>
      <c r="H453" s="343">
        <f t="shared" si="43"/>
        <v>0</v>
      </c>
      <c r="I453" s="539"/>
      <c r="J453" s="539"/>
    </row>
    <row r="454" spans="1:10" hidden="1" x14ac:dyDescent="0.25">
      <c r="A454" s="36"/>
      <c r="B454" s="1790"/>
      <c r="C454" s="51"/>
      <c r="D454" s="51"/>
      <c r="E454" s="51"/>
      <c r="F454" s="51"/>
      <c r="G454" s="51"/>
      <c r="H454" s="51"/>
      <c r="I454" s="51"/>
      <c r="J454" s="51"/>
    </row>
    <row r="455" spans="1:10" hidden="1" x14ac:dyDescent="0.25">
      <c r="A455" s="36"/>
      <c r="B455" s="62"/>
      <c r="C455" s="355" t="s">
        <v>167</v>
      </c>
      <c r="D455" s="355" t="s">
        <v>168</v>
      </c>
      <c r="E455" s="51"/>
      <c r="F455" s="51"/>
      <c r="G455" s="51"/>
      <c r="H455" s="51"/>
      <c r="I455" s="51"/>
      <c r="J455" s="51"/>
    </row>
    <row r="456" spans="1:10" ht="13" hidden="1" x14ac:dyDescent="0.3">
      <c r="A456" s="36"/>
      <c r="B456" s="542" t="s">
        <v>223</v>
      </c>
      <c r="C456" s="543">
        <v>0</v>
      </c>
      <c r="D456" s="359">
        <v>0</v>
      </c>
      <c r="E456" s="51"/>
      <c r="F456" s="51"/>
      <c r="G456" s="51"/>
      <c r="H456" s="51"/>
      <c r="I456" s="51"/>
      <c r="J456" s="51"/>
    </row>
    <row r="457" spans="1:10" ht="13" hidden="1" x14ac:dyDescent="0.3">
      <c r="A457" s="36"/>
      <c r="B457" s="544" t="s">
        <v>17</v>
      </c>
      <c r="C457" s="545">
        <f>C456</f>
        <v>0</v>
      </c>
      <c r="D457" s="546">
        <f>+D456</f>
        <v>0</v>
      </c>
      <c r="E457" s="51"/>
      <c r="F457" s="51"/>
      <c r="G457" s="51"/>
      <c r="H457" s="51"/>
      <c r="I457" s="51"/>
      <c r="J457" s="51"/>
    </row>
    <row r="458" spans="1:10" ht="13" hidden="1" x14ac:dyDescent="0.3">
      <c r="A458" s="36"/>
      <c r="B458" s="547" t="s">
        <v>47</v>
      </c>
      <c r="C458" s="545">
        <f>C457</f>
        <v>0</v>
      </c>
      <c r="D458" s="546">
        <f>+D457</f>
        <v>0</v>
      </c>
      <c r="E458" s="51"/>
      <c r="F458" s="51"/>
      <c r="G458" s="51"/>
      <c r="H458" s="51"/>
      <c r="I458" s="51"/>
      <c r="J458" s="51"/>
    </row>
    <row r="459" spans="1:10" ht="13" hidden="1" x14ac:dyDescent="0.3">
      <c r="A459" s="36"/>
      <c r="B459" s="547" t="s">
        <v>57</v>
      </c>
      <c r="C459" s="404"/>
      <c r="D459" s="404"/>
      <c r="E459" s="404"/>
      <c r="F459" s="404"/>
      <c r="G459" s="404"/>
      <c r="H459" s="404"/>
      <c r="I459" s="404"/>
      <c r="J459" s="404"/>
    </row>
    <row r="460" spans="1:10" hidden="1" x14ac:dyDescent="0.25">
      <c r="A460" s="181"/>
      <c r="B460" s="415"/>
      <c r="C460" s="548"/>
      <c r="D460" s="548"/>
      <c r="E460" s="548"/>
      <c r="F460" s="548"/>
      <c r="G460" s="548"/>
      <c r="H460" s="548"/>
      <c r="I460" s="548"/>
      <c r="J460" s="548"/>
    </row>
  </sheetData>
  <mergeCells count="24">
    <mergeCell ref="B452:B454"/>
    <mergeCell ref="G273:H273"/>
    <mergeCell ref="C443:D443"/>
    <mergeCell ref="B444:B446"/>
    <mergeCell ref="C447:D447"/>
    <mergeCell ref="C273:D273"/>
    <mergeCell ref="E273:F273"/>
    <mergeCell ref="B448:B450"/>
    <mergeCell ref="G206:G208"/>
    <mergeCell ref="H206:I206"/>
    <mergeCell ref="C451:D451"/>
    <mergeCell ref="B212:B214"/>
    <mergeCell ref="B228:B230"/>
    <mergeCell ref="C249:D249"/>
    <mergeCell ref="B250:B252"/>
    <mergeCell ref="C253:D253"/>
    <mergeCell ref="B254:B256"/>
    <mergeCell ref="C257:D257"/>
    <mergeCell ref="B258:B260"/>
    <mergeCell ref="B180:F180"/>
    <mergeCell ref="G198:G200"/>
    <mergeCell ref="H198:I198"/>
    <mergeCell ref="G202:G204"/>
    <mergeCell ref="H202:I202"/>
  </mergeCells>
  <phoneticPr fontId="22" type="noConversion"/>
  <conditionalFormatting sqref="H393">
    <cfRule type="cellIs" dxfId="39" priority="1" stopIfTrue="1" operator="greaterThan">
      <formula>1</formula>
    </cfRule>
  </conditionalFormatting>
  <conditionalFormatting sqref="D250:D251 D254:D255 D258:D259 D444:D445 D448:D449 D452:D453 I199:I200 I203:I204 I207:I208">
    <cfRule type="cellIs" dxfId="38" priority="2" stopIfTrue="1" operator="notEqual">
      <formula>1</formula>
    </cfRule>
  </conditionalFormatting>
  <dataValidations count="5">
    <dataValidation type="list" allowBlank="1" showErrorMessage="1" sqref="C156:E156 C343:J344 C356:J357 C369:J370 E388:G389 C390:D391 C402:D402 C406:G407 C420:D420 C424:G425 C438:D438" xr:uid="{00000000-0002-0000-0400-000000000000}">
      <formula1>$L$2:$L$13</formula1>
      <formula2>0</formula2>
    </dataValidation>
    <dataValidation type="list" allowBlank="1" showErrorMessage="1" sqref="C175 W176:X176" xr:uid="{00000000-0002-0000-0400-000001000000}">
      <formula1>$N$2:$N$4</formula1>
      <formula2>0</formula2>
    </dataValidation>
    <dataValidation type="list" allowBlank="1" showErrorMessage="1" sqref="E402 E420 E438" xr:uid="{00000000-0002-0000-0400-000002000000}">
      <formula1>$L$1:$L$13</formula1>
      <formula2>0</formula2>
    </dataValidation>
    <dataValidation type="list" allowBlank="1" showErrorMessage="1" sqref="M79:M85 F152 C170 W171:X171" xr:uid="{00000000-0002-0000-0400-000003000000}">
      <formula1>$M$79:$M$85</formula1>
      <formula2>0</formula2>
    </dataValidation>
    <dataValidation type="list" allowBlank="1" showErrorMessage="1" sqref="C171 W172:X172" xr:uid="{00000000-0002-0000-0400-000004000000}">
      <formula1>$M$2:$M$3</formula1>
      <formula2>0</formula2>
    </dataValidation>
  </dataValidations>
  <pageMargins left="0.74791666666666667" right="0.74791666666666667" top="0.98402777777777783" bottom="0.98402777777777783" header="0.51180555555555562" footer="0.51180555555555562"/>
  <pageSetup paperSize="9" scale="61" firstPageNumber="0" fitToHeight="4" orientation="portrait" horizontalDpi="300"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29"/>
  <dimension ref="A1:Z407"/>
  <sheetViews>
    <sheetView tabSelected="1" zoomScale="85" workbookViewId="0">
      <selection activeCell="C7" sqref="C7"/>
    </sheetView>
  </sheetViews>
  <sheetFormatPr defaultColWidth="11.453125" defaultRowHeight="12.5" x14ac:dyDescent="0.25"/>
  <cols>
    <col min="1" max="1" width="4.1796875" customWidth="1"/>
    <col min="2" max="2" width="36.1796875" customWidth="1"/>
    <col min="3" max="6" width="15.7265625" customWidth="1"/>
    <col min="7" max="7" width="18" customWidth="1"/>
    <col min="8" max="8" width="15.1796875" customWidth="1"/>
    <col min="9" max="16" width="15.7265625" customWidth="1"/>
    <col min="18" max="18" width="9" customWidth="1"/>
    <col min="19" max="21" width="0" hidden="1" customWidth="1"/>
    <col min="22" max="22" width="7.81640625" customWidth="1"/>
    <col min="23" max="27" width="0" hidden="1" customWidth="1"/>
  </cols>
  <sheetData>
    <row r="1" spans="1:21" x14ac:dyDescent="0.25">
      <c r="A1" s="34"/>
      <c r="B1" s="35"/>
      <c r="C1" s="35"/>
      <c r="D1" s="35"/>
      <c r="E1" s="35"/>
      <c r="F1" s="35"/>
      <c r="G1" s="35"/>
      <c r="H1" s="35"/>
      <c r="I1" s="35"/>
      <c r="J1" s="35"/>
      <c r="K1" s="35"/>
      <c r="L1" s="35"/>
      <c r="M1" s="35"/>
      <c r="N1" s="35"/>
      <c r="O1" s="35"/>
      <c r="P1" s="35"/>
      <c r="Q1" s="549"/>
    </row>
    <row r="2" spans="1:21" x14ac:dyDescent="0.25">
      <c r="A2" s="36"/>
      <c r="B2" s="37"/>
      <c r="C2" s="37"/>
      <c r="D2" s="37"/>
      <c r="E2" s="37"/>
      <c r="F2" s="37"/>
      <c r="G2" s="37"/>
      <c r="H2" s="37"/>
      <c r="I2" s="37"/>
      <c r="J2" s="37"/>
      <c r="K2" s="37"/>
      <c r="L2" s="37"/>
      <c r="M2" s="37"/>
      <c r="N2" s="37"/>
      <c r="O2" s="37"/>
      <c r="P2" s="37"/>
      <c r="Q2" s="550"/>
      <c r="S2" s="21" t="s">
        <v>5</v>
      </c>
      <c r="T2" s="21" t="s">
        <v>78</v>
      </c>
      <c r="U2" s="21" t="s">
        <v>79</v>
      </c>
    </row>
    <row r="3" spans="1:21" ht="15.5" x14ac:dyDescent="0.35">
      <c r="A3" s="36"/>
      <c r="B3" s="38" t="s">
        <v>80</v>
      </c>
      <c r="C3" s="39" t="s">
        <v>81</v>
      </c>
      <c r="D3" s="40"/>
      <c r="E3" s="41"/>
      <c r="F3" s="37"/>
      <c r="G3" s="37"/>
      <c r="H3" s="37"/>
      <c r="I3" s="37"/>
      <c r="J3" s="37"/>
      <c r="K3" s="37"/>
      <c r="L3" s="37"/>
      <c r="M3" s="37"/>
      <c r="N3" s="37"/>
      <c r="O3" s="37"/>
      <c r="P3" s="37"/>
      <c r="Q3" s="550"/>
      <c r="S3" s="21" t="s">
        <v>6</v>
      </c>
      <c r="T3" s="21" t="s">
        <v>82</v>
      </c>
      <c r="U3" s="21" t="s">
        <v>83</v>
      </c>
    </row>
    <row r="4" spans="1:21" x14ac:dyDescent="0.25">
      <c r="A4" s="36"/>
      <c r="B4" s="37"/>
      <c r="C4" s="37"/>
      <c r="D4" s="37"/>
      <c r="E4" s="37"/>
      <c r="F4" s="37"/>
      <c r="G4" s="37"/>
      <c r="H4" s="37"/>
      <c r="I4" s="37"/>
      <c r="J4" s="37"/>
      <c r="K4" s="37"/>
      <c r="L4" s="37"/>
      <c r="M4" s="37"/>
      <c r="N4" s="37"/>
      <c r="O4" s="37"/>
      <c r="P4" s="37"/>
      <c r="Q4" s="550"/>
      <c r="S4" s="21" t="s">
        <v>7</v>
      </c>
      <c r="U4" s="21" t="s">
        <v>82</v>
      </c>
    </row>
    <row r="5" spans="1:21" ht="15.5" x14ac:dyDescent="0.35">
      <c r="A5" s="42">
        <v>1</v>
      </c>
      <c r="B5" s="43" t="s">
        <v>84</v>
      </c>
      <c r="C5" s="37"/>
      <c r="D5" s="551" t="s">
        <v>224</v>
      </c>
      <c r="E5" s="37"/>
      <c r="F5" s="37"/>
      <c r="G5" s="37"/>
      <c r="H5" s="37"/>
      <c r="I5" s="37"/>
      <c r="J5" s="37"/>
      <c r="K5" s="37"/>
      <c r="L5" s="37"/>
      <c r="M5" s="37"/>
      <c r="N5" s="37"/>
      <c r="O5" s="37"/>
      <c r="P5" s="37"/>
      <c r="Q5" s="550"/>
      <c r="S5" s="21" t="s">
        <v>8</v>
      </c>
    </row>
    <row r="6" spans="1:21" ht="12.75" customHeight="1" x14ac:dyDescent="0.35">
      <c r="A6" s="36"/>
      <c r="B6" s="45"/>
      <c r="C6" s="46"/>
      <c r="D6" s="46"/>
      <c r="E6" s="46"/>
      <c r="F6" s="46"/>
      <c r="G6" s="46"/>
      <c r="H6" s="46"/>
      <c r="I6" s="46"/>
      <c r="J6" s="46"/>
      <c r="K6" s="46"/>
      <c r="L6" s="46"/>
      <c r="M6" s="46"/>
      <c r="N6" s="47"/>
      <c r="O6" s="37"/>
      <c r="P6" s="37"/>
      <c r="Q6" s="550"/>
      <c r="S6" s="21" t="s">
        <v>9</v>
      </c>
    </row>
    <row r="7" spans="1:21" ht="13" x14ac:dyDescent="0.3">
      <c r="A7" s="36"/>
      <c r="B7" s="48" t="s">
        <v>3</v>
      </c>
      <c r="C7" s="49">
        <v>2023</v>
      </c>
      <c r="D7" s="552"/>
      <c r="E7" s="51"/>
      <c r="F7" s="51"/>
      <c r="G7" s="51"/>
      <c r="H7" s="51"/>
      <c r="I7" s="51"/>
      <c r="J7" s="51"/>
      <c r="K7" s="51"/>
      <c r="L7" s="51"/>
      <c r="M7" s="51"/>
      <c r="N7" s="52"/>
      <c r="O7" s="37"/>
      <c r="P7" s="37"/>
      <c r="Q7" s="550"/>
      <c r="S7" s="21" t="s">
        <v>10</v>
      </c>
    </row>
    <row r="8" spans="1:21" ht="13" x14ac:dyDescent="0.3">
      <c r="A8" s="36"/>
      <c r="B8" s="48" t="s">
        <v>4</v>
      </c>
      <c r="C8" s="49">
        <v>1</v>
      </c>
      <c r="D8" s="552"/>
      <c r="E8" s="53"/>
      <c r="F8" s="51"/>
      <c r="G8" s="51"/>
      <c r="H8" s="51"/>
      <c r="I8" s="51"/>
      <c r="J8" s="51"/>
      <c r="K8" s="51"/>
      <c r="L8" s="51"/>
      <c r="M8" s="51"/>
      <c r="N8" s="52"/>
      <c r="O8" s="37"/>
      <c r="P8" s="37"/>
      <c r="Q8" s="550"/>
      <c r="S8" s="21" t="s">
        <v>11</v>
      </c>
    </row>
    <row r="9" spans="1:21" ht="12.75" customHeight="1" x14ac:dyDescent="0.35">
      <c r="A9" s="36"/>
      <c r="B9" s="54"/>
      <c r="C9" s="51"/>
      <c r="D9" s="51"/>
      <c r="E9" s="51"/>
      <c r="F9" s="51"/>
      <c r="G9" s="51"/>
      <c r="H9" s="51"/>
      <c r="I9" s="51"/>
      <c r="J9" s="51"/>
      <c r="K9" s="51"/>
      <c r="L9" s="51"/>
      <c r="M9" s="51"/>
      <c r="N9" s="52"/>
      <c r="O9" s="37"/>
      <c r="P9" s="37"/>
      <c r="Q9" s="550"/>
      <c r="S9" s="21" t="s">
        <v>12</v>
      </c>
    </row>
    <row r="10" spans="1:21" ht="13" x14ac:dyDescent="0.3">
      <c r="A10" s="36"/>
      <c r="B10" s="55" t="s">
        <v>85</v>
      </c>
      <c r="C10" s="56" t="str">
        <f>+ÍNDEX!D6</f>
        <v>GENER</v>
      </c>
      <c r="D10" s="553">
        <v>0.21</v>
      </c>
      <c r="E10" s="554">
        <v>0.1</v>
      </c>
      <c r="F10" s="554">
        <v>0.04</v>
      </c>
      <c r="G10" s="555" t="s">
        <v>86</v>
      </c>
      <c r="H10" s="61" t="s">
        <v>77</v>
      </c>
      <c r="I10" s="61" t="s">
        <v>87</v>
      </c>
      <c r="J10" s="51"/>
      <c r="K10" s="51"/>
      <c r="L10" s="51"/>
      <c r="M10" s="51"/>
      <c r="N10" s="52"/>
      <c r="O10" s="37"/>
      <c r="P10" s="37"/>
      <c r="Q10" s="550"/>
      <c r="S10" s="21" t="s">
        <v>13</v>
      </c>
    </row>
    <row r="11" spans="1:21" ht="13" x14ac:dyDescent="0.3">
      <c r="A11" s="36"/>
      <c r="B11" s="62"/>
      <c r="C11" s="556">
        <f>+H11*(1+$I$11)</f>
        <v>0</v>
      </c>
      <c r="D11" s="49">
        <v>0</v>
      </c>
      <c r="E11" s="49">
        <v>0</v>
      </c>
      <c r="F11" s="49">
        <v>0</v>
      </c>
      <c r="G11" s="49">
        <v>0</v>
      </c>
      <c r="H11" s="557">
        <f>SUM(D11:G11)</f>
        <v>0</v>
      </c>
      <c r="I11" s="68">
        <f>IF(H11=0,0,(D11*D10+E11*E10+F11*F10)/SUM(D11:G11))</f>
        <v>0</v>
      </c>
      <c r="J11" s="51"/>
      <c r="K11" s="51"/>
      <c r="L11" s="51"/>
      <c r="M11" s="51"/>
      <c r="N11" s="52"/>
      <c r="O11" s="37"/>
      <c r="P11" s="37"/>
      <c r="Q11" s="550"/>
      <c r="S11" s="21" t="s">
        <v>14</v>
      </c>
    </row>
    <row r="12" spans="1:21" ht="3" customHeight="1" x14ac:dyDescent="0.3">
      <c r="A12" s="36"/>
      <c r="B12" s="62"/>
      <c r="C12" s="552"/>
      <c r="D12" s="558">
        <v>0</v>
      </c>
      <c r="E12" s="51"/>
      <c r="F12" s="51"/>
      <c r="G12" s="51"/>
      <c r="H12" s="51"/>
      <c r="I12" s="51"/>
      <c r="J12" s="51"/>
      <c r="K12" s="51"/>
      <c r="L12" s="51"/>
      <c r="M12" s="51"/>
      <c r="N12" s="52"/>
      <c r="O12" s="37"/>
      <c r="P12" s="37"/>
      <c r="Q12" s="550"/>
      <c r="S12" s="21" t="s">
        <v>15</v>
      </c>
    </row>
    <row r="13" spans="1:21" ht="13" hidden="1" x14ac:dyDescent="0.3">
      <c r="A13" s="36"/>
      <c r="B13" s="70" t="s">
        <v>88</v>
      </c>
      <c r="C13" s="71" t="s">
        <v>89</v>
      </c>
      <c r="D13" s="51"/>
      <c r="E13" s="51"/>
      <c r="F13" s="51"/>
      <c r="G13" s="51"/>
      <c r="H13" s="51"/>
      <c r="I13" s="51"/>
      <c r="J13" s="51"/>
      <c r="K13" s="51"/>
      <c r="L13" s="51"/>
      <c r="M13" s="51"/>
      <c r="N13" s="52"/>
      <c r="O13" s="37"/>
      <c r="P13" s="37"/>
      <c r="Q13" s="550"/>
      <c r="S13" s="21" t="s">
        <v>16</v>
      </c>
    </row>
    <row r="14" spans="1:21" ht="13" hidden="1" x14ac:dyDescent="0.3">
      <c r="A14" s="36"/>
      <c r="B14" s="70" t="s">
        <v>90</v>
      </c>
      <c r="C14" s="72"/>
      <c r="D14" s="51"/>
      <c r="E14" s="51"/>
      <c r="F14" s="51"/>
      <c r="G14" s="51"/>
      <c r="H14" s="51"/>
      <c r="I14" s="51"/>
      <c r="J14" s="51"/>
      <c r="K14" s="51"/>
      <c r="L14" s="51"/>
      <c r="M14" s="51"/>
      <c r="N14" s="52"/>
      <c r="O14" s="37"/>
      <c r="P14" s="37"/>
      <c r="Q14" s="550"/>
    </row>
    <row r="15" spans="1:21" ht="13" hidden="1" x14ac:dyDescent="0.3">
      <c r="A15" s="36"/>
      <c r="B15" s="73" t="s">
        <v>91</v>
      </c>
      <c r="C15" s="559">
        <v>0.16</v>
      </c>
      <c r="D15" s="51"/>
      <c r="E15" s="51"/>
      <c r="F15" s="51"/>
      <c r="G15" s="51"/>
      <c r="H15" s="51"/>
      <c r="I15" s="51"/>
      <c r="J15" s="51"/>
      <c r="K15" s="51"/>
      <c r="L15" s="51"/>
      <c r="M15" s="51"/>
      <c r="N15" s="52"/>
      <c r="O15" s="37"/>
      <c r="P15" s="37"/>
      <c r="Q15" s="550"/>
    </row>
    <row r="16" spans="1:21" ht="13" hidden="1" x14ac:dyDescent="0.3">
      <c r="A16" s="36"/>
      <c r="B16" s="73" t="s">
        <v>92</v>
      </c>
      <c r="C16" s="559">
        <v>0.16</v>
      </c>
      <c r="D16" s="51"/>
      <c r="E16" s="51"/>
      <c r="F16" s="51"/>
      <c r="G16" s="51"/>
      <c r="H16" s="51"/>
      <c r="I16" s="51"/>
      <c r="J16" s="51"/>
      <c r="K16" s="51"/>
      <c r="L16" s="51"/>
      <c r="M16" s="51"/>
      <c r="N16" s="52"/>
      <c r="O16" s="37"/>
      <c r="P16" s="37"/>
      <c r="Q16" s="550"/>
    </row>
    <row r="17" spans="1:19" ht="13" hidden="1" x14ac:dyDescent="0.3">
      <c r="A17" s="36"/>
      <c r="B17" s="73" t="s">
        <v>93</v>
      </c>
      <c r="C17" s="559">
        <v>0.16</v>
      </c>
      <c r="D17" s="51"/>
      <c r="E17" s="51"/>
      <c r="F17" s="51"/>
      <c r="G17" s="51"/>
      <c r="H17" s="51"/>
      <c r="I17" s="51"/>
      <c r="J17" s="51"/>
      <c r="K17" s="51"/>
      <c r="L17" s="51"/>
      <c r="M17" s="51"/>
      <c r="N17" s="52"/>
      <c r="O17" s="37"/>
      <c r="P17" s="37"/>
      <c r="Q17" s="550"/>
    </row>
    <row r="18" spans="1:19" hidden="1" x14ac:dyDescent="0.25">
      <c r="A18" s="36"/>
      <c r="B18" s="70" t="s">
        <v>94</v>
      </c>
      <c r="C18" s="560"/>
      <c r="D18" s="51"/>
      <c r="E18" s="51"/>
      <c r="F18" s="51"/>
      <c r="G18" s="51"/>
      <c r="H18" s="51"/>
      <c r="I18" s="51"/>
      <c r="J18" s="51"/>
      <c r="K18" s="51"/>
      <c r="L18" s="51"/>
      <c r="M18" s="51"/>
      <c r="N18" s="52"/>
      <c r="O18" s="37"/>
      <c r="P18" s="37"/>
      <c r="Q18" s="550"/>
    </row>
    <row r="19" spans="1:19" ht="13" hidden="1" x14ac:dyDescent="0.3">
      <c r="A19" s="36"/>
      <c r="B19" s="76" t="s">
        <v>95</v>
      </c>
      <c r="C19" s="559">
        <v>0.16</v>
      </c>
      <c r="D19" s="51"/>
      <c r="E19" s="51"/>
      <c r="F19" s="51"/>
      <c r="G19" s="51"/>
      <c r="H19" s="51"/>
      <c r="I19" s="51"/>
      <c r="J19" s="51"/>
      <c r="K19" s="51"/>
      <c r="L19" s="51"/>
      <c r="M19" s="51"/>
      <c r="N19" s="52"/>
      <c r="O19" s="37"/>
      <c r="P19" s="37"/>
      <c r="Q19" s="550"/>
    </row>
    <row r="20" spans="1:19" ht="13" hidden="1" x14ac:dyDescent="0.3">
      <c r="A20" s="36"/>
      <c r="B20" s="76" t="s">
        <v>96</v>
      </c>
      <c r="C20" s="559">
        <v>0.16</v>
      </c>
      <c r="D20" s="51"/>
      <c r="E20" s="51"/>
      <c r="F20" s="51"/>
      <c r="G20" s="51"/>
      <c r="H20" s="51"/>
      <c r="I20" s="51"/>
      <c r="J20" s="51"/>
      <c r="K20" s="51"/>
      <c r="L20" s="51"/>
      <c r="M20" s="51"/>
      <c r="N20" s="52"/>
      <c r="O20" s="37"/>
      <c r="P20" s="37"/>
      <c r="Q20" s="550"/>
    </row>
    <row r="21" spans="1:19" ht="13" hidden="1" x14ac:dyDescent="0.3">
      <c r="A21" s="36"/>
      <c r="B21" s="76" t="s">
        <v>97</v>
      </c>
      <c r="C21" s="559">
        <v>0.16</v>
      </c>
      <c r="D21" s="51"/>
      <c r="E21" s="51"/>
      <c r="F21" s="51"/>
      <c r="G21" s="51"/>
      <c r="H21" s="51"/>
      <c r="I21" s="51"/>
      <c r="J21" s="51"/>
      <c r="K21" s="51"/>
      <c r="L21" s="51"/>
      <c r="M21" s="51"/>
      <c r="N21" s="52"/>
      <c r="O21" s="37"/>
      <c r="P21" s="37"/>
      <c r="Q21" s="550"/>
    </row>
    <row r="22" spans="1:19" ht="13" hidden="1" x14ac:dyDescent="0.3">
      <c r="A22" s="36"/>
      <c r="B22" s="76" t="s">
        <v>98</v>
      </c>
      <c r="C22" s="77">
        <v>0</v>
      </c>
      <c r="D22" s="51"/>
      <c r="E22" s="51"/>
      <c r="F22" s="51"/>
      <c r="G22" s="51"/>
      <c r="H22" s="51"/>
      <c r="I22" s="51"/>
      <c r="J22" s="51"/>
      <c r="K22" s="51"/>
      <c r="L22" s="51"/>
      <c r="M22" s="51"/>
      <c r="N22" s="52"/>
      <c r="O22" s="37"/>
      <c r="P22" s="37"/>
      <c r="Q22" s="550"/>
    </row>
    <row r="23" spans="1:19" ht="13" hidden="1" x14ac:dyDescent="0.3">
      <c r="A23" s="36"/>
      <c r="B23" s="70" t="s">
        <v>99</v>
      </c>
      <c r="C23" s="559"/>
      <c r="D23" s="51"/>
      <c r="E23" s="51"/>
      <c r="F23" s="51"/>
      <c r="G23" s="51"/>
      <c r="H23" s="51"/>
      <c r="I23" s="51"/>
      <c r="J23" s="51"/>
      <c r="K23" s="51"/>
      <c r="L23" s="51"/>
      <c r="M23" s="51"/>
      <c r="N23" s="52"/>
      <c r="O23" s="37"/>
      <c r="P23" s="37"/>
      <c r="Q23" s="550"/>
    </row>
    <row r="24" spans="1:19" ht="13" hidden="1" x14ac:dyDescent="0.3">
      <c r="A24" s="36"/>
      <c r="B24" s="76" t="s">
        <v>100</v>
      </c>
      <c r="C24" s="559">
        <v>7.0000000000000007E-2</v>
      </c>
      <c r="D24" s="51"/>
      <c r="E24" s="51"/>
      <c r="F24" s="51"/>
      <c r="G24" s="51"/>
      <c r="H24" s="51"/>
      <c r="I24" s="51"/>
      <c r="J24" s="51"/>
      <c r="K24" s="51"/>
      <c r="L24" s="51"/>
      <c r="M24" s="51"/>
      <c r="N24" s="52"/>
      <c r="O24" s="37"/>
      <c r="P24" s="37"/>
      <c r="Q24" s="550"/>
    </row>
    <row r="25" spans="1:19" ht="13" hidden="1" x14ac:dyDescent="0.3">
      <c r="A25" s="36"/>
      <c r="B25" s="76" t="s">
        <v>101</v>
      </c>
      <c r="C25" s="559">
        <v>7.0000000000000007E-2</v>
      </c>
      <c r="D25" s="51"/>
      <c r="E25" s="51"/>
      <c r="F25" s="51"/>
      <c r="G25" s="51"/>
      <c r="H25" s="51"/>
      <c r="I25" s="51"/>
      <c r="J25" s="51"/>
      <c r="K25" s="51"/>
      <c r="L25" s="51"/>
      <c r="M25" s="51"/>
      <c r="N25" s="52"/>
      <c r="O25" s="37"/>
      <c r="P25" s="37"/>
      <c r="Q25" s="550"/>
    </row>
    <row r="26" spans="1:19" ht="13" hidden="1" x14ac:dyDescent="0.3">
      <c r="A26" s="36"/>
      <c r="B26" s="76" t="s">
        <v>102</v>
      </c>
      <c r="C26" s="559">
        <v>0.16</v>
      </c>
      <c r="D26" s="51"/>
      <c r="E26" s="51"/>
      <c r="F26" s="51"/>
      <c r="G26" s="51"/>
      <c r="H26" s="51"/>
      <c r="I26" s="51"/>
      <c r="J26" s="51"/>
      <c r="K26" s="51"/>
      <c r="L26" s="51"/>
      <c r="M26" s="51"/>
      <c r="N26" s="52"/>
      <c r="O26" s="37"/>
      <c r="P26" s="37"/>
      <c r="Q26" s="550"/>
    </row>
    <row r="27" spans="1:19" ht="13" hidden="1" x14ac:dyDescent="0.3">
      <c r="A27" s="36"/>
      <c r="B27" s="76" t="s">
        <v>103</v>
      </c>
      <c r="C27" s="559">
        <v>0.16</v>
      </c>
      <c r="D27" s="51"/>
      <c r="E27" s="51"/>
      <c r="F27" s="51"/>
      <c r="G27" s="51"/>
      <c r="H27" s="51"/>
      <c r="I27" s="51"/>
      <c r="J27" s="51"/>
      <c r="K27" s="51"/>
      <c r="L27" s="51"/>
      <c r="M27" s="51"/>
      <c r="N27" s="52"/>
      <c r="O27" s="37"/>
      <c r="P27" s="37"/>
      <c r="Q27" s="550"/>
    </row>
    <row r="28" spans="1:19" ht="13" hidden="1" x14ac:dyDescent="0.3">
      <c r="A28" s="36"/>
      <c r="B28" s="76" t="s">
        <v>104</v>
      </c>
      <c r="C28" s="559">
        <v>0.16</v>
      </c>
      <c r="D28" s="51"/>
      <c r="E28" s="51"/>
      <c r="F28" s="51"/>
      <c r="G28" s="51"/>
      <c r="H28" s="51"/>
      <c r="I28" s="51"/>
      <c r="J28" s="51"/>
      <c r="K28" s="51"/>
      <c r="L28" s="51"/>
      <c r="M28" s="51"/>
      <c r="N28" s="52"/>
      <c r="O28" s="37"/>
      <c r="P28" s="37"/>
      <c r="Q28" s="550"/>
    </row>
    <row r="29" spans="1:19" ht="13" hidden="1" x14ac:dyDescent="0.3">
      <c r="A29" s="36"/>
      <c r="B29" s="76" t="s">
        <v>105</v>
      </c>
      <c r="C29" s="559">
        <v>0.16</v>
      </c>
      <c r="D29" s="51"/>
      <c r="E29" s="51"/>
      <c r="F29" s="51"/>
      <c r="G29" s="51"/>
      <c r="H29" s="51"/>
      <c r="I29" s="51"/>
      <c r="J29" s="51"/>
      <c r="K29" s="51"/>
      <c r="L29" s="51"/>
      <c r="M29" s="51"/>
      <c r="N29" s="52"/>
      <c r="O29" s="37"/>
      <c r="P29" s="37"/>
      <c r="Q29" s="550"/>
    </row>
    <row r="30" spans="1:19" ht="13" hidden="1" x14ac:dyDescent="0.3">
      <c r="A30" s="36"/>
      <c r="B30" s="76" t="s">
        <v>106</v>
      </c>
      <c r="C30" s="559">
        <v>0.16</v>
      </c>
      <c r="D30" s="51"/>
      <c r="E30" s="51"/>
      <c r="F30" s="51"/>
      <c r="G30" s="51"/>
      <c r="H30" s="51"/>
      <c r="I30" s="51"/>
      <c r="J30" s="51"/>
      <c r="K30" s="51"/>
      <c r="L30" s="51"/>
      <c r="M30" s="51"/>
      <c r="N30" s="52"/>
      <c r="O30" s="37"/>
      <c r="P30" s="37"/>
      <c r="Q30" s="550"/>
    </row>
    <row r="31" spans="1:19" ht="12.75" hidden="1" customHeight="1" x14ac:dyDescent="0.3">
      <c r="A31" s="36"/>
      <c r="B31" s="76" t="s">
        <v>107</v>
      </c>
      <c r="C31" s="561">
        <v>0.16</v>
      </c>
      <c r="D31" s="51"/>
      <c r="E31" s="51"/>
      <c r="F31" s="51"/>
      <c r="G31" s="51"/>
      <c r="H31" s="51"/>
      <c r="I31" s="51"/>
      <c r="J31" s="51"/>
      <c r="K31" s="51"/>
      <c r="L31" s="51"/>
      <c r="M31" s="51"/>
      <c r="N31" s="52"/>
      <c r="O31" s="37"/>
      <c r="P31" s="37"/>
      <c r="Q31" s="550"/>
      <c r="S31" s="21" t="s">
        <v>15</v>
      </c>
    </row>
    <row r="32" spans="1:19" ht="35.25" customHeight="1" thickBot="1" x14ac:dyDescent="0.35">
      <c r="A32" s="36"/>
      <c r="B32" s="562"/>
      <c r="C32" s="80"/>
      <c r="D32" s="81"/>
      <c r="E32" s="51"/>
      <c r="F32" s="51"/>
      <c r="G32" s="51"/>
      <c r="H32" s="51"/>
      <c r="I32" s="51"/>
      <c r="J32" s="51"/>
      <c r="K32" s="51"/>
      <c r="L32" s="51"/>
      <c r="M32" s="51"/>
      <c r="N32" s="52"/>
      <c r="O32" s="37"/>
      <c r="P32" s="37"/>
      <c r="Q32" s="550"/>
    </row>
    <row r="33" spans="1:19" ht="13.5" thickBot="1" x14ac:dyDescent="0.35">
      <c r="A33" s="36"/>
      <c r="B33" s="563" t="str">
        <f>INVERSIONS!A23</f>
        <v>PRIMER EXERCICI</v>
      </c>
      <c r="C33" s="120" t="str">
        <f>INVERSIONS!B25</f>
        <v>GENER</v>
      </c>
      <c r="D33" s="120" t="str">
        <f>INVERSIONS!D25</f>
        <v>FEBRER</v>
      </c>
      <c r="E33" s="120" t="str">
        <f>INVERSIONS!F25</f>
        <v>MARÇ</v>
      </c>
      <c r="F33" s="120" t="str">
        <f>INVERSIONS!H25</f>
        <v>ABRIL</v>
      </c>
      <c r="G33" s="120" t="str">
        <f>INVERSIONS!J25</f>
        <v>MAIG</v>
      </c>
      <c r="H33" s="120" t="str">
        <f>INVERSIONS!L25</f>
        <v>JUNY</v>
      </c>
      <c r="I33" s="120" t="str">
        <f>INVERSIONS!N25</f>
        <v>JULIOL</v>
      </c>
      <c r="J33" s="120" t="str">
        <f>INVERSIONS!P25</f>
        <v>AGOST</v>
      </c>
      <c r="K33" s="120" t="str">
        <f>INVERSIONS!R25</f>
        <v>SETEMBRE</v>
      </c>
      <c r="L33" s="120" t="str">
        <f>INVERSIONS!T25</f>
        <v>OCTUBRE</v>
      </c>
      <c r="M33" s="120" t="str">
        <f>INVERSIONS!V25</f>
        <v>NOVEMBRE</v>
      </c>
      <c r="N33" s="83" t="str">
        <f>INVERSIONS!X25</f>
        <v>DESEMBRE</v>
      </c>
      <c r="O33" s="37"/>
      <c r="P33" s="37"/>
      <c r="Q33" s="550"/>
      <c r="S33" s="21" t="s">
        <v>16</v>
      </c>
    </row>
    <row r="34" spans="1:19" ht="13" x14ac:dyDescent="0.3">
      <c r="A34" s="36"/>
      <c r="B34" s="135" t="s">
        <v>738</v>
      </c>
      <c r="C34" s="136">
        <f t="shared" ref="C34:N34" si="0">SUM(C35:C37)</f>
        <v>0</v>
      </c>
      <c r="D34" s="136">
        <f t="shared" si="0"/>
        <v>0</v>
      </c>
      <c r="E34" s="136">
        <f t="shared" si="0"/>
        <v>0</v>
      </c>
      <c r="F34" s="136">
        <f t="shared" si="0"/>
        <v>0</v>
      </c>
      <c r="G34" s="136">
        <f t="shared" si="0"/>
        <v>0</v>
      </c>
      <c r="H34" s="136">
        <f t="shared" si="0"/>
        <v>0</v>
      </c>
      <c r="I34" s="136">
        <f t="shared" si="0"/>
        <v>0</v>
      </c>
      <c r="J34" s="136">
        <f t="shared" si="0"/>
        <v>0</v>
      </c>
      <c r="K34" s="136">
        <f t="shared" si="0"/>
        <v>0</v>
      </c>
      <c r="L34" s="136">
        <f t="shared" si="0"/>
        <v>0</v>
      </c>
      <c r="M34" s="136">
        <f t="shared" si="0"/>
        <v>0</v>
      </c>
      <c r="N34" s="564">
        <f t="shared" si="0"/>
        <v>0</v>
      </c>
      <c r="O34" s="37"/>
      <c r="P34" s="37"/>
      <c r="Q34" s="550"/>
    </row>
    <row r="35" spans="1:19" ht="13" x14ac:dyDescent="0.3">
      <c r="A35" s="36"/>
      <c r="B35" s="223" t="str">
        <f>INVERSIONS!A28</f>
        <v>Propietat industrial (patents i marques)</v>
      </c>
      <c r="C35" s="565">
        <v>0</v>
      </c>
      <c r="D35" s="565">
        <v>0</v>
      </c>
      <c r="E35" s="565">
        <v>0</v>
      </c>
      <c r="F35" s="565">
        <v>0</v>
      </c>
      <c r="G35" s="565">
        <v>0</v>
      </c>
      <c r="H35" s="565">
        <v>0</v>
      </c>
      <c r="I35" s="565">
        <v>0</v>
      </c>
      <c r="J35" s="565">
        <v>0</v>
      </c>
      <c r="K35" s="565">
        <v>0</v>
      </c>
      <c r="L35" s="565">
        <v>0</v>
      </c>
      <c r="M35" s="565">
        <v>0</v>
      </c>
      <c r="N35" s="566">
        <v>0</v>
      </c>
      <c r="O35" s="37"/>
      <c r="P35" s="37"/>
      <c r="Q35" s="550"/>
    </row>
    <row r="36" spans="1:19" ht="13" x14ac:dyDescent="0.3">
      <c r="A36" s="36"/>
      <c r="B36" s="223" t="str">
        <f>INVERSIONS!A29</f>
        <v>Drets de traspàs</v>
      </c>
      <c r="C36" s="565">
        <v>0</v>
      </c>
      <c r="D36" s="567">
        <v>0</v>
      </c>
      <c r="E36" s="567">
        <v>0</v>
      </c>
      <c r="F36" s="567">
        <v>0</v>
      </c>
      <c r="G36" s="567">
        <v>0</v>
      </c>
      <c r="H36" s="567">
        <v>0</v>
      </c>
      <c r="I36" s="567">
        <v>0</v>
      </c>
      <c r="J36" s="567">
        <v>0</v>
      </c>
      <c r="K36" s="567">
        <v>0</v>
      </c>
      <c r="L36" s="567">
        <v>0</v>
      </c>
      <c r="M36" s="565">
        <v>0</v>
      </c>
      <c r="N36" s="568">
        <v>0</v>
      </c>
      <c r="O36" s="37"/>
      <c r="P36" s="37"/>
      <c r="Q36" s="550"/>
    </row>
    <row r="37" spans="1:19" ht="13.5" thickBot="1" x14ac:dyDescent="0.35">
      <c r="A37" s="36"/>
      <c r="B37" s="223" t="str">
        <f>INVERSIONS!A30</f>
        <v>Aplicacions informàtiques</v>
      </c>
      <c r="C37" s="565">
        <v>0</v>
      </c>
      <c r="D37" s="567">
        <v>0</v>
      </c>
      <c r="E37" s="567">
        <v>0</v>
      </c>
      <c r="F37" s="567">
        <v>0</v>
      </c>
      <c r="G37" s="567">
        <v>0</v>
      </c>
      <c r="H37" s="567">
        <v>0</v>
      </c>
      <c r="I37" s="567">
        <v>0</v>
      </c>
      <c r="J37" s="567">
        <v>0</v>
      </c>
      <c r="K37" s="567">
        <v>0</v>
      </c>
      <c r="L37" s="567">
        <v>0</v>
      </c>
      <c r="M37" s="565">
        <v>0</v>
      </c>
      <c r="N37" s="568">
        <v>0</v>
      </c>
      <c r="O37" s="37"/>
      <c r="P37" s="37"/>
      <c r="Q37" s="550"/>
    </row>
    <row r="38" spans="1:19" ht="13" x14ac:dyDescent="0.3">
      <c r="A38" s="36"/>
      <c r="B38" s="135" t="str">
        <f>INVERSIONS!A31</f>
        <v>INVERSIONS MATERIALS</v>
      </c>
      <c r="C38" s="136">
        <f>SUM(C39:C42)+SUM(C45:C48)</f>
        <v>0</v>
      </c>
      <c r="D38" s="136">
        <f t="shared" ref="D38:N38" si="1">SUM(D39:D42)+SUM(D45:D48)</f>
        <v>0</v>
      </c>
      <c r="E38" s="136">
        <f t="shared" si="1"/>
        <v>0</v>
      </c>
      <c r="F38" s="136">
        <f t="shared" si="1"/>
        <v>0</v>
      </c>
      <c r="G38" s="136">
        <f t="shared" si="1"/>
        <v>0</v>
      </c>
      <c r="H38" s="136">
        <f t="shared" si="1"/>
        <v>0</v>
      </c>
      <c r="I38" s="136">
        <f t="shared" si="1"/>
        <v>0</v>
      </c>
      <c r="J38" s="136">
        <f t="shared" si="1"/>
        <v>0</v>
      </c>
      <c r="K38" s="136">
        <f t="shared" si="1"/>
        <v>0</v>
      </c>
      <c r="L38" s="136">
        <f t="shared" si="1"/>
        <v>0</v>
      </c>
      <c r="M38" s="136">
        <f t="shared" si="1"/>
        <v>0</v>
      </c>
      <c r="N38" s="564">
        <f t="shared" si="1"/>
        <v>0</v>
      </c>
      <c r="O38" s="37"/>
      <c r="P38" s="37"/>
      <c r="Q38" s="550"/>
    </row>
    <row r="39" spans="1:19" ht="13" x14ac:dyDescent="0.3">
      <c r="A39" s="36"/>
      <c r="B39" s="223" t="str">
        <f>INVERSIONS!A32</f>
        <v>Terrenys</v>
      </c>
      <c r="C39" s="565">
        <v>0</v>
      </c>
      <c r="D39" s="565">
        <v>0</v>
      </c>
      <c r="E39" s="565">
        <v>0</v>
      </c>
      <c r="F39" s="565">
        <v>0</v>
      </c>
      <c r="G39" s="565">
        <v>0</v>
      </c>
      <c r="H39" s="565">
        <v>0</v>
      </c>
      <c r="I39" s="565">
        <v>0</v>
      </c>
      <c r="J39" s="565">
        <v>0</v>
      </c>
      <c r="K39" s="565">
        <v>0</v>
      </c>
      <c r="L39" s="565">
        <v>0</v>
      </c>
      <c r="M39" s="565">
        <v>0</v>
      </c>
      <c r="N39" s="566">
        <v>0</v>
      </c>
      <c r="O39" s="37"/>
      <c r="P39" s="37"/>
      <c r="Q39" s="550"/>
    </row>
    <row r="40" spans="1:19" ht="13" x14ac:dyDescent="0.3">
      <c r="A40" s="36"/>
      <c r="B40" s="223" t="str">
        <f>INVERSIONS!A33</f>
        <v>Construccions</v>
      </c>
      <c r="C40" s="565">
        <v>0</v>
      </c>
      <c r="D40" s="567">
        <v>0</v>
      </c>
      <c r="E40" s="567">
        <v>0</v>
      </c>
      <c r="F40" s="567">
        <v>0</v>
      </c>
      <c r="G40" s="567">
        <v>0</v>
      </c>
      <c r="H40" s="567">
        <v>0</v>
      </c>
      <c r="I40" s="567">
        <v>0</v>
      </c>
      <c r="J40" s="567">
        <v>0</v>
      </c>
      <c r="K40" s="567">
        <v>0</v>
      </c>
      <c r="L40" s="567">
        <v>0</v>
      </c>
      <c r="M40" s="565">
        <v>0</v>
      </c>
      <c r="N40" s="568">
        <v>0</v>
      </c>
      <c r="O40" s="37"/>
      <c r="P40" s="37"/>
      <c r="Q40" s="550"/>
    </row>
    <row r="41" spans="1:19" ht="13" x14ac:dyDescent="0.3">
      <c r="A41" s="36"/>
      <c r="B41" s="223" t="str">
        <f>INVERSIONS!A34</f>
        <v>Maquinària</v>
      </c>
      <c r="C41" s="565">
        <v>0</v>
      </c>
      <c r="D41" s="567">
        <v>0</v>
      </c>
      <c r="E41" s="567">
        <v>0</v>
      </c>
      <c r="F41" s="567">
        <v>0</v>
      </c>
      <c r="G41" s="567">
        <v>0</v>
      </c>
      <c r="H41" s="567">
        <v>0</v>
      </c>
      <c r="I41" s="567">
        <v>0</v>
      </c>
      <c r="J41" s="567">
        <v>0</v>
      </c>
      <c r="K41" s="567">
        <v>0</v>
      </c>
      <c r="L41" s="567">
        <v>0</v>
      </c>
      <c r="M41" s="565">
        <v>0</v>
      </c>
      <c r="N41" s="568">
        <v>0</v>
      </c>
      <c r="O41" s="37"/>
      <c r="P41" s="37"/>
      <c r="Q41" s="550"/>
    </row>
    <row r="42" spans="1:19" ht="13" x14ac:dyDescent="0.3">
      <c r="A42" s="36"/>
      <c r="B42" s="223" t="str">
        <f>INVERSIONS!A35</f>
        <v>Altres instal·lacions</v>
      </c>
      <c r="C42" s="130">
        <f>SUM(C43:C44)</f>
        <v>0</v>
      </c>
      <c r="D42" s="130">
        <f t="shared" ref="D42:N42" si="2">SUM(D43:D44)</f>
        <v>0</v>
      </c>
      <c r="E42" s="130">
        <f t="shared" si="2"/>
        <v>0</v>
      </c>
      <c r="F42" s="130">
        <f t="shared" si="2"/>
        <v>0</v>
      </c>
      <c r="G42" s="130">
        <f t="shared" si="2"/>
        <v>0</v>
      </c>
      <c r="H42" s="130">
        <f t="shared" si="2"/>
        <v>0</v>
      </c>
      <c r="I42" s="130">
        <f t="shared" si="2"/>
        <v>0</v>
      </c>
      <c r="J42" s="130">
        <f t="shared" si="2"/>
        <v>0</v>
      </c>
      <c r="K42" s="130">
        <f t="shared" si="2"/>
        <v>0</v>
      </c>
      <c r="L42" s="130">
        <f t="shared" si="2"/>
        <v>0</v>
      </c>
      <c r="M42" s="130">
        <f t="shared" si="2"/>
        <v>0</v>
      </c>
      <c r="N42" s="570">
        <f t="shared" si="2"/>
        <v>0</v>
      </c>
      <c r="O42" s="37"/>
      <c r="P42" s="37"/>
      <c r="Q42" s="550"/>
    </row>
    <row r="43" spans="1:19" ht="13" x14ac:dyDescent="0.3">
      <c r="A43" s="36"/>
      <c r="B43" s="571" t="str">
        <f>INVERSIONS!A36</f>
        <v>Amb projecte</v>
      </c>
      <c r="C43" s="565">
        <v>0</v>
      </c>
      <c r="D43" s="569">
        <v>0</v>
      </c>
      <c r="E43" s="569">
        <v>0</v>
      </c>
      <c r="F43" s="569">
        <v>0</v>
      </c>
      <c r="G43" s="569">
        <v>0</v>
      </c>
      <c r="H43" s="569">
        <v>0</v>
      </c>
      <c r="I43" s="569">
        <v>0</v>
      </c>
      <c r="J43" s="569">
        <v>0</v>
      </c>
      <c r="K43" s="569">
        <v>0</v>
      </c>
      <c r="L43" s="569">
        <v>0</v>
      </c>
      <c r="M43" s="569">
        <v>0</v>
      </c>
      <c r="N43" s="572">
        <v>0</v>
      </c>
      <c r="O43" s="37"/>
      <c r="P43" s="37"/>
      <c r="Q43" s="550"/>
    </row>
    <row r="44" spans="1:19" ht="13" x14ac:dyDescent="0.3">
      <c r="A44" s="36"/>
      <c r="B44" s="571" t="str">
        <f>INVERSIONS!A37</f>
        <v>Sense projecte</v>
      </c>
      <c r="C44" s="565">
        <v>0</v>
      </c>
      <c r="D44" s="573">
        <v>0</v>
      </c>
      <c r="E44" s="573">
        <v>0</v>
      </c>
      <c r="F44" s="573">
        <v>0</v>
      </c>
      <c r="G44" s="573">
        <v>0</v>
      </c>
      <c r="H44" s="573">
        <v>0</v>
      </c>
      <c r="I44" s="573">
        <v>0</v>
      </c>
      <c r="J44" s="573">
        <v>0</v>
      </c>
      <c r="K44" s="573">
        <v>0</v>
      </c>
      <c r="L44" s="573">
        <v>0</v>
      </c>
      <c r="M44" s="569">
        <v>0</v>
      </c>
      <c r="N44" s="574">
        <v>0</v>
      </c>
      <c r="O44" s="37"/>
      <c r="P44" s="37"/>
      <c r="Q44" s="550"/>
    </row>
    <row r="45" spans="1:19" ht="13" x14ac:dyDescent="0.3">
      <c r="A45" s="36"/>
      <c r="B45" s="223" t="str">
        <f>INVERSIONS!A38</f>
        <v>Mobiliari</v>
      </c>
      <c r="C45" s="565">
        <v>0</v>
      </c>
      <c r="D45" s="567">
        <v>0</v>
      </c>
      <c r="E45" s="567">
        <v>0</v>
      </c>
      <c r="F45" s="567">
        <v>0</v>
      </c>
      <c r="G45" s="567">
        <v>0</v>
      </c>
      <c r="H45" s="567">
        <v>0</v>
      </c>
      <c r="I45" s="567">
        <v>0</v>
      </c>
      <c r="J45" s="567">
        <v>0</v>
      </c>
      <c r="K45" s="567">
        <v>0</v>
      </c>
      <c r="L45" s="567">
        <v>0</v>
      </c>
      <c r="M45" s="567">
        <v>0</v>
      </c>
      <c r="N45" s="568">
        <v>0</v>
      </c>
      <c r="O45" s="37"/>
      <c r="P45" s="37"/>
      <c r="Q45" s="550"/>
    </row>
    <row r="46" spans="1:19" ht="13" x14ac:dyDescent="0.3">
      <c r="A46" s="36"/>
      <c r="B46" s="223" t="str">
        <f>INVERSIONS!A39</f>
        <v>Equips processos informació</v>
      </c>
      <c r="C46" s="565">
        <v>0</v>
      </c>
      <c r="D46" s="567">
        <v>0</v>
      </c>
      <c r="E46" s="567">
        <v>0</v>
      </c>
      <c r="F46" s="567">
        <v>0</v>
      </c>
      <c r="G46" s="567">
        <v>0</v>
      </c>
      <c r="H46" s="567">
        <v>0</v>
      </c>
      <c r="I46" s="567">
        <v>0</v>
      </c>
      <c r="J46" s="567">
        <v>0</v>
      </c>
      <c r="K46" s="567">
        <v>0</v>
      </c>
      <c r="L46" s="567">
        <v>0</v>
      </c>
      <c r="M46" s="567">
        <v>0</v>
      </c>
      <c r="N46" s="568">
        <v>0</v>
      </c>
      <c r="O46" s="37"/>
      <c r="P46" s="37"/>
      <c r="Q46" s="550"/>
    </row>
    <row r="47" spans="1:19" ht="13" x14ac:dyDescent="0.3">
      <c r="A47" s="36"/>
      <c r="B47" s="223" t="str">
        <f>INVERSIONS!A40</f>
        <v>Elements de transport</v>
      </c>
      <c r="C47" s="565">
        <v>0</v>
      </c>
      <c r="D47" s="567">
        <v>0</v>
      </c>
      <c r="E47" s="567">
        <v>0</v>
      </c>
      <c r="F47" s="567">
        <v>0</v>
      </c>
      <c r="G47" s="567">
        <v>0</v>
      </c>
      <c r="H47" s="567">
        <v>0</v>
      </c>
      <c r="I47" s="567">
        <v>0</v>
      </c>
      <c r="J47" s="567">
        <v>0</v>
      </c>
      <c r="K47" s="567">
        <v>0</v>
      </c>
      <c r="L47" s="567">
        <v>0</v>
      </c>
      <c r="M47" s="567">
        <v>0</v>
      </c>
      <c r="N47" s="568">
        <v>0</v>
      </c>
      <c r="O47" s="37"/>
      <c r="P47" s="37"/>
      <c r="Q47" s="550"/>
    </row>
    <row r="48" spans="1:19" ht="13" x14ac:dyDescent="0.3">
      <c r="A48" s="36"/>
      <c r="B48" s="223" t="str">
        <f>INVERSIONS!A41</f>
        <v>Altre immobilitzat material</v>
      </c>
      <c r="C48" s="565">
        <v>0</v>
      </c>
      <c r="D48" s="575">
        <v>0</v>
      </c>
      <c r="E48" s="575">
        <v>0</v>
      </c>
      <c r="F48" s="575">
        <v>0</v>
      </c>
      <c r="G48" s="575">
        <v>0</v>
      </c>
      <c r="H48" s="575">
        <v>0</v>
      </c>
      <c r="I48" s="575">
        <v>0</v>
      </c>
      <c r="J48" s="575">
        <v>0</v>
      </c>
      <c r="K48" s="575">
        <v>0</v>
      </c>
      <c r="L48" s="575">
        <v>0</v>
      </c>
      <c r="M48" s="567">
        <v>0</v>
      </c>
      <c r="N48" s="576">
        <v>0</v>
      </c>
      <c r="O48" s="37"/>
      <c r="P48" s="37"/>
      <c r="Q48" s="550"/>
    </row>
    <row r="49" spans="1:17" ht="13" x14ac:dyDescent="0.3">
      <c r="A49" s="36"/>
      <c r="B49" s="76" t="str">
        <f>INVERSIONS!A42</f>
        <v>FIANCES I DIPÒSITS A LLARG TERMINI</v>
      </c>
      <c r="C49" s="136">
        <f t="shared" ref="C49:N49" si="3">SUM(C50:C51)</f>
        <v>0</v>
      </c>
      <c r="D49" s="136">
        <f>SUM(D50:D51)</f>
        <v>0</v>
      </c>
      <c r="E49" s="136">
        <f t="shared" si="3"/>
        <v>0</v>
      </c>
      <c r="F49" s="136">
        <f t="shared" si="3"/>
        <v>0</v>
      </c>
      <c r="G49" s="136">
        <f t="shared" si="3"/>
        <v>0</v>
      </c>
      <c r="H49" s="136">
        <f t="shared" si="3"/>
        <v>0</v>
      </c>
      <c r="I49" s="136">
        <f t="shared" si="3"/>
        <v>0</v>
      </c>
      <c r="J49" s="136">
        <f>SUM(J50:J51)</f>
        <v>0</v>
      </c>
      <c r="K49" s="136">
        <f t="shared" si="3"/>
        <v>0</v>
      </c>
      <c r="L49" s="136">
        <f>SUM(L50:L51)</f>
        <v>0</v>
      </c>
      <c r="M49" s="136">
        <f t="shared" si="3"/>
        <v>0</v>
      </c>
      <c r="N49" s="564">
        <f t="shared" si="3"/>
        <v>0</v>
      </c>
      <c r="O49" s="37"/>
      <c r="P49" s="37"/>
      <c r="Q49" s="550"/>
    </row>
    <row r="50" spans="1:17" ht="13" x14ac:dyDescent="0.3">
      <c r="A50" s="36"/>
      <c r="B50" s="223" t="str">
        <f>INVERSIONS!A43</f>
        <v>Fiances a llarg termini</v>
      </c>
      <c r="C50" s="565">
        <v>0</v>
      </c>
      <c r="D50" s="565">
        <v>0</v>
      </c>
      <c r="E50" s="565">
        <v>0</v>
      </c>
      <c r="F50" s="565">
        <v>0</v>
      </c>
      <c r="G50" s="565">
        <v>0</v>
      </c>
      <c r="H50" s="565">
        <v>0</v>
      </c>
      <c r="I50" s="565">
        <v>0</v>
      </c>
      <c r="J50" s="565">
        <v>0</v>
      </c>
      <c r="K50" s="565">
        <v>0</v>
      </c>
      <c r="L50" s="565">
        <v>0</v>
      </c>
      <c r="M50" s="565">
        <v>0</v>
      </c>
      <c r="N50" s="566">
        <v>0</v>
      </c>
      <c r="O50" s="37"/>
      <c r="P50" s="37"/>
      <c r="Q50" s="550"/>
    </row>
    <row r="51" spans="1:17" ht="13" x14ac:dyDescent="0.3">
      <c r="A51" s="36"/>
      <c r="B51" s="223" t="str">
        <f>INVERSIONS!A44</f>
        <v>Dipòsits a llarg termini</v>
      </c>
      <c r="C51" s="565">
        <v>0</v>
      </c>
      <c r="D51" s="575">
        <v>0</v>
      </c>
      <c r="E51" s="575">
        <v>0</v>
      </c>
      <c r="F51" s="575">
        <v>0</v>
      </c>
      <c r="G51" s="575">
        <v>0</v>
      </c>
      <c r="H51" s="575">
        <v>0</v>
      </c>
      <c r="I51" s="575">
        <v>0</v>
      </c>
      <c r="J51" s="575">
        <v>0</v>
      </c>
      <c r="K51" s="575">
        <v>0</v>
      </c>
      <c r="L51" s="575">
        <v>0</v>
      </c>
      <c r="M51" s="565">
        <v>0</v>
      </c>
      <c r="N51" s="576">
        <v>0</v>
      </c>
      <c r="O51" s="37"/>
      <c r="P51" s="37"/>
      <c r="Q51" s="550"/>
    </row>
    <row r="52" spans="1:17" ht="13" x14ac:dyDescent="0.3">
      <c r="A52" s="36"/>
      <c r="B52" s="577" t="str">
        <f>INVERSIONS!A45</f>
        <v>TOTAL</v>
      </c>
      <c r="C52" s="578">
        <f t="shared" ref="C52:N52" si="4">C49+C38+C34</f>
        <v>0</v>
      </c>
      <c r="D52" s="141">
        <f t="shared" si="4"/>
        <v>0</v>
      </c>
      <c r="E52" s="141">
        <f t="shared" si="4"/>
        <v>0</v>
      </c>
      <c r="F52" s="141">
        <f t="shared" si="4"/>
        <v>0</v>
      </c>
      <c r="G52" s="141">
        <f t="shared" si="4"/>
        <v>0</v>
      </c>
      <c r="H52" s="141">
        <f t="shared" si="4"/>
        <v>0</v>
      </c>
      <c r="I52" s="141">
        <f t="shared" si="4"/>
        <v>0</v>
      </c>
      <c r="J52" s="141">
        <f t="shared" si="4"/>
        <v>0</v>
      </c>
      <c r="K52" s="141">
        <f t="shared" si="4"/>
        <v>0</v>
      </c>
      <c r="L52" s="141">
        <f t="shared" si="4"/>
        <v>0</v>
      </c>
      <c r="M52" s="141">
        <f t="shared" si="4"/>
        <v>0</v>
      </c>
      <c r="N52" s="579">
        <f t="shared" si="4"/>
        <v>0</v>
      </c>
      <c r="O52" s="37"/>
      <c r="P52" s="37"/>
      <c r="Q52" s="550"/>
    </row>
    <row r="53" spans="1:17" x14ac:dyDescent="0.25">
      <c r="A53" s="36"/>
      <c r="B53" s="62"/>
      <c r="C53" s="51"/>
      <c r="D53" s="51"/>
      <c r="E53" s="51"/>
      <c r="F53" s="51"/>
      <c r="G53" s="51"/>
      <c r="H53" s="51"/>
      <c r="I53" s="51"/>
      <c r="J53" s="51"/>
      <c r="K53" s="51"/>
      <c r="L53" s="51"/>
      <c r="M53" s="51"/>
      <c r="N53" s="52"/>
      <c r="O53" s="37"/>
      <c r="P53" s="37"/>
      <c r="Q53" s="550"/>
    </row>
    <row r="54" spans="1:17" ht="13.5" thickBot="1" x14ac:dyDescent="0.35">
      <c r="A54" s="36"/>
      <c r="B54" s="119" t="str">
        <f>INVERSIONS!A48</f>
        <v>SEGON EXERCICI</v>
      </c>
      <c r="C54" s="120" t="str">
        <f>INVERSIONS!B50</f>
        <v>GENER</v>
      </c>
      <c r="D54" s="120" t="str">
        <f>INVERSIONS!D50</f>
        <v>FEBRER</v>
      </c>
      <c r="E54" s="120" t="str">
        <f>INVERSIONS!F50</f>
        <v>MARÇ</v>
      </c>
      <c r="F54" s="120" t="str">
        <f>INVERSIONS!H50</f>
        <v>ABRIL</v>
      </c>
      <c r="G54" s="120" t="str">
        <f>INVERSIONS!J50</f>
        <v>MAIG</v>
      </c>
      <c r="H54" s="120" t="str">
        <f>INVERSIONS!L50</f>
        <v>JUNY</v>
      </c>
      <c r="I54" s="120" t="str">
        <f>INVERSIONS!N50</f>
        <v>JULIOL</v>
      </c>
      <c r="J54" s="120" t="str">
        <f>INVERSIONS!P50</f>
        <v>AGOST</v>
      </c>
      <c r="K54" s="120" t="str">
        <f>INVERSIONS!R50</f>
        <v>SETEMBRE</v>
      </c>
      <c r="L54" s="120" t="str">
        <f>INVERSIONS!T50</f>
        <v>OCTUBRE</v>
      </c>
      <c r="M54" s="120" t="str">
        <f>INVERSIONS!V50</f>
        <v>NOVEMBRE</v>
      </c>
      <c r="N54" s="83" t="str">
        <f>INVERSIONS!X50</f>
        <v>DESEMBRE</v>
      </c>
      <c r="O54" s="37"/>
      <c r="P54" s="37"/>
      <c r="Q54" s="550"/>
    </row>
    <row r="55" spans="1:17" ht="13" x14ac:dyDescent="0.3">
      <c r="A55" s="36"/>
      <c r="B55" s="128" t="str">
        <f>+B34</f>
        <v>INVERSIONS INTANGIBLES</v>
      </c>
      <c r="C55" s="122">
        <f t="shared" ref="C55:N55" si="5">SUM(C56:C58)</f>
        <v>0</v>
      </c>
      <c r="D55" s="100">
        <f t="shared" si="5"/>
        <v>0</v>
      </c>
      <c r="E55" s="100">
        <f t="shared" si="5"/>
        <v>0</v>
      </c>
      <c r="F55" s="100">
        <f t="shared" si="5"/>
        <v>0</v>
      </c>
      <c r="G55" s="100">
        <f t="shared" si="5"/>
        <v>0</v>
      </c>
      <c r="H55" s="100">
        <f t="shared" si="5"/>
        <v>0</v>
      </c>
      <c r="I55" s="100">
        <f t="shared" si="5"/>
        <v>0</v>
      </c>
      <c r="J55" s="100">
        <f t="shared" si="5"/>
        <v>0</v>
      </c>
      <c r="K55" s="100">
        <f t="shared" si="5"/>
        <v>0</v>
      </c>
      <c r="L55" s="100">
        <f t="shared" si="5"/>
        <v>0</v>
      </c>
      <c r="M55" s="100">
        <f t="shared" si="5"/>
        <v>0</v>
      </c>
      <c r="N55" s="87">
        <f t="shared" si="5"/>
        <v>0</v>
      </c>
      <c r="O55" s="37"/>
      <c r="P55" s="37"/>
      <c r="Q55" s="550"/>
    </row>
    <row r="56" spans="1:17" ht="13" x14ac:dyDescent="0.3">
      <c r="A56" s="36"/>
      <c r="B56" s="123" t="str">
        <f>INVERSIONS!A53</f>
        <v>Propietat industrial (patents i marques)</v>
      </c>
      <c r="C56" s="580">
        <v>0</v>
      </c>
      <c r="D56" s="109">
        <v>0</v>
      </c>
      <c r="E56" s="109">
        <v>0</v>
      </c>
      <c r="F56" s="109">
        <v>0</v>
      </c>
      <c r="G56" s="109">
        <v>0</v>
      </c>
      <c r="H56" s="109">
        <v>0</v>
      </c>
      <c r="I56" s="109">
        <v>0</v>
      </c>
      <c r="J56" s="109">
        <v>0</v>
      </c>
      <c r="K56" s="109">
        <v>0</v>
      </c>
      <c r="L56" s="109">
        <v>0</v>
      </c>
      <c r="M56" s="109">
        <v>0</v>
      </c>
      <c r="N56" s="91">
        <v>0</v>
      </c>
      <c r="O56" s="37"/>
      <c r="P56" s="37"/>
      <c r="Q56" s="550"/>
    </row>
    <row r="57" spans="1:17" ht="13" x14ac:dyDescent="0.3">
      <c r="A57" s="36"/>
      <c r="B57" s="123" t="str">
        <f>INVERSIONS!A54</f>
        <v>Drets de traspàs</v>
      </c>
      <c r="C57" s="580">
        <v>0</v>
      </c>
      <c r="D57" s="109">
        <v>0</v>
      </c>
      <c r="E57" s="109">
        <v>0</v>
      </c>
      <c r="F57" s="109">
        <v>0</v>
      </c>
      <c r="G57" s="109">
        <v>0</v>
      </c>
      <c r="H57" s="109">
        <v>0</v>
      </c>
      <c r="I57" s="109">
        <v>0</v>
      </c>
      <c r="J57" s="109">
        <v>0</v>
      </c>
      <c r="K57" s="109">
        <v>0</v>
      </c>
      <c r="L57" s="109">
        <v>0</v>
      </c>
      <c r="M57" s="109">
        <v>0</v>
      </c>
      <c r="N57" s="91">
        <v>0</v>
      </c>
      <c r="O57" s="37"/>
      <c r="P57" s="37"/>
      <c r="Q57" s="550"/>
    </row>
    <row r="58" spans="1:17" ht="13.5" thickBot="1" x14ac:dyDescent="0.35">
      <c r="A58" s="36"/>
      <c r="B58" s="123" t="str">
        <f>INVERSIONS!A55</f>
        <v>Aplicacions informàtiques</v>
      </c>
      <c r="C58" s="580">
        <v>0</v>
      </c>
      <c r="D58" s="109">
        <v>0</v>
      </c>
      <c r="E58" s="109">
        <v>0</v>
      </c>
      <c r="F58" s="109">
        <v>0</v>
      </c>
      <c r="G58" s="109">
        <v>0</v>
      </c>
      <c r="H58" s="109">
        <v>0</v>
      </c>
      <c r="I58" s="109">
        <v>0</v>
      </c>
      <c r="J58" s="109">
        <v>0</v>
      </c>
      <c r="K58" s="109">
        <v>0</v>
      </c>
      <c r="L58" s="109">
        <v>0</v>
      </c>
      <c r="M58" s="109">
        <v>0</v>
      </c>
      <c r="N58" s="91">
        <v>0</v>
      </c>
      <c r="O58" s="37"/>
      <c r="P58" s="37"/>
      <c r="Q58" s="550"/>
    </row>
    <row r="59" spans="1:17" ht="13" x14ac:dyDescent="0.3">
      <c r="A59" s="36"/>
      <c r="B59" s="135" t="str">
        <f>INVERSIONS!A56</f>
        <v>INVERSIONS MATERIALS</v>
      </c>
      <c r="C59" s="136">
        <f t="shared" ref="C59:N59" si="6">SUM(C60:C63)+SUM(C66:C69)</f>
        <v>0</v>
      </c>
      <c r="D59" s="136">
        <f t="shared" si="6"/>
        <v>0</v>
      </c>
      <c r="E59" s="136">
        <f t="shared" si="6"/>
        <v>0</v>
      </c>
      <c r="F59" s="136">
        <f t="shared" si="6"/>
        <v>0</v>
      </c>
      <c r="G59" s="136">
        <f t="shared" si="6"/>
        <v>0</v>
      </c>
      <c r="H59" s="136">
        <f t="shared" si="6"/>
        <v>0</v>
      </c>
      <c r="I59" s="136">
        <f t="shared" si="6"/>
        <v>0</v>
      </c>
      <c r="J59" s="136">
        <f t="shared" si="6"/>
        <v>0</v>
      </c>
      <c r="K59" s="136">
        <f t="shared" si="6"/>
        <v>0</v>
      </c>
      <c r="L59" s="136">
        <f t="shared" si="6"/>
        <v>0</v>
      </c>
      <c r="M59" s="136">
        <f t="shared" si="6"/>
        <v>0</v>
      </c>
      <c r="N59" s="564">
        <f t="shared" si="6"/>
        <v>0</v>
      </c>
      <c r="O59" s="37"/>
      <c r="P59" s="37"/>
      <c r="Q59" s="550"/>
    </row>
    <row r="60" spans="1:17" ht="13" x14ac:dyDescent="0.3">
      <c r="A60" s="36"/>
      <c r="B60" s="129" t="str">
        <f>INVERSIONS!A57</f>
        <v>Terrenys</v>
      </c>
      <c r="C60" s="565">
        <v>0</v>
      </c>
      <c r="D60" s="565">
        <v>0</v>
      </c>
      <c r="E60" s="565">
        <v>0</v>
      </c>
      <c r="F60" s="565">
        <v>0</v>
      </c>
      <c r="G60" s="565">
        <v>0</v>
      </c>
      <c r="H60" s="565">
        <v>0</v>
      </c>
      <c r="I60" s="565">
        <v>0</v>
      </c>
      <c r="J60" s="565">
        <v>0</v>
      </c>
      <c r="K60" s="565">
        <v>0</v>
      </c>
      <c r="L60" s="565">
        <v>0</v>
      </c>
      <c r="M60" s="565">
        <v>0</v>
      </c>
      <c r="N60" s="566">
        <v>0</v>
      </c>
      <c r="O60" s="37"/>
      <c r="P60" s="37"/>
      <c r="Q60" s="550"/>
    </row>
    <row r="61" spans="1:17" ht="13" x14ac:dyDescent="0.3">
      <c r="A61" s="36"/>
      <c r="B61" s="129" t="str">
        <f>INVERSIONS!A58</f>
        <v>Construccions</v>
      </c>
      <c r="C61" s="567">
        <v>0</v>
      </c>
      <c r="D61" s="567">
        <v>0</v>
      </c>
      <c r="E61" s="567">
        <v>0</v>
      </c>
      <c r="F61" s="567">
        <v>0</v>
      </c>
      <c r="G61" s="567">
        <v>0</v>
      </c>
      <c r="H61" s="567">
        <v>0</v>
      </c>
      <c r="I61" s="567">
        <v>0</v>
      </c>
      <c r="J61" s="567">
        <v>0</v>
      </c>
      <c r="K61" s="567">
        <v>0</v>
      </c>
      <c r="L61" s="567">
        <v>0</v>
      </c>
      <c r="M61" s="565">
        <v>0</v>
      </c>
      <c r="N61" s="568">
        <v>0</v>
      </c>
      <c r="O61" s="37"/>
      <c r="P61" s="37"/>
      <c r="Q61" s="550"/>
    </row>
    <row r="62" spans="1:17" ht="13" x14ac:dyDescent="0.3">
      <c r="A62" s="36"/>
      <c r="B62" s="129" t="str">
        <f>INVERSIONS!A59</f>
        <v>Maquinària</v>
      </c>
      <c r="C62" s="567">
        <v>0</v>
      </c>
      <c r="D62" s="567">
        <v>0</v>
      </c>
      <c r="E62" s="567">
        <v>0</v>
      </c>
      <c r="F62" s="567">
        <v>0</v>
      </c>
      <c r="G62" s="567">
        <v>0</v>
      </c>
      <c r="H62" s="567">
        <v>0</v>
      </c>
      <c r="I62" s="567">
        <v>0</v>
      </c>
      <c r="J62" s="567">
        <v>0</v>
      </c>
      <c r="K62" s="567">
        <v>0</v>
      </c>
      <c r="L62" s="567">
        <v>0</v>
      </c>
      <c r="M62" s="565">
        <v>0</v>
      </c>
      <c r="N62" s="568">
        <v>0</v>
      </c>
      <c r="O62" s="37"/>
      <c r="P62" s="37"/>
      <c r="Q62" s="550"/>
    </row>
    <row r="63" spans="1:17" ht="13" x14ac:dyDescent="0.3">
      <c r="A63" s="36"/>
      <c r="B63" s="129" t="str">
        <f>INVERSIONS!A60</f>
        <v>Altres instal·lacions</v>
      </c>
      <c r="C63" s="130">
        <f>SUM(C64:C65)</f>
        <v>0</v>
      </c>
      <c r="D63" s="130">
        <f t="shared" ref="D63:N63" si="7">SUM(D64:D65)</f>
        <v>0</v>
      </c>
      <c r="E63" s="130">
        <f t="shared" si="7"/>
        <v>0</v>
      </c>
      <c r="F63" s="130">
        <f t="shared" si="7"/>
        <v>0</v>
      </c>
      <c r="G63" s="130">
        <f t="shared" si="7"/>
        <v>0</v>
      </c>
      <c r="H63" s="130">
        <f t="shared" si="7"/>
        <v>0</v>
      </c>
      <c r="I63" s="130">
        <f t="shared" si="7"/>
        <v>0</v>
      </c>
      <c r="J63" s="130">
        <f t="shared" si="7"/>
        <v>0</v>
      </c>
      <c r="K63" s="130">
        <f t="shared" si="7"/>
        <v>0</v>
      </c>
      <c r="L63" s="130">
        <f t="shared" si="7"/>
        <v>0</v>
      </c>
      <c r="M63" s="130">
        <f t="shared" si="7"/>
        <v>0</v>
      </c>
      <c r="N63" s="570">
        <f t="shared" si="7"/>
        <v>0</v>
      </c>
      <c r="O63" s="37"/>
      <c r="P63" s="37"/>
      <c r="Q63" s="550"/>
    </row>
    <row r="64" spans="1:17" x14ac:dyDescent="0.25">
      <c r="A64" s="36"/>
      <c r="B64" s="132" t="str">
        <f>INVERSIONS!A61</f>
        <v>Amb projecte</v>
      </c>
      <c r="C64" s="569">
        <v>0</v>
      </c>
      <c r="D64" s="569">
        <v>0</v>
      </c>
      <c r="E64" s="569">
        <v>0</v>
      </c>
      <c r="F64" s="569">
        <v>0</v>
      </c>
      <c r="G64" s="569">
        <v>0</v>
      </c>
      <c r="H64" s="569">
        <v>0</v>
      </c>
      <c r="I64" s="569">
        <v>0</v>
      </c>
      <c r="J64" s="569">
        <v>0</v>
      </c>
      <c r="K64" s="569">
        <v>0</v>
      </c>
      <c r="L64" s="569">
        <v>0</v>
      </c>
      <c r="M64" s="569">
        <v>0</v>
      </c>
      <c r="N64" s="572">
        <v>0</v>
      </c>
      <c r="O64" s="37"/>
      <c r="P64" s="37"/>
      <c r="Q64" s="550"/>
    </row>
    <row r="65" spans="1:20" x14ac:dyDescent="0.25">
      <c r="A65" s="36"/>
      <c r="B65" s="132" t="str">
        <f>INVERSIONS!A62</f>
        <v>Sense projecte</v>
      </c>
      <c r="C65" s="573">
        <v>0</v>
      </c>
      <c r="D65" s="573">
        <v>0</v>
      </c>
      <c r="E65" s="573">
        <v>0</v>
      </c>
      <c r="F65" s="573">
        <v>0</v>
      </c>
      <c r="G65" s="573">
        <v>0</v>
      </c>
      <c r="H65" s="573">
        <v>0</v>
      </c>
      <c r="I65" s="573">
        <v>0</v>
      </c>
      <c r="J65" s="573">
        <v>0</v>
      </c>
      <c r="K65" s="573">
        <v>0</v>
      </c>
      <c r="L65" s="573">
        <v>0</v>
      </c>
      <c r="M65" s="569">
        <v>0</v>
      </c>
      <c r="N65" s="574">
        <v>0</v>
      </c>
      <c r="O65" s="37"/>
      <c r="P65" s="37"/>
      <c r="Q65" s="550"/>
    </row>
    <row r="66" spans="1:20" ht="13" x14ac:dyDescent="0.3">
      <c r="A66" s="36"/>
      <c r="B66" s="129" t="str">
        <f>INVERSIONS!A63</f>
        <v>Mobiliari</v>
      </c>
      <c r="C66" s="567">
        <v>0</v>
      </c>
      <c r="D66" s="567">
        <v>0</v>
      </c>
      <c r="E66" s="567">
        <v>0</v>
      </c>
      <c r="F66" s="567">
        <v>0</v>
      </c>
      <c r="G66" s="567">
        <v>0</v>
      </c>
      <c r="H66" s="567">
        <v>0</v>
      </c>
      <c r="I66" s="567">
        <v>0</v>
      </c>
      <c r="J66" s="567">
        <v>0</v>
      </c>
      <c r="K66" s="567">
        <v>0</v>
      </c>
      <c r="L66" s="567">
        <v>0</v>
      </c>
      <c r="M66" s="567">
        <v>0</v>
      </c>
      <c r="N66" s="568">
        <v>0</v>
      </c>
      <c r="O66" s="37"/>
      <c r="P66" s="37"/>
      <c r="Q66" s="550"/>
      <c r="T66" s="21" t="s">
        <v>108</v>
      </c>
    </row>
    <row r="67" spans="1:20" ht="13" x14ac:dyDescent="0.3">
      <c r="A67" s="36"/>
      <c r="B67" s="129" t="str">
        <f>INVERSIONS!A64</f>
        <v>Equips processos informació</v>
      </c>
      <c r="C67" s="567">
        <v>0</v>
      </c>
      <c r="D67" s="567">
        <v>0</v>
      </c>
      <c r="E67" s="567">
        <v>0</v>
      </c>
      <c r="F67" s="567">
        <v>0</v>
      </c>
      <c r="G67" s="567">
        <v>0</v>
      </c>
      <c r="H67" s="567">
        <v>0</v>
      </c>
      <c r="I67" s="567">
        <v>0</v>
      </c>
      <c r="J67" s="567">
        <v>0</v>
      </c>
      <c r="K67" s="567">
        <v>0</v>
      </c>
      <c r="L67" s="567">
        <v>0</v>
      </c>
      <c r="M67" s="567">
        <v>0</v>
      </c>
      <c r="N67" s="568">
        <v>0</v>
      </c>
      <c r="O67" s="37"/>
      <c r="P67" s="37"/>
      <c r="Q67" s="550"/>
      <c r="T67">
        <v>0</v>
      </c>
    </row>
    <row r="68" spans="1:20" ht="13" x14ac:dyDescent="0.3">
      <c r="A68" s="36"/>
      <c r="B68" s="129" t="str">
        <f>INVERSIONS!A65</f>
        <v>Elements de transport</v>
      </c>
      <c r="C68" s="567">
        <v>0</v>
      </c>
      <c r="D68" s="567">
        <v>0</v>
      </c>
      <c r="E68" s="567">
        <v>0</v>
      </c>
      <c r="F68" s="567">
        <v>0</v>
      </c>
      <c r="G68" s="567">
        <v>0</v>
      </c>
      <c r="H68" s="567">
        <v>0</v>
      </c>
      <c r="I68" s="567">
        <v>0</v>
      </c>
      <c r="J68" s="567">
        <v>0</v>
      </c>
      <c r="K68" s="567">
        <v>0</v>
      </c>
      <c r="L68" s="567">
        <v>0</v>
      </c>
      <c r="M68" s="567">
        <v>0</v>
      </c>
      <c r="N68" s="568">
        <v>0</v>
      </c>
      <c r="O68" s="37"/>
      <c r="P68" s="37"/>
      <c r="Q68" s="550"/>
      <c r="T68">
        <v>6</v>
      </c>
    </row>
    <row r="69" spans="1:20" ht="13" x14ac:dyDescent="0.3">
      <c r="A69" s="36"/>
      <c r="B69" s="129" t="str">
        <f>INVERSIONS!A66</f>
        <v>Altre immobilitzat material</v>
      </c>
      <c r="C69" s="575">
        <v>0</v>
      </c>
      <c r="D69" s="575">
        <v>0</v>
      </c>
      <c r="E69" s="575">
        <v>0</v>
      </c>
      <c r="F69" s="575">
        <v>0</v>
      </c>
      <c r="G69" s="575">
        <v>0</v>
      </c>
      <c r="H69" s="575">
        <v>0</v>
      </c>
      <c r="I69" s="575">
        <v>0</v>
      </c>
      <c r="J69" s="575">
        <v>0</v>
      </c>
      <c r="K69" s="575">
        <v>0</v>
      </c>
      <c r="L69" s="575">
        <v>0</v>
      </c>
      <c r="M69" s="567">
        <v>0</v>
      </c>
      <c r="N69" s="576">
        <v>0</v>
      </c>
      <c r="O69" s="37"/>
      <c r="P69" s="37"/>
      <c r="Q69" s="550"/>
      <c r="T69">
        <v>12</v>
      </c>
    </row>
    <row r="70" spans="1:20" ht="13" x14ac:dyDescent="0.3">
      <c r="A70" s="36"/>
      <c r="B70" s="135" t="str">
        <f>INVERSIONS!A67</f>
        <v>FIANCES I DIPÒSITS A LLARG TERMINI</v>
      </c>
      <c r="C70" s="136">
        <f t="shared" ref="C70:N70" si="8">SUM(C71:C72)</f>
        <v>0</v>
      </c>
      <c r="D70" s="136">
        <f t="shared" si="8"/>
        <v>0</v>
      </c>
      <c r="E70" s="136">
        <f t="shared" si="8"/>
        <v>0</v>
      </c>
      <c r="F70" s="136">
        <f t="shared" si="8"/>
        <v>0</v>
      </c>
      <c r="G70" s="136">
        <f t="shared" si="8"/>
        <v>0</v>
      </c>
      <c r="H70" s="136">
        <f t="shared" si="8"/>
        <v>0</v>
      </c>
      <c r="I70" s="136">
        <f t="shared" si="8"/>
        <v>0</v>
      </c>
      <c r="J70" s="136">
        <f t="shared" si="8"/>
        <v>0</v>
      </c>
      <c r="K70" s="136">
        <f t="shared" si="8"/>
        <v>0</v>
      </c>
      <c r="L70" s="136">
        <f t="shared" si="8"/>
        <v>0</v>
      </c>
      <c r="M70" s="136">
        <f t="shared" si="8"/>
        <v>0</v>
      </c>
      <c r="N70" s="564">
        <f t="shared" si="8"/>
        <v>0</v>
      </c>
      <c r="O70" s="37"/>
      <c r="P70" s="37"/>
      <c r="Q70" s="550"/>
      <c r="T70">
        <v>18</v>
      </c>
    </row>
    <row r="71" spans="1:20" ht="13" x14ac:dyDescent="0.3">
      <c r="A71" s="36"/>
      <c r="B71" s="129" t="str">
        <f>INVERSIONS!A68</f>
        <v>Fiances a llarg termini</v>
      </c>
      <c r="C71" s="565">
        <v>0</v>
      </c>
      <c r="D71" s="565">
        <v>0</v>
      </c>
      <c r="E71" s="565">
        <v>0</v>
      </c>
      <c r="F71" s="565">
        <v>0</v>
      </c>
      <c r="G71" s="565">
        <v>0</v>
      </c>
      <c r="H71" s="565">
        <v>0</v>
      </c>
      <c r="I71" s="565">
        <v>0</v>
      </c>
      <c r="J71" s="565">
        <v>0</v>
      </c>
      <c r="K71" s="565">
        <v>0</v>
      </c>
      <c r="L71" s="565">
        <v>0</v>
      </c>
      <c r="M71" s="565">
        <v>0</v>
      </c>
      <c r="N71" s="566">
        <v>0</v>
      </c>
      <c r="O71" s="37"/>
      <c r="P71" s="37"/>
      <c r="Q71" s="550"/>
      <c r="T71">
        <v>24</v>
      </c>
    </row>
    <row r="72" spans="1:20" ht="13" x14ac:dyDescent="0.3">
      <c r="A72" s="36"/>
      <c r="B72" s="129" t="str">
        <f>INVERSIONS!A69</f>
        <v>Dipòsits a llarg termini</v>
      </c>
      <c r="C72" s="575">
        <v>0</v>
      </c>
      <c r="D72" s="575">
        <v>0</v>
      </c>
      <c r="E72" s="575">
        <v>0</v>
      </c>
      <c r="F72" s="575">
        <v>0</v>
      </c>
      <c r="G72" s="575">
        <v>0</v>
      </c>
      <c r="H72" s="575">
        <v>0</v>
      </c>
      <c r="I72" s="575">
        <v>0</v>
      </c>
      <c r="J72" s="575">
        <v>0</v>
      </c>
      <c r="K72" s="575">
        <v>0</v>
      </c>
      <c r="L72" s="575">
        <v>0</v>
      </c>
      <c r="M72" s="565">
        <v>0</v>
      </c>
      <c r="N72" s="576">
        <v>0</v>
      </c>
      <c r="O72" s="37"/>
      <c r="P72" s="37"/>
      <c r="Q72" s="550"/>
      <c r="T72">
        <v>30</v>
      </c>
    </row>
    <row r="73" spans="1:20" ht="13" x14ac:dyDescent="0.3">
      <c r="A73" s="36"/>
      <c r="B73" s="135" t="str">
        <f>INVERSIONS!A70</f>
        <v>TOTAL</v>
      </c>
      <c r="C73" s="141">
        <f t="shared" ref="C73:N73" si="9">C70+C59+C55</f>
        <v>0</v>
      </c>
      <c r="D73" s="141">
        <f t="shared" si="9"/>
        <v>0</v>
      </c>
      <c r="E73" s="141">
        <f t="shared" si="9"/>
        <v>0</v>
      </c>
      <c r="F73" s="141">
        <f t="shared" si="9"/>
        <v>0</v>
      </c>
      <c r="G73" s="141">
        <f t="shared" si="9"/>
        <v>0</v>
      </c>
      <c r="H73" s="141">
        <f t="shared" si="9"/>
        <v>0</v>
      </c>
      <c r="I73" s="141">
        <f t="shared" si="9"/>
        <v>0</v>
      </c>
      <c r="J73" s="141">
        <f t="shared" si="9"/>
        <v>0</v>
      </c>
      <c r="K73" s="141">
        <f t="shared" si="9"/>
        <v>0</v>
      </c>
      <c r="L73" s="141">
        <f t="shared" si="9"/>
        <v>0</v>
      </c>
      <c r="M73" s="141">
        <f t="shared" si="9"/>
        <v>0</v>
      </c>
      <c r="N73" s="579">
        <f t="shared" si="9"/>
        <v>0</v>
      </c>
      <c r="O73" s="37"/>
      <c r="P73" s="37"/>
      <c r="Q73" s="550"/>
      <c r="T73">
        <v>36</v>
      </c>
    </row>
    <row r="74" spans="1:20" x14ac:dyDescent="0.25">
      <c r="A74" s="36"/>
      <c r="B74" s="62"/>
      <c r="C74" s="51"/>
      <c r="D74" s="51"/>
      <c r="E74" s="51"/>
      <c r="F74" s="51"/>
      <c r="G74" s="51"/>
      <c r="H74" s="51"/>
      <c r="I74" s="51"/>
      <c r="J74" s="51"/>
      <c r="K74" s="51"/>
      <c r="L74" s="51"/>
      <c r="M74" s="51"/>
      <c r="N74" s="52"/>
      <c r="O74" s="37"/>
      <c r="P74" s="37"/>
      <c r="Q74" s="550"/>
    </row>
    <row r="75" spans="1:20" ht="13.5" thickBot="1" x14ac:dyDescent="0.35">
      <c r="A75" s="36"/>
      <c r="B75" s="119" t="str">
        <f>INVERSIONS!A73</f>
        <v>TERCER EXERCICI</v>
      </c>
      <c r="C75" s="120" t="str">
        <f>INVERSIONS!B75</f>
        <v>GENER</v>
      </c>
      <c r="D75" s="120" t="str">
        <f>INVERSIONS!D75</f>
        <v>FEBRER</v>
      </c>
      <c r="E75" s="120" t="str">
        <f>INVERSIONS!F75</f>
        <v>MARÇ</v>
      </c>
      <c r="F75" s="120" t="str">
        <f>INVERSIONS!H75</f>
        <v>ABRIL</v>
      </c>
      <c r="G75" s="120" t="str">
        <f>INVERSIONS!J75</f>
        <v>MAIG</v>
      </c>
      <c r="H75" s="120" t="str">
        <f>INVERSIONS!L75</f>
        <v>JUNY</v>
      </c>
      <c r="I75" s="120" t="str">
        <f>INVERSIONS!N75</f>
        <v>JULIOL</v>
      </c>
      <c r="J75" s="120" t="str">
        <f>INVERSIONS!P75</f>
        <v>AGOST</v>
      </c>
      <c r="K75" s="120" t="str">
        <f>INVERSIONS!R75</f>
        <v>SETEMBRE</v>
      </c>
      <c r="L75" s="120" t="str">
        <f>INVERSIONS!T75</f>
        <v>OCTUBRE</v>
      </c>
      <c r="M75" s="120" t="str">
        <f>INVERSIONS!V75</f>
        <v>NOVEMBRE</v>
      </c>
      <c r="N75" s="83" t="str">
        <f>INVERSIONS!X75</f>
        <v>DESEMBRE</v>
      </c>
      <c r="O75" s="37"/>
      <c r="P75" s="37"/>
      <c r="Q75" s="550"/>
    </row>
    <row r="76" spans="1:20" ht="13" x14ac:dyDescent="0.3">
      <c r="A76" s="36"/>
      <c r="B76" s="128" t="str">
        <f>+B55</f>
        <v>INVERSIONS INTANGIBLES</v>
      </c>
      <c r="C76" s="122">
        <f t="shared" ref="C76:N76" si="10">SUM(C77:C79)</f>
        <v>0</v>
      </c>
      <c r="D76" s="100">
        <f t="shared" si="10"/>
        <v>0</v>
      </c>
      <c r="E76" s="100">
        <f t="shared" si="10"/>
        <v>0</v>
      </c>
      <c r="F76" s="100">
        <f t="shared" si="10"/>
        <v>0</v>
      </c>
      <c r="G76" s="100">
        <f t="shared" si="10"/>
        <v>0</v>
      </c>
      <c r="H76" s="100">
        <f t="shared" si="10"/>
        <v>0</v>
      </c>
      <c r="I76" s="100">
        <f t="shared" si="10"/>
        <v>0</v>
      </c>
      <c r="J76" s="100">
        <f t="shared" si="10"/>
        <v>0</v>
      </c>
      <c r="K76" s="100">
        <f t="shared" si="10"/>
        <v>0</v>
      </c>
      <c r="L76" s="100">
        <f t="shared" si="10"/>
        <v>0</v>
      </c>
      <c r="M76" s="100">
        <f t="shared" si="10"/>
        <v>0</v>
      </c>
      <c r="N76" s="87">
        <f t="shared" si="10"/>
        <v>0</v>
      </c>
      <c r="O76" s="37"/>
      <c r="P76" s="37"/>
      <c r="Q76" s="550"/>
    </row>
    <row r="77" spans="1:20" ht="13" x14ac:dyDescent="0.3">
      <c r="A77" s="36"/>
      <c r="B77" s="123" t="str">
        <f>INVERSIONS!A78</f>
        <v>Propietat industrial (patents i marques)</v>
      </c>
      <c r="C77" s="580">
        <v>0</v>
      </c>
      <c r="D77" s="109">
        <v>0</v>
      </c>
      <c r="E77" s="109">
        <v>0</v>
      </c>
      <c r="F77" s="109">
        <v>0</v>
      </c>
      <c r="G77" s="109">
        <v>0</v>
      </c>
      <c r="H77" s="109">
        <v>0</v>
      </c>
      <c r="I77" s="109">
        <v>0</v>
      </c>
      <c r="J77" s="109">
        <v>0</v>
      </c>
      <c r="K77" s="109">
        <v>0</v>
      </c>
      <c r="L77" s="109">
        <v>0</v>
      </c>
      <c r="M77" s="109">
        <v>0</v>
      </c>
      <c r="N77" s="91">
        <v>0</v>
      </c>
      <c r="O77" s="37"/>
      <c r="P77" s="37"/>
      <c r="Q77" s="550"/>
    </row>
    <row r="78" spans="1:20" ht="13" x14ac:dyDescent="0.3">
      <c r="A78" s="36"/>
      <c r="B78" s="123" t="str">
        <f>INVERSIONS!A79</f>
        <v>Drets de traspàs</v>
      </c>
      <c r="C78" s="580">
        <v>0</v>
      </c>
      <c r="D78" s="109">
        <v>0</v>
      </c>
      <c r="E78" s="109">
        <v>0</v>
      </c>
      <c r="F78" s="109">
        <v>0</v>
      </c>
      <c r="G78" s="109">
        <v>0</v>
      </c>
      <c r="H78" s="109">
        <v>0</v>
      </c>
      <c r="I78" s="109">
        <v>0</v>
      </c>
      <c r="J78" s="109">
        <v>0</v>
      </c>
      <c r="K78" s="109">
        <v>0</v>
      </c>
      <c r="L78" s="109">
        <v>0</v>
      </c>
      <c r="M78" s="109">
        <v>0</v>
      </c>
      <c r="N78" s="91">
        <v>0</v>
      </c>
      <c r="O78" s="37"/>
      <c r="P78" s="37"/>
      <c r="Q78" s="550"/>
    </row>
    <row r="79" spans="1:20" ht="13.5" thickBot="1" x14ac:dyDescent="0.35">
      <c r="A79" s="36"/>
      <c r="B79" s="123" t="str">
        <f>INVERSIONS!A80</f>
        <v>Aplicacions informàtiques</v>
      </c>
      <c r="C79" s="580">
        <v>0</v>
      </c>
      <c r="D79" s="109">
        <v>0</v>
      </c>
      <c r="E79" s="109">
        <v>0</v>
      </c>
      <c r="F79" s="109">
        <v>0</v>
      </c>
      <c r="G79" s="109">
        <v>0</v>
      </c>
      <c r="H79" s="109">
        <v>0</v>
      </c>
      <c r="I79" s="109">
        <v>0</v>
      </c>
      <c r="J79" s="109">
        <v>0</v>
      </c>
      <c r="K79" s="109">
        <v>0</v>
      </c>
      <c r="L79" s="109">
        <v>0</v>
      </c>
      <c r="M79" s="109">
        <v>0</v>
      </c>
      <c r="N79" s="91">
        <v>0</v>
      </c>
      <c r="O79" s="37"/>
      <c r="P79" s="37"/>
      <c r="Q79" s="550"/>
    </row>
    <row r="80" spans="1:20" ht="13" x14ac:dyDescent="0.3">
      <c r="A80" s="36"/>
      <c r="B80" s="86" t="str">
        <f>INVERSIONS!A81</f>
        <v>INVERSIONS MATERIALS</v>
      </c>
      <c r="C80" s="136">
        <f>SUM(C81:C84)+SUM(C87:C90)</f>
        <v>0</v>
      </c>
      <c r="D80" s="136">
        <f t="shared" ref="D80:N80" si="11">SUM(D81:D84)+SUM(D87:D90)</f>
        <v>0</v>
      </c>
      <c r="E80" s="136">
        <f t="shared" si="11"/>
        <v>0</v>
      </c>
      <c r="F80" s="136">
        <f t="shared" si="11"/>
        <v>0</v>
      </c>
      <c r="G80" s="136">
        <f t="shared" si="11"/>
        <v>0</v>
      </c>
      <c r="H80" s="136">
        <f t="shared" si="11"/>
        <v>0</v>
      </c>
      <c r="I80" s="136">
        <f t="shared" si="11"/>
        <v>0</v>
      </c>
      <c r="J80" s="136">
        <f t="shared" si="11"/>
        <v>0</v>
      </c>
      <c r="K80" s="136">
        <f t="shared" si="11"/>
        <v>0</v>
      </c>
      <c r="L80" s="136">
        <f t="shared" si="11"/>
        <v>0</v>
      </c>
      <c r="M80" s="136">
        <f t="shared" si="11"/>
        <v>0</v>
      </c>
      <c r="N80" s="564">
        <f t="shared" si="11"/>
        <v>0</v>
      </c>
      <c r="O80" s="37"/>
      <c r="P80" s="37"/>
      <c r="Q80" s="550"/>
    </row>
    <row r="81" spans="1:17" ht="13" x14ac:dyDescent="0.3">
      <c r="A81" s="36"/>
      <c r="B81" s="142" t="str">
        <f>INVERSIONS!A82</f>
        <v>Terrenys</v>
      </c>
      <c r="C81" s="565">
        <v>0</v>
      </c>
      <c r="D81" s="565">
        <v>0</v>
      </c>
      <c r="E81" s="565">
        <v>0</v>
      </c>
      <c r="F81" s="565">
        <v>0</v>
      </c>
      <c r="G81" s="565">
        <v>0</v>
      </c>
      <c r="H81" s="565">
        <v>0</v>
      </c>
      <c r="I81" s="565">
        <v>0</v>
      </c>
      <c r="J81" s="565">
        <v>0</v>
      </c>
      <c r="K81" s="565">
        <v>0</v>
      </c>
      <c r="L81" s="565">
        <v>0</v>
      </c>
      <c r="M81" s="565">
        <v>0</v>
      </c>
      <c r="N81" s="566">
        <v>0</v>
      </c>
      <c r="O81" s="37"/>
      <c r="P81" s="37"/>
      <c r="Q81" s="550"/>
    </row>
    <row r="82" spans="1:17" ht="13" x14ac:dyDescent="0.3">
      <c r="A82" s="36"/>
      <c r="B82" s="142" t="str">
        <f>INVERSIONS!A83</f>
        <v>Construccions</v>
      </c>
      <c r="C82" s="567">
        <v>0</v>
      </c>
      <c r="D82" s="567">
        <v>0</v>
      </c>
      <c r="E82" s="567">
        <v>0</v>
      </c>
      <c r="F82" s="567">
        <v>0</v>
      </c>
      <c r="G82" s="567">
        <v>0</v>
      </c>
      <c r="H82" s="567">
        <v>0</v>
      </c>
      <c r="I82" s="567">
        <v>0</v>
      </c>
      <c r="J82" s="567">
        <v>0</v>
      </c>
      <c r="K82" s="567">
        <v>0</v>
      </c>
      <c r="L82" s="567">
        <v>0</v>
      </c>
      <c r="M82" s="565">
        <v>0</v>
      </c>
      <c r="N82" s="568">
        <v>0</v>
      </c>
      <c r="O82" s="37"/>
      <c r="P82" s="37"/>
      <c r="Q82" s="550"/>
    </row>
    <row r="83" spans="1:17" ht="13" x14ac:dyDescent="0.3">
      <c r="A83" s="36"/>
      <c r="B83" s="142" t="str">
        <f>INVERSIONS!A84</f>
        <v>Maquinària</v>
      </c>
      <c r="C83" s="567">
        <v>0</v>
      </c>
      <c r="D83" s="567">
        <v>0</v>
      </c>
      <c r="E83" s="567">
        <v>0</v>
      </c>
      <c r="F83" s="567">
        <v>0</v>
      </c>
      <c r="G83" s="567">
        <v>0</v>
      </c>
      <c r="H83" s="567">
        <v>0</v>
      </c>
      <c r="I83" s="567">
        <v>0</v>
      </c>
      <c r="J83" s="567">
        <v>0</v>
      </c>
      <c r="K83" s="567">
        <v>0</v>
      </c>
      <c r="L83" s="567">
        <v>0</v>
      </c>
      <c r="M83" s="565">
        <v>0</v>
      </c>
      <c r="N83" s="568">
        <v>0</v>
      </c>
      <c r="O83" s="37"/>
      <c r="P83" s="37"/>
      <c r="Q83" s="550"/>
    </row>
    <row r="84" spans="1:17" ht="13" x14ac:dyDescent="0.3">
      <c r="A84" s="36"/>
      <c r="B84" s="142" t="str">
        <f>INVERSIONS!A85</f>
        <v>Altres instal·lacions</v>
      </c>
      <c r="C84" s="130">
        <f>SUM(C85:C86)</f>
        <v>0</v>
      </c>
      <c r="D84" s="130">
        <f t="shared" ref="D84:N84" si="12">SUM(D85:D86)</f>
        <v>0</v>
      </c>
      <c r="E84" s="130">
        <f t="shared" si="12"/>
        <v>0</v>
      </c>
      <c r="F84" s="130">
        <f t="shared" si="12"/>
        <v>0</v>
      </c>
      <c r="G84" s="130">
        <f t="shared" si="12"/>
        <v>0</v>
      </c>
      <c r="H84" s="130">
        <f t="shared" si="12"/>
        <v>0</v>
      </c>
      <c r="I84" s="130">
        <f t="shared" si="12"/>
        <v>0</v>
      </c>
      <c r="J84" s="130">
        <f t="shared" si="12"/>
        <v>0</v>
      </c>
      <c r="K84" s="130">
        <f t="shared" si="12"/>
        <v>0</v>
      </c>
      <c r="L84" s="130">
        <f t="shared" si="12"/>
        <v>0</v>
      </c>
      <c r="M84" s="130">
        <f t="shared" si="12"/>
        <v>0</v>
      </c>
      <c r="N84" s="570">
        <f t="shared" si="12"/>
        <v>0</v>
      </c>
      <c r="O84" s="37"/>
      <c r="P84" s="37"/>
      <c r="Q84" s="550"/>
    </row>
    <row r="85" spans="1:17" x14ac:dyDescent="0.25">
      <c r="A85" s="36"/>
      <c r="B85" s="143" t="str">
        <f>INVERSIONS!A86</f>
        <v>Amb projecte</v>
      </c>
      <c r="C85" s="569">
        <v>0</v>
      </c>
      <c r="D85" s="569">
        <v>0</v>
      </c>
      <c r="E85" s="569">
        <v>0</v>
      </c>
      <c r="F85" s="569">
        <v>0</v>
      </c>
      <c r="G85" s="569">
        <v>0</v>
      </c>
      <c r="H85" s="569">
        <v>0</v>
      </c>
      <c r="I85" s="569">
        <v>0</v>
      </c>
      <c r="J85" s="569">
        <v>0</v>
      </c>
      <c r="K85" s="569">
        <v>0</v>
      </c>
      <c r="L85" s="569">
        <v>0</v>
      </c>
      <c r="M85" s="569">
        <v>0</v>
      </c>
      <c r="N85" s="572">
        <v>0</v>
      </c>
      <c r="O85" s="37"/>
      <c r="P85" s="37"/>
      <c r="Q85" s="550"/>
    </row>
    <row r="86" spans="1:17" x14ac:dyDescent="0.25">
      <c r="A86" s="36"/>
      <c r="B86" s="143" t="str">
        <f>INVERSIONS!A87</f>
        <v>Sense projecte</v>
      </c>
      <c r="C86" s="573">
        <v>0</v>
      </c>
      <c r="D86" s="573">
        <v>0</v>
      </c>
      <c r="E86" s="573">
        <v>0</v>
      </c>
      <c r="F86" s="573">
        <v>0</v>
      </c>
      <c r="G86" s="573">
        <v>0</v>
      </c>
      <c r="H86" s="573">
        <v>0</v>
      </c>
      <c r="I86" s="573">
        <v>0</v>
      </c>
      <c r="J86" s="573">
        <v>0</v>
      </c>
      <c r="K86" s="573">
        <v>0</v>
      </c>
      <c r="L86" s="569">
        <v>0</v>
      </c>
      <c r="M86" s="569">
        <v>0</v>
      </c>
      <c r="N86" s="574">
        <v>0</v>
      </c>
      <c r="O86" s="37"/>
      <c r="P86" s="37"/>
      <c r="Q86" s="550"/>
    </row>
    <row r="87" spans="1:17" ht="13" x14ac:dyDescent="0.3">
      <c r="A87" s="36"/>
      <c r="B87" s="142" t="str">
        <f>INVERSIONS!A88</f>
        <v>Mobiliari</v>
      </c>
      <c r="C87" s="567">
        <v>0</v>
      </c>
      <c r="D87" s="567">
        <v>0</v>
      </c>
      <c r="E87" s="567">
        <v>0</v>
      </c>
      <c r="F87" s="567">
        <v>0</v>
      </c>
      <c r="G87" s="567">
        <v>0</v>
      </c>
      <c r="H87" s="567">
        <v>0</v>
      </c>
      <c r="I87" s="567">
        <v>0</v>
      </c>
      <c r="J87" s="567">
        <v>0</v>
      </c>
      <c r="K87" s="567">
        <v>0</v>
      </c>
      <c r="L87" s="567">
        <v>0</v>
      </c>
      <c r="M87" s="567">
        <v>0</v>
      </c>
      <c r="N87" s="568">
        <v>0</v>
      </c>
      <c r="O87" s="37"/>
      <c r="P87" s="37"/>
      <c r="Q87" s="550"/>
    </row>
    <row r="88" spans="1:17" ht="13" x14ac:dyDescent="0.3">
      <c r="A88" s="36"/>
      <c r="B88" s="142" t="str">
        <f>INVERSIONS!A89</f>
        <v>Equips processos informació</v>
      </c>
      <c r="C88" s="567">
        <v>0</v>
      </c>
      <c r="D88" s="567">
        <v>0</v>
      </c>
      <c r="E88" s="567">
        <v>0</v>
      </c>
      <c r="F88" s="567">
        <v>0</v>
      </c>
      <c r="G88" s="567">
        <v>0</v>
      </c>
      <c r="H88" s="567">
        <v>0</v>
      </c>
      <c r="I88" s="567">
        <v>0</v>
      </c>
      <c r="J88" s="567">
        <v>0</v>
      </c>
      <c r="K88" s="567">
        <v>0</v>
      </c>
      <c r="L88" s="567">
        <v>0</v>
      </c>
      <c r="M88" s="567">
        <v>0</v>
      </c>
      <c r="N88" s="568">
        <v>0</v>
      </c>
      <c r="O88" s="37"/>
      <c r="P88" s="37"/>
      <c r="Q88" s="550"/>
    </row>
    <row r="89" spans="1:17" ht="13" x14ac:dyDescent="0.3">
      <c r="A89" s="36"/>
      <c r="B89" s="142" t="str">
        <f>INVERSIONS!A90</f>
        <v>Elements de transport</v>
      </c>
      <c r="C89" s="567">
        <v>0</v>
      </c>
      <c r="D89" s="567">
        <v>0</v>
      </c>
      <c r="E89" s="567">
        <v>0</v>
      </c>
      <c r="F89" s="567">
        <v>0</v>
      </c>
      <c r="G89" s="567">
        <v>0</v>
      </c>
      <c r="H89" s="567">
        <v>0</v>
      </c>
      <c r="I89" s="567">
        <v>0</v>
      </c>
      <c r="J89" s="567">
        <v>0</v>
      </c>
      <c r="K89" s="567">
        <v>0</v>
      </c>
      <c r="L89" s="567">
        <v>0</v>
      </c>
      <c r="M89" s="567">
        <v>0</v>
      </c>
      <c r="N89" s="568">
        <v>0</v>
      </c>
      <c r="O89" s="37"/>
      <c r="P89" s="37"/>
      <c r="Q89" s="550"/>
    </row>
    <row r="90" spans="1:17" ht="13" x14ac:dyDescent="0.3">
      <c r="A90" s="36"/>
      <c r="B90" s="142" t="str">
        <f>INVERSIONS!A91</f>
        <v>Altre immobilitzat material</v>
      </c>
      <c r="C90" s="575">
        <v>0</v>
      </c>
      <c r="D90" s="575">
        <v>0</v>
      </c>
      <c r="E90" s="575">
        <v>0</v>
      </c>
      <c r="F90" s="575">
        <v>0</v>
      </c>
      <c r="G90" s="575">
        <v>0</v>
      </c>
      <c r="H90" s="575">
        <v>0</v>
      </c>
      <c r="I90" s="575">
        <v>0</v>
      </c>
      <c r="J90" s="575">
        <v>0</v>
      </c>
      <c r="K90" s="575">
        <v>0</v>
      </c>
      <c r="L90" s="567">
        <v>0</v>
      </c>
      <c r="M90" s="567">
        <v>0</v>
      </c>
      <c r="N90" s="576">
        <v>0</v>
      </c>
      <c r="O90" s="37"/>
      <c r="P90" s="37"/>
      <c r="Q90" s="550"/>
    </row>
    <row r="91" spans="1:17" ht="13" x14ac:dyDescent="0.3">
      <c r="A91" s="36"/>
      <c r="B91" s="86" t="str">
        <f>INVERSIONS!A92</f>
        <v>FIANCES I DIPÒSITS A LLARG TERMINI</v>
      </c>
      <c r="C91" s="136">
        <f t="shared" ref="C91:N91" si="13">SUM(C92:C93)</f>
        <v>0</v>
      </c>
      <c r="D91" s="136">
        <f t="shared" si="13"/>
        <v>0</v>
      </c>
      <c r="E91" s="136">
        <f t="shared" si="13"/>
        <v>0</v>
      </c>
      <c r="F91" s="136">
        <f t="shared" si="13"/>
        <v>0</v>
      </c>
      <c r="G91" s="136">
        <f t="shared" si="13"/>
        <v>0</v>
      </c>
      <c r="H91" s="136">
        <f t="shared" si="13"/>
        <v>0</v>
      </c>
      <c r="I91" s="136">
        <f t="shared" si="13"/>
        <v>0</v>
      </c>
      <c r="J91" s="136">
        <f t="shared" si="13"/>
        <v>0</v>
      </c>
      <c r="K91" s="136">
        <f t="shared" si="13"/>
        <v>0</v>
      </c>
      <c r="L91" s="136">
        <f t="shared" si="13"/>
        <v>0</v>
      </c>
      <c r="M91" s="136">
        <f t="shared" si="13"/>
        <v>0</v>
      </c>
      <c r="N91" s="564">
        <f t="shared" si="13"/>
        <v>0</v>
      </c>
      <c r="O91" s="37"/>
      <c r="P91" s="37"/>
      <c r="Q91" s="550"/>
    </row>
    <row r="92" spans="1:17" ht="13" x14ac:dyDescent="0.3">
      <c r="A92" s="36"/>
      <c r="B92" s="142" t="str">
        <f>INVERSIONS!A93</f>
        <v>Fiances a llarg termini</v>
      </c>
      <c r="C92" s="565">
        <v>0</v>
      </c>
      <c r="D92" s="565">
        <v>0</v>
      </c>
      <c r="E92" s="565">
        <v>0</v>
      </c>
      <c r="F92" s="565">
        <v>0</v>
      </c>
      <c r="G92" s="565">
        <v>0</v>
      </c>
      <c r="H92" s="565">
        <v>0</v>
      </c>
      <c r="I92" s="565">
        <v>0</v>
      </c>
      <c r="J92" s="565">
        <v>0</v>
      </c>
      <c r="K92" s="565">
        <v>0</v>
      </c>
      <c r="L92" s="565">
        <v>0</v>
      </c>
      <c r="M92" s="565">
        <v>0</v>
      </c>
      <c r="N92" s="566">
        <v>0</v>
      </c>
      <c r="O92" s="37"/>
      <c r="P92" s="37"/>
      <c r="Q92" s="550"/>
    </row>
    <row r="93" spans="1:17" ht="13" x14ac:dyDescent="0.3">
      <c r="A93" s="36"/>
      <c r="B93" s="142" t="str">
        <f>INVERSIONS!A94</f>
        <v>Dipòsits a llarg termini</v>
      </c>
      <c r="C93" s="575">
        <v>0</v>
      </c>
      <c r="D93" s="575">
        <v>0</v>
      </c>
      <c r="E93" s="575">
        <v>0</v>
      </c>
      <c r="F93" s="575">
        <v>0</v>
      </c>
      <c r="G93" s="575">
        <v>0</v>
      </c>
      <c r="H93" s="575">
        <v>0</v>
      </c>
      <c r="I93" s="575">
        <v>0</v>
      </c>
      <c r="J93" s="575">
        <v>0</v>
      </c>
      <c r="K93" s="575">
        <v>0</v>
      </c>
      <c r="L93" s="575">
        <v>0</v>
      </c>
      <c r="M93" s="565">
        <v>0</v>
      </c>
      <c r="N93" s="576">
        <v>0</v>
      </c>
      <c r="O93" s="37"/>
      <c r="P93" s="37"/>
      <c r="Q93" s="550"/>
    </row>
    <row r="94" spans="1:17" ht="13" x14ac:dyDescent="0.3">
      <c r="A94" s="36"/>
      <c r="B94" s="144" t="str">
        <f>INVERSIONS!A95</f>
        <v>TOTAL</v>
      </c>
      <c r="C94" s="136">
        <f t="shared" ref="C94:N94" si="14">C91+C80+C76</f>
        <v>0</v>
      </c>
      <c r="D94" s="136">
        <f t="shared" si="14"/>
        <v>0</v>
      </c>
      <c r="E94" s="136">
        <f t="shared" si="14"/>
        <v>0</v>
      </c>
      <c r="F94" s="136">
        <f t="shared" si="14"/>
        <v>0</v>
      </c>
      <c r="G94" s="136">
        <f t="shared" si="14"/>
        <v>0</v>
      </c>
      <c r="H94" s="136">
        <f t="shared" si="14"/>
        <v>0</v>
      </c>
      <c r="I94" s="136">
        <f t="shared" si="14"/>
        <v>0</v>
      </c>
      <c r="J94" s="136">
        <f t="shared" si="14"/>
        <v>0</v>
      </c>
      <c r="K94" s="136">
        <f t="shared" si="14"/>
        <v>0</v>
      </c>
      <c r="L94" s="136">
        <f t="shared" si="14"/>
        <v>0</v>
      </c>
      <c r="M94" s="136">
        <f t="shared" si="14"/>
        <v>0</v>
      </c>
      <c r="N94" s="564">
        <f t="shared" si="14"/>
        <v>0</v>
      </c>
      <c r="O94" s="37"/>
      <c r="P94" s="37"/>
      <c r="Q94" s="550"/>
    </row>
    <row r="95" spans="1:17" ht="13" thickBot="1" x14ac:dyDescent="0.3">
      <c r="A95" s="36"/>
      <c r="B95" s="145"/>
      <c r="C95" s="146"/>
      <c r="D95" s="146"/>
      <c r="E95" s="146"/>
      <c r="F95" s="146"/>
      <c r="G95" s="146"/>
      <c r="H95" s="146"/>
      <c r="I95" s="146"/>
      <c r="J95" s="146"/>
      <c r="K95" s="146"/>
      <c r="L95" s="146"/>
      <c r="M95" s="146"/>
      <c r="N95" s="581"/>
      <c r="O95" s="37"/>
      <c r="P95" s="37"/>
      <c r="Q95" s="550"/>
    </row>
    <row r="96" spans="1:17" ht="14" hidden="1" x14ac:dyDescent="0.3">
      <c r="A96" s="36"/>
      <c r="B96" s="147" t="s">
        <v>109</v>
      </c>
      <c r="Q96" s="582"/>
    </row>
    <row r="97" spans="1:17" ht="13" hidden="1" x14ac:dyDescent="0.3">
      <c r="A97" s="36"/>
      <c r="C97" s="148" t="str">
        <f>INVERSIONS!B99</f>
        <v>PRIMER ANY</v>
      </c>
      <c r="D97" s="148" t="str">
        <f>INVERSIONS!E99</f>
        <v>SEGON ANY</v>
      </c>
      <c r="E97" s="149" t="str">
        <f>INVERSIONS!I99</f>
        <v>TERCER ANY</v>
      </c>
      <c r="G97" s="150"/>
      <c r="H97" s="150"/>
      <c r="I97" s="150"/>
      <c r="J97" s="150"/>
      <c r="K97" s="150"/>
      <c r="L97" s="150"/>
      <c r="M97" s="150"/>
      <c r="Q97" s="582"/>
    </row>
    <row r="98" spans="1:17" ht="13" hidden="1" x14ac:dyDescent="0.3">
      <c r="A98" s="36"/>
      <c r="B98" s="120" t="s">
        <v>110</v>
      </c>
      <c r="C98" s="151" t="str">
        <f>INVERSIONS!C100</f>
        <v>DISMINUCIONS</v>
      </c>
      <c r="D98" s="151" t="str">
        <f>INVERSIONS!G100</f>
        <v>DISMINUCIONS</v>
      </c>
      <c r="E98" s="151" t="str">
        <f>INVERSIONS!K100</f>
        <v>DISMINUCIONS</v>
      </c>
      <c r="F98" s="152"/>
      <c r="G98" s="152"/>
      <c r="I98" s="152"/>
      <c r="J98" s="152"/>
      <c r="K98" s="152"/>
      <c r="L98" s="152"/>
      <c r="M98" s="152"/>
      <c r="Q98" s="582"/>
    </row>
    <row r="99" spans="1:17" ht="13" hidden="1" x14ac:dyDescent="0.3">
      <c r="A99" s="36"/>
      <c r="B99" s="153" t="e">
        <f>INVERSIONS!#REF!</f>
        <v>#REF!</v>
      </c>
      <c r="C99" s="154" t="e">
        <f>SUM(C100:C102)</f>
        <v>#REF!</v>
      </c>
      <c r="D99" s="154" t="e">
        <f>SUM(D100:D102)</f>
        <v>#REF!</v>
      </c>
      <c r="E99" s="155" t="e">
        <f>SUM(E100:E102)</f>
        <v>#REF!</v>
      </c>
      <c r="F99" s="18"/>
      <c r="G99" s="18"/>
      <c r="I99" s="18"/>
      <c r="J99" s="18"/>
      <c r="K99" s="18"/>
      <c r="L99" s="18"/>
      <c r="M99" s="18"/>
      <c r="Q99" s="582"/>
    </row>
    <row r="100" spans="1:17" hidden="1" x14ac:dyDescent="0.25">
      <c r="A100" s="36"/>
      <c r="B100" s="156" t="e">
        <f>INVERSIONS!#REF!</f>
        <v>#REF!</v>
      </c>
      <c r="C100" s="157" t="e">
        <f>#REF!*#REF!</f>
        <v>#REF!</v>
      </c>
      <c r="D100" s="157" t="e">
        <f>#REF!*#REF!</f>
        <v>#REF!</v>
      </c>
      <c r="E100" s="158" t="e">
        <f>IF(#REF!&lt;=50%,#REF!*#REF!,#REF!-D100)+#REF!*#REF!</f>
        <v>#REF!</v>
      </c>
      <c r="F100" s="159"/>
      <c r="G100" s="159"/>
      <c r="I100" s="159"/>
      <c r="J100" s="159"/>
      <c r="K100" s="159"/>
      <c r="L100" s="159"/>
      <c r="M100" s="159"/>
      <c r="Q100" s="582"/>
    </row>
    <row r="101" spans="1:17" hidden="1" x14ac:dyDescent="0.25">
      <c r="A101" s="36"/>
      <c r="B101" s="156" t="e">
        <f>INVERSIONS!#REF!</f>
        <v>#REF!</v>
      </c>
      <c r="C101" s="160" t="e">
        <f>#REF!*#REF!</f>
        <v>#REF!</v>
      </c>
      <c r="D101" s="160" t="e">
        <f>#REF!*#REF!</f>
        <v>#REF!</v>
      </c>
      <c r="E101" s="161" t="e">
        <f>IF(#REF!&lt;=50%,#REF!*#REF!,#REF!-D101)+#REF!*#REF!</f>
        <v>#REF!</v>
      </c>
      <c r="F101" s="159"/>
      <c r="G101" s="159"/>
      <c r="I101" s="159"/>
      <c r="J101" s="159"/>
      <c r="K101" s="159"/>
      <c r="L101" s="159"/>
      <c r="M101" s="159"/>
      <c r="Q101" s="582"/>
    </row>
    <row r="102" spans="1:17" hidden="1" x14ac:dyDescent="0.25">
      <c r="A102" s="36"/>
      <c r="B102" s="156" t="e">
        <f>INVERSIONS!#REF!</f>
        <v>#REF!</v>
      </c>
      <c r="C102" s="162" t="e">
        <f>#REF!*#REF!</f>
        <v>#REF!</v>
      </c>
      <c r="D102" s="162" t="e">
        <f>#REF!*#REF!</f>
        <v>#REF!</v>
      </c>
      <c r="E102" s="163" t="e">
        <f>IF(#REF!&lt;=50%,#REF!*#REF!,#REF!-D102)+#REF!*#REF!</f>
        <v>#REF!</v>
      </c>
      <c r="F102" s="159"/>
      <c r="G102" s="159"/>
      <c r="I102" s="159"/>
      <c r="J102" s="159"/>
      <c r="K102" s="159"/>
      <c r="L102" s="159"/>
      <c r="M102" s="159"/>
      <c r="Q102" s="582"/>
    </row>
    <row r="103" spans="1:17" ht="13" hidden="1" x14ac:dyDescent="0.3">
      <c r="A103" s="36"/>
      <c r="B103" s="153" t="str">
        <f>INVERSIONS!A101</f>
        <v>INVERSIONS IMMATERIALS</v>
      </c>
      <c r="C103" s="164"/>
      <c r="D103" s="164"/>
      <c r="E103" s="165"/>
      <c r="F103" s="18"/>
      <c r="G103" s="18"/>
      <c r="I103" s="18"/>
      <c r="J103" s="18"/>
      <c r="K103" s="18"/>
      <c r="L103" s="18"/>
      <c r="M103" s="18"/>
      <c r="Q103" s="582"/>
    </row>
    <row r="104" spans="1:17" hidden="1" x14ac:dyDescent="0.25">
      <c r="A104" s="36"/>
      <c r="B104" s="156" t="str">
        <f>INVERSIONS!A102</f>
        <v>Propietat industrial (patents i marques)</v>
      </c>
      <c r="C104" s="583">
        <v>0</v>
      </c>
      <c r="D104" s="583">
        <v>0</v>
      </c>
      <c r="E104" s="584">
        <v>0</v>
      </c>
      <c r="F104" s="159"/>
      <c r="G104" s="159"/>
      <c r="I104" s="159"/>
      <c r="J104" s="159"/>
      <c r="K104" s="159"/>
      <c r="L104" s="585"/>
      <c r="M104" s="159"/>
      <c r="Q104" s="582"/>
    </row>
    <row r="105" spans="1:17" hidden="1" x14ac:dyDescent="0.25">
      <c r="A105" s="36"/>
      <c r="B105" s="156" t="str">
        <f>INVERSIONS!A103</f>
        <v>Drets de traspàs</v>
      </c>
      <c r="C105" s="586">
        <v>0</v>
      </c>
      <c r="D105" s="586">
        <v>0</v>
      </c>
      <c r="E105" s="587">
        <v>0</v>
      </c>
      <c r="F105" s="159"/>
      <c r="G105" s="159"/>
      <c r="I105" s="159"/>
      <c r="J105" s="159"/>
      <c r="K105" s="159"/>
      <c r="L105" s="585"/>
      <c r="M105" s="159"/>
      <c r="Q105" s="582"/>
    </row>
    <row r="106" spans="1:17" hidden="1" x14ac:dyDescent="0.25">
      <c r="A106" s="36"/>
      <c r="B106" s="156" t="str">
        <f>INVERSIONS!A104</f>
        <v>Aplicacions informàtiques</v>
      </c>
      <c r="C106" s="586">
        <v>0</v>
      </c>
      <c r="D106" s="586">
        <v>0</v>
      </c>
      <c r="E106" s="587">
        <v>0</v>
      </c>
      <c r="F106" s="159"/>
      <c r="G106" s="159"/>
      <c r="I106" s="159"/>
      <c r="J106" s="159"/>
      <c r="K106" s="159"/>
      <c r="L106" s="585"/>
      <c r="M106" s="159"/>
      <c r="Q106" s="582"/>
    </row>
    <row r="107" spans="1:17" hidden="1" x14ac:dyDescent="0.25">
      <c r="A107" s="36"/>
      <c r="B107" s="156" t="e">
        <f>INVERSIONS!#REF!</f>
        <v>#REF!</v>
      </c>
      <c r="C107" s="588"/>
      <c r="D107" s="588"/>
      <c r="E107" s="589"/>
      <c r="F107" s="159"/>
      <c r="G107" s="159"/>
      <c r="I107" s="159"/>
      <c r="J107" s="159"/>
      <c r="K107" s="159"/>
      <c r="L107" s="585"/>
      <c r="M107" s="159"/>
      <c r="Q107" s="582"/>
    </row>
    <row r="108" spans="1:17" hidden="1" x14ac:dyDescent="0.25">
      <c r="A108" s="36"/>
      <c r="B108" s="172" t="e">
        <f>INVERSIONS!#REF!</f>
        <v>#REF!</v>
      </c>
      <c r="C108" s="590">
        <v>0</v>
      </c>
      <c r="D108" s="590">
        <v>0</v>
      </c>
      <c r="E108" s="591">
        <v>0</v>
      </c>
      <c r="F108" s="159"/>
      <c r="G108" s="159"/>
      <c r="I108" s="159"/>
      <c r="J108" s="159"/>
      <c r="K108" s="159"/>
      <c r="L108" s="585"/>
      <c r="M108" s="159"/>
      <c r="Q108" s="582"/>
    </row>
    <row r="109" spans="1:17" hidden="1" x14ac:dyDescent="0.25">
      <c r="A109" s="36"/>
      <c r="B109" s="172" t="e">
        <f>INVERSIONS!#REF!</f>
        <v>#REF!</v>
      </c>
      <c r="C109" s="590">
        <v>0</v>
      </c>
      <c r="D109" s="590">
        <v>0</v>
      </c>
      <c r="E109" s="591">
        <v>0</v>
      </c>
      <c r="F109" s="159"/>
      <c r="G109" s="159"/>
      <c r="I109" s="159"/>
      <c r="J109" s="159"/>
      <c r="K109" s="159"/>
      <c r="L109" s="585"/>
      <c r="M109" s="159"/>
      <c r="Q109" s="582"/>
    </row>
    <row r="110" spans="1:17" hidden="1" x14ac:dyDescent="0.25">
      <c r="A110" s="36"/>
      <c r="B110" s="172" t="e">
        <f>INVERSIONS!#REF!</f>
        <v>#REF!</v>
      </c>
      <c r="C110" s="592">
        <v>0</v>
      </c>
      <c r="D110" s="592">
        <v>0</v>
      </c>
      <c r="E110" s="593">
        <v>0</v>
      </c>
      <c r="F110" s="159"/>
      <c r="G110" s="159"/>
      <c r="I110" s="159"/>
      <c r="J110" s="159"/>
      <c r="K110" s="159"/>
      <c r="L110" s="585"/>
      <c r="M110" s="159"/>
      <c r="Q110" s="582"/>
    </row>
    <row r="111" spans="1:17" ht="13" hidden="1" x14ac:dyDescent="0.3">
      <c r="A111" s="36"/>
      <c r="B111" s="153" t="str">
        <f>INVERSIONS!A105</f>
        <v>INVERSIONS MATERIALS</v>
      </c>
      <c r="C111" s="164"/>
      <c r="D111" s="164"/>
      <c r="E111" s="165"/>
      <c r="F111" s="18"/>
      <c r="G111" s="18"/>
      <c r="I111" s="18"/>
      <c r="J111" s="18"/>
      <c r="K111" s="18"/>
      <c r="L111" s="18"/>
      <c r="M111" s="18"/>
      <c r="Q111" s="582"/>
    </row>
    <row r="112" spans="1:17" hidden="1" x14ac:dyDescent="0.25">
      <c r="A112" s="36"/>
      <c r="B112" s="177" t="str">
        <f>INVERSIONS!A106</f>
        <v>Terrenys</v>
      </c>
      <c r="C112" s="583">
        <v>0</v>
      </c>
      <c r="D112" s="583">
        <v>0</v>
      </c>
      <c r="E112" s="584">
        <v>0</v>
      </c>
      <c r="F112" s="159"/>
      <c r="G112" s="159"/>
      <c r="I112" s="159"/>
      <c r="J112" s="159"/>
      <c r="K112" s="159"/>
      <c r="L112" s="585"/>
      <c r="M112" s="159"/>
      <c r="Q112" s="582"/>
    </row>
    <row r="113" spans="1:17" hidden="1" x14ac:dyDescent="0.25">
      <c r="A113" s="36"/>
      <c r="B113" s="177" t="str">
        <f>INVERSIONS!A107</f>
        <v>Construccions</v>
      </c>
      <c r="C113" s="586">
        <v>0</v>
      </c>
      <c r="D113" s="586">
        <v>0</v>
      </c>
      <c r="E113" s="587">
        <v>0</v>
      </c>
      <c r="F113" s="159"/>
      <c r="G113" s="159"/>
      <c r="I113" s="159"/>
      <c r="J113" s="159"/>
      <c r="K113" s="159"/>
      <c r="L113" s="585"/>
      <c r="M113" s="159"/>
      <c r="Q113" s="582"/>
    </row>
    <row r="114" spans="1:17" hidden="1" x14ac:dyDescent="0.25">
      <c r="A114" s="36"/>
      <c r="B114" s="177" t="str">
        <f>INVERSIONS!A108</f>
        <v>Maquinària</v>
      </c>
      <c r="C114" s="586">
        <v>0</v>
      </c>
      <c r="D114" s="586">
        <v>0</v>
      </c>
      <c r="E114" s="587">
        <v>0</v>
      </c>
      <c r="F114" s="159"/>
      <c r="G114" s="159"/>
      <c r="I114" s="159"/>
      <c r="J114" s="159"/>
      <c r="K114" s="159"/>
      <c r="L114" s="585"/>
      <c r="M114" s="159"/>
      <c r="Q114" s="582"/>
    </row>
    <row r="115" spans="1:17" hidden="1" x14ac:dyDescent="0.25">
      <c r="A115" s="36"/>
      <c r="B115" s="177" t="str">
        <f>INVERSIONS!A109</f>
        <v>Altres instal·lacions</v>
      </c>
      <c r="C115" s="586">
        <v>0</v>
      </c>
      <c r="D115" s="586">
        <v>0</v>
      </c>
      <c r="E115" s="587">
        <v>0</v>
      </c>
      <c r="F115" s="159"/>
      <c r="G115" s="159"/>
      <c r="I115" s="159"/>
      <c r="J115" s="159"/>
      <c r="K115" s="159"/>
      <c r="L115" s="585"/>
      <c r="M115" s="159"/>
      <c r="Q115" s="582"/>
    </row>
    <row r="116" spans="1:17" hidden="1" x14ac:dyDescent="0.25">
      <c r="A116" s="36"/>
      <c r="B116" s="177" t="str">
        <f>INVERSIONS!A110</f>
        <v>Mobiliari</v>
      </c>
      <c r="C116" s="586">
        <v>0</v>
      </c>
      <c r="D116" s="586">
        <v>0</v>
      </c>
      <c r="E116" s="587">
        <v>0</v>
      </c>
      <c r="F116" s="159"/>
      <c r="G116" s="159"/>
      <c r="I116" s="159"/>
      <c r="J116" s="159"/>
      <c r="K116" s="159"/>
      <c r="L116" s="585"/>
      <c r="M116" s="159"/>
      <c r="Q116" s="582"/>
    </row>
    <row r="117" spans="1:17" hidden="1" x14ac:dyDescent="0.25">
      <c r="A117" s="36"/>
      <c r="B117" s="177" t="str">
        <f>INVERSIONS!A111</f>
        <v>Equips processos informació</v>
      </c>
      <c r="C117" s="586">
        <v>0</v>
      </c>
      <c r="D117" s="586">
        <v>0</v>
      </c>
      <c r="E117" s="587">
        <v>0</v>
      </c>
      <c r="F117" s="159"/>
      <c r="G117" s="159"/>
      <c r="I117" s="159"/>
      <c r="J117" s="159"/>
      <c r="K117" s="159"/>
      <c r="L117" s="585"/>
      <c r="M117" s="159"/>
      <c r="Q117" s="582"/>
    </row>
    <row r="118" spans="1:17" hidden="1" x14ac:dyDescent="0.25">
      <c r="A118" s="36"/>
      <c r="B118" s="177" t="str">
        <f>INVERSIONS!A112</f>
        <v>Elements de transport</v>
      </c>
      <c r="C118" s="586">
        <v>0</v>
      </c>
      <c r="D118" s="586">
        <v>0</v>
      </c>
      <c r="E118" s="587">
        <v>0</v>
      </c>
      <c r="F118" s="159"/>
      <c r="G118" s="159"/>
      <c r="I118" s="159"/>
      <c r="J118" s="159"/>
      <c r="K118" s="159"/>
      <c r="L118" s="585"/>
      <c r="M118" s="159"/>
      <c r="Q118" s="582"/>
    </row>
    <row r="119" spans="1:17" hidden="1" x14ac:dyDescent="0.25">
      <c r="A119" s="36"/>
      <c r="B119" s="177" t="str">
        <f>INVERSIONS!A113</f>
        <v>Altre immobilitzat material</v>
      </c>
      <c r="C119" s="594">
        <v>0</v>
      </c>
      <c r="D119" s="594">
        <v>0</v>
      </c>
      <c r="E119" s="595">
        <v>0</v>
      </c>
      <c r="F119" s="159"/>
      <c r="G119" s="159"/>
      <c r="I119" s="159"/>
      <c r="J119" s="159"/>
      <c r="K119" s="159"/>
      <c r="L119" s="585"/>
      <c r="M119" s="159"/>
      <c r="Q119" s="582"/>
    </row>
    <row r="120" spans="1:17" ht="13" hidden="1" x14ac:dyDescent="0.3">
      <c r="A120" s="36"/>
      <c r="B120" s="153" t="str">
        <f>INVERSIONS!A114</f>
        <v>FIANCES I DIPÒSITS A LLARG TERMINI</v>
      </c>
      <c r="C120" s="164"/>
      <c r="D120" s="164"/>
      <c r="E120" s="165"/>
      <c r="F120" s="18"/>
      <c r="G120" s="18"/>
      <c r="I120" s="18"/>
      <c r="J120" s="18"/>
      <c r="K120" s="18"/>
      <c r="L120" s="18"/>
      <c r="M120" s="18"/>
      <c r="Q120" s="582"/>
    </row>
    <row r="121" spans="1:17" hidden="1" x14ac:dyDescent="0.25">
      <c r="A121" s="36"/>
      <c r="B121" s="177" t="str">
        <f>INVERSIONS!A115</f>
        <v>Fiances a llarg termini</v>
      </c>
      <c r="C121" s="583">
        <v>0</v>
      </c>
      <c r="D121" s="583">
        <v>0</v>
      </c>
      <c r="E121" s="584">
        <v>0</v>
      </c>
      <c r="F121" s="159"/>
      <c r="G121" s="159"/>
      <c r="I121" s="159"/>
      <c r="J121" s="159"/>
      <c r="K121" s="159"/>
      <c r="L121" s="585"/>
      <c r="M121" s="159"/>
      <c r="Q121" s="582"/>
    </row>
    <row r="122" spans="1:17" hidden="1" x14ac:dyDescent="0.25">
      <c r="A122" s="36"/>
      <c r="B122" s="180" t="str">
        <f>INVERSIONS!A116</f>
        <v>Dipòsits a llarg termini</v>
      </c>
      <c r="C122" s="594">
        <v>0</v>
      </c>
      <c r="D122" s="594">
        <v>0</v>
      </c>
      <c r="E122" s="595">
        <v>0</v>
      </c>
      <c r="F122" s="159"/>
      <c r="G122" s="159"/>
      <c r="I122" s="159"/>
      <c r="J122" s="159"/>
      <c r="K122" s="159"/>
      <c r="L122" s="585"/>
      <c r="M122" s="159"/>
      <c r="Q122" s="582"/>
    </row>
    <row r="123" spans="1:17" s="182" customFormat="1" hidden="1" x14ac:dyDescent="0.25">
      <c r="A123" s="181"/>
      <c r="Q123" s="596"/>
    </row>
    <row r="124" spans="1:17" ht="13" thickBot="1" x14ac:dyDescent="0.3">
      <c r="A124" s="36"/>
      <c r="B124" s="37"/>
      <c r="C124" s="37"/>
      <c r="D124" s="37"/>
      <c r="E124" s="37"/>
      <c r="F124" s="37"/>
      <c r="G124" s="37"/>
      <c r="H124" s="37"/>
      <c r="I124" s="37"/>
      <c r="J124" s="37"/>
      <c r="K124" s="37"/>
      <c r="L124" s="37"/>
      <c r="M124" s="37"/>
      <c r="N124" s="37"/>
      <c r="O124" s="37"/>
      <c r="P124" s="37"/>
      <c r="Q124" s="550"/>
    </row>
    <row r="125" spans="1:17" ht="16" thickBot="1" x14ac:dyDescent="0.4">
      <c r="A125" s="42">
        <v>2</v>
      </c>
      <c r="B125" s="43" t="s">
        <v>111</v>
      </c>
      <c r="C125" s="37"/>
      <c r="D125" s="37"/>
      <c r="E125" s="37"/>
      <c r="F125" s="37"/>
      <c r="G125" s="37"/>
      <c r="H125" s="37"/>
      <c r="I125" s="37"/>
      <c r="J125" s="37"/>
      <c r="K125" s="37"/>
      <c r="L125" s="37"/>
      <c r="M125" s="37"/>
      <c r="N125" s="37"/>
      <c r="O125" s="37"/>
      <c r="P125" s="37"/>
      <c r="Q125" s="550"/>
    </row>
    <row r="126" spans="1:17" x14ac:dyDescent="0.25">
      <c r="A126" s="36"/>
      <c r="B126" s="183"/>
      <c r="C126" s="46"/>
      <c r="D126" s="46"/>
      <c r="E126" s="47"/>
      <c r="F126" s="37"/>
      <c r="G126" s="37"/>
      <c r="H126" s="37"/>
      <c r="I126" s="37"/>
      <c r="J126" s="37"/>
      <c r="K126" s="37"/>
      <c r="L126" s="37"/>
      <c r="M126" s="37"/>
      <c r="N126" s="37"/>
      <c r="O126" s="37"/>
      <c r="P126" s="37"/>
      <c r="Q126" s="550"/>
    </row>
    <row r="127" spans="1:17" ht="13" x14ac:dyDescent="0.3">
      <c r="A127" s="36"/>
      <c r="B127" s="184"/>
      <c r="C127" s="597" t="s">
        <v>123</v>
      </c>
      <c r="D127" s="597" t="s">
        <v>124</v>
      </c>
      <c r="E127" s="598" t="s">
        <v>125</v>
      </c>
      <c r="F127" s="37"/>
      <c r="G127" s="37"/>
      <c r="H127" s="37"/>
      <c r="I127" s="37"/>
      <c r="J127" s="37"/>
      <c r="K127" s="37"/>
      <c r="L127" s="37"/>
      <c r="M127" s="37"/>
      <c r="N127" s="37"/>
      <c r="O127" s="37"/>
      <c r="P127" s="37"/>
      <c r="Q127" s="550"/>
    </row>
    <row r="128" spans="1:17" ht="13" x14ac:dyDescent="0.3">
      <c r="A128" s="36"/>
      <c r="B128" s="599" t="s">
        <v>112</v>
      </c>
      <c r="C128" s="108">
        <f>SUM(C129:C130)</f>
        <v>0</v>
      </c>
      <c r="D128" s="108">
        <f>SUM(D129:D130)</f>
        <v>0</v>
      </c>
      <c r="E128" s="600">
        <f>SUM(E129:E130)</f>
        <v>0</v>
      </c>
      <c r="F128" s="37"/>
      <c r="G128" s="37"/>
      <c r="H128" s="37"/>
      <c r="I128" s="37"/>
      <c r="J128" s="37"/>
      <c r="K128" s="37"/>
      <c r="L128" s="37"/>
      <c r="M128" s="37"/>
      <c r="N128" s="37"/>
      <c r="O128" s="37"/>
      <c r="P128" s="37"/>
      <c r="Q128" s="550"/>
    </row>
    <row r="129" spans="1:17" ht="13" x14ac:dyDescent="0.3">
      <c r="A129" s="36"/>
      <c r="B129" s="601" t="s">
        <v>225</v>
      </c>
      <c r="C129" s="109">
        <v>0</v>
      </c>
      <c r="D129" s="109">
        <v>0</v>
      </c>
      <c r="E129" s="91">
        <v>0</v>
      </c>
      <c r="F129" s="37"/>
      <c r="G129" s="37"/>
      <c r="H129" s="37"/>
      <c r="I129" s="37"/>
      <c r="J129" s="37"/>
      <c r="K129" s="37"/>
      <c r="L129" s="37"/>
      <c r="M129" s="37"/>
      <c r="N129" s="37"/>
      <c r="O129" s="37"/>
      <c r="P129" s="37"/>
      <c r="Q129" s="550"/>
    </row>
    <row r="130" spans="1:17" ht="13" x14ac:dyDescent="0.3">
      <c r="A130" s="36"/>
      <c r="B130" s="601" t="s">
        <v>113</v>
      </c>
      <c r="C130" s="192">
        <v>0</v>
      </c>
      <c r="D130" s="192">
        <v>0</v>
      </c>
      <c r="E130" s="602">
        <v>0</v>
      </c>
      <c r="F130" s="37"/>
      <c r="G130" s="37"/>
      <c r="H130" s="37"/>
      <c r="I130" s="37"/>
      <c r="J130" s="37"/>
      <c r="K130" s="37"/>
      <c r="L130" s="37"/>
      <c r="M130" s="37"/>
      <c r="N130" s="37"/>
      <c r="O130" s="37"/>
      <c r="P130" s="37"/>
      <c r="Q130" s="550"/>
    </row>
    <row r="131" spans="1:17" ht="13" x14ac:dyDescent="0.3">
      <c r="A131" s="36"/>
      <c r="B131" s="599" t="s">
        <v>226</v>
      </c>
      <c r="C131" s="109">
        <v>0</v>
      </c>
      <c r="D131" s="109">
        <v>0</v>
      </c>
      <c r="E131" s="91">
        <v>0</v>
      </c>
      <c r="F131" s="37"/>
      <c r="G131" s="37"/>
      <c r="H131" s="37"/>
      <c r="I131" s="37"/>
      <c r="J131" s="37"/>
      <c r="K131" s="37"/>
      <c r="L131" s="37"/>
      <c r="M131" s="37"/>
      <c r="N131" s="37"/>
      <c r="O131" s="37"/>
      <c r="P131" s="37"/>
      <c r="Q131" s="550"/>
    </row>
    <row r="132" spans="1:17" ht="13" x14ac:dyDescent="0.3">
      <c r="A132" s="36"/>
      <c r="B132" s="599" t="s">
        <v>114</v>
      </c>
      <c r="C132" s="109">
        <v>0</v>
      </c>
      <c r="D132" s="109">
        <v>0</v>
      </c>
      <c r="E132" s="91">
        <v>0</v>
      </c>
      <c r="F132" s="37"/>
      <c r="G132" s="37"/>
      <c r="H132" s="37"/>
      <c r="I132" s="37"/>
      <c r="J132" s="37"/>
      <c r="K132" s="37"/>
      <c r="L132" s="37"/>
      <c r="M132" s="37"/>
      <c r="N132" s="37"/>
      <c r="O132" s="37"/>
      <c r="P132" s="37"/>
      <c r="Q132" s="550"/>
    </row>
    <row r="133" spans="1:17" ht="13" x14ac:dyDescent="0.3">
      <c r="A133" s="36"/>
      <c r="B133" s="599" t="s">
        <v>119</v>
      </c>
      <c r="C133" s="109">
        <v>0</v>
      </c>
      <c r="D133" s="109">
        <v>0</v>
      </c>
      <c r="E133" s="91">
        <v>0</v>
      </c>
      <c r="F133" s="37"/>
      <c r="G133" s="37"/>
      <c r="H133" s="37"/>
      <c r="I133" s="37"/>
      <c r="J133" s="37"/>
      <c r="K133" s="37"/>
      <c r="L133" s="37"/>
      <c r="M133" s="37"/>
      <c r="N133" s="37"/>
      <c r="O133" s="37"/>
      <c r="P133" s="37"/>
      <c r="Q133" s="550"/>
    </row>
    <row r="134" spans="1:17" ht="13" x14ac:dyDescent="0.3">
      <c r="A134" s="36"/>
      <c r="B134" s="603" t="s">
        <v>120</v>
      </c>
      <c r="C134" s="204">
        <f>SUM(C129:C133)</f>
        <v>0</v>
      </c>
      <c r="D134" s="204">
        <f>SUM(D129:D133)</f>
        <v>0</v>
      </c>
      <c r="E134" s="604">
        <f>SUM(E129:E133)</f>
        <v>0</v>
      </c>
      <c r="F134" s="37"/>
      <c r="G134" s="37"/>
      <c r="H134" s="37"/>
      <c r="I134" s="37"/>
      <c r="J134" s="37"/>
      <c r="K134" s="37"/>
      <c r="L134" s="37"/>
      <c r="M134" s="37"/>
      <c r="N134" s="37"/>
      <c r="O134" s="37"/>
      <c r="P134" s="37"/>
      <c r="Q134" s="550"/>
    </row>
    <row r="135" spans="1:17" x14ac:dyDescent="0.25">
      <c r="A135" s="36"/>
      <c r="B135" s="62"/>
      <c r="C135" s="206"/>
      <c r="D135" s="51"/>
      <c r="E135" s="52"/>
      <c r="F135" s="37"/>
      <c r="G135" s="37"/>
      <c r="H135" s="37"/>
      <c r="I135" s="37"/>
      <c r="J135" s="37"/>
      <c r="K135" s="37"/>
      <c r="L135" s="37"/>
      <c r="M135" s="37"/>
      <c r="N135" s="37"/>
      <c r="O135" s="37"/>
      <c r="P135" s="37"/>
      <c r="Q135" s="550"/>
    </row>
    <row r="136" spans="1:17" ht="13" x14ac:dyDescent="0.3">
      <c r="A136" s="36"/>
      <c r="B136" s="605" t="s">
        <v>121</v>
      </c>
      <c r="C136" s="606" t="s">
        <v>16</v>
      </c>
      <c r="D136" s="606" t="s">
        <v>16</v>
      </c>
      <c r="E136" s="607" t="s">
        <v>16</v>
      </c>
      <c r="F136" s="37"/>
      <c r="G136" s="37"/>
      <c r="H136" s="37"/>
      <c r="I136" s="37"/>
      <c r="J136" s="37"/>
      <c r="K136" s="37"/>
      <c r="L136" s="37"/>
      <c r="M136" s="37"/>
      <c r="N136" s="37"/>
      <c r="O136" s="37"/>
      <c r="P136" s="37"/>
      <c r="Q136" s="550"/>
    </row>
    <row r="137" spans="1:17" x14ac:dyDescent="0.25">
      <c r="A137" s="36"/>
      <c r="B137" s="62"/>
      <c r="C137" s="51"/>
      <c r="D137" s="51"/>
      <c r="E137" s="52"/>
      <c r="F137" s="37"/>
      <c r="G137" s="37"/>
      <c r="H137" s="37"/>
      <c r="I137" s="37"/>
      <c r="J137" s="37"/>
      <c r="K137" s="37"/>
      <c r="L137" s="37"/>
      <c r="M137" s="37"/>
      <c r="N137" s="37"/>
      <c r="O137" s="37"/>
      <c r="P137" s="37"/>
      <c r="Q137" s="550"/>
    </row>
    <row r="138" spans="1:17" ht="13" x14ac:dyDescent="0.3">
      <c r="A138" s="36"/>
      <c r="B138" s="610" t="s">
        <v>118</v>
      </c>
      <c r="C138" s="221"/>
      <c r="D138" s="221"/>
      <c r="E138" s="225"/>
      <c r="F138" s="37"/>
      <c r="G138" s="37"/>
      <c r="H138" s="37"/>
      <c r="I138" s="37"/>
      <c r="J138" s="37"/>
      <c r="K138" s="37"/>
      <c r="L138" s="37"/>
      <c r="M138" s="37"/>
      <c r="N138" s="37"/>
      <c r="O138" s="37"/>
      <c r="P138" s="37"/>
      <c r="Q138" s="550"/>
    </row>
    <row r="139" spans="1:17" x14ac:dyDescent="0.25">
      <c r="A139" s="36"/>
      <c r="B139" s="611" t="s">
        <v>115</v>
      </c>
      <c r="C139" s="612">
        <v>5.5E-2</v>
      </c>
      <c r="D139" s="1722">
        <v>0.04</v>
      </c>
      <c r="E139" s="1723">
        <v>0.04</v>
      </c>
      <c r="F139" s="37"/>
      <c r="G139" s="37"/>
      <c r="H139" s="37"/>
      <c r="I139" s="37"/>
      <c r="J139" s="37"/>
      <c r="K139" s="37"/>
      <c r="L139" s="37"/>
      <c r="M139" s="37"/>
      <c r="N139" s="37"/>
      <c r="O139" s="37"/>
      <c r="P139" s="37"/>
      <c r="Q139" s="550"/>
    </row>
    <row r="140" spans="1:17" x14ac:dyDescent="0.25">
      <c r="A140" s="36"/>
      <c r="B140" s="609" t="s">
        <v>116</v>
      </c>
      <c r="C140" s="199">
        <v>5</v>
      </c>
      <c r="D140" s="1724">
        <f>C140</f>
        <v>5</v>
      </c>
      <c r="E140" s="1725">
        <f>D140</f>
        <v>5</v>
      </c>
      <c r="F140" s="37"/>
      <c r="G140" s="37"/>
      <c r="H140" s="37"/>
      <c r="I140" s="37"/>
      <c r="J140" s="37"/>
      <c r="K140" s="37"/>
      <c r="L140" s="37"/>
      <c r="M140" s="37"/>
      <c r="N140" s="37"/>
      <c r="O140" s="37"/>
      <c r="P140" s="37"/>
      <c r="Q140" s="550"/>
    </row>
    <row r="141" spans="1:17" x14ac:dyDescent="0.25">
      <c r="A141" s="36"/>
      <c r="B141" s="611" t="s">
        <v>117</v>
      </c>
      <c r="C141" s="199">
        <v>0</v>
      </c>
      <c r="D141" s="199">
        <v>0</v>
      </c>
      <c r="E141" s="199">
        <v>0</v>
      </c>
      <c r="F141" s="37"/>
      <c r="G141" s="37"/>
      <c r="H141" s="37"/>
      <c r="I141" s="37"/>
      <c r="J141" s="37"/>
      <c r="K141" s="37"/>
      <c r="L141" s="37"/>
      <c r="M141" s="37"/>
      <c r="N141" s="37"/>
      <c r="O141" s="37"/>
      <c r="P141" s="37"/>
      <c r="Q141" s="550"/>
    </row>
    <row r="142" spans="1:17" x14ac:dyDescent="0.25">
      <c r="A142" s="36"/>
      <c r="B142" s="611" t="s">
        <v>128</v>
      </c>
      <c r="C142" s="613" t="s">
        <v>78</v>
      </c>
      <c r="D142" s="613" t="s">
        <v>78</v>
      </c>
      <c r="E142" s="613" t="s">
        <v>78</v>
      </c>
      <c r="F142" s="37"/>
      <c r="G142" s="37"/>
      <c r="H142" s="37"/>
      <c r="I142" s="37"/>
      <c r="J142" s="37"/>
      <c r="K142" s="37"/>
      <c r="L142" s="37"/>
      <c r="M142" s="37"/>
      <c r="N142" s="37"/>
      <c r="O142" s="37"/>
      <c r="P142" s="37"/>
      <c r="Q142" s="550"/>
    </row>
    <row r="143" spans="1:17" x14ac:dyDescent="0.25">
      <c r="A143" s="36"/>
      <c r="B143" s="232"/>
      <c r="C143" s="614"/>
      <c r="D143" s="614"/>
      <c r="E143" s="615"/>
      <c r="F143" s="37"/>
      <c r="G143" s="37"/>
      <c r="H143" s="37"/>
      <c r="I143" s="37"/>
      <c r="J143" s="37"/>
      <c r="K143" s="37"/>
      <c r="L143" s="37"/>
      <c r="M143" s="37"/>
      <c r="N143" s="37"/>
      <c r="O143" s="37"/>
      <c r="P143" s="37"/>
      <c r="Q143" s="550"/>
    </row>
    <row r="144" spans="1:17" ht="13" x14ac:dyDescent="0.25">
      <c r="A144" s="36"/>
      <c r="B144" s="616" t="s">
        <v>129</v>
      </c>
      <c r="C144" s="608" t="s">
        <v>123</v>
      </c>
      <c r="D144" s="608" t="s">
        <v>124</v>
      </c>
      <c r="E144" s="617" t="s">
        <v>125</v>
      </c>
      <c r="F144" s="37"/>
      <c r="G144" s="37"/>
      <c r="H144" s="37"/>
      <c r="I144" s="37"/>
      <c r="J144" s="37"/>
      <c r="K144" s="37"/>
      <c r="L144" s="37"/>
      <c r="M144" s="37"/>
      <c r="N144" s="37"/>
      <c r="O144" s="37"/>
      <c r="P144" s="37"/>
      <c r="Q144" s="550"/>
    </row>
    <row r="145" spans="1:26" hidden="1" x14ac:dyDescent="0.25">
      <c r="A145" s="36"/>
      <c r="B145" s="235"/>
      <c r="C145" s="236"/>
      <c r="D145" s="199"/>
      <c r="E145" s="200"/>
      <c r="F145" s="37"/>
      <c r="G145" s="37"/>
      <c r="H145" s="37"/>
      <c r="I145" s="37"/>
      <c r="J145" s="37"/>
      <c r="K145" s="37"/>
      <c r="L145" s="37"/>
      <c r="M145" s="37"/>
      <c r="N145" s="37"/>
      <c r="O145" s="37"/>
      <c r="P145" s="37"/>
      <c r="Q145" s="550"/>
    </row>
    <row r="146" spans="1:26" x14ac:dyDescent="0.25">
      <c r="A146" s="36"/>
      <c r="B146" s="618" t="s">
        <v>132</v>
      </c>
      <c r="C146" s="619" t="s">
        <v>82</v>
      </c>
      <c r="D146" s="1726" t="str">
        <f>C146</f>
        <v>TRIMESTRAL</v>
      </c>
      <c r="E146" s="1727" t="str">
        <f>D146</f>
        <v>TRIMESTRAL</v>
      </c>
      <c r="F146" s="37"/>
      <c r="G146" s="37"/>
      <c r="H146" s="37"/>
      <c r="I146" s="37"/>
      <c r="J146" s="37"/>
      <c r="K146" s="37"/>
      <c r="L146" s="37"/>
      <c r="M146" s="37"/>
      <c r="N146" s="37"/>
      <c r="O146" s="37"/>
      <c r="P146" s="37"/>
      <c r="Q146" s="550"/>
    </row>
    <row r="147" spans="1:26" x14ac:dyDescent="0.25">
      <c r="A147" s="36"/>
      <c r="B147" s="618" t="s">
        <v>133</v>
      </c>
      <c r="C147" s="620">
        <v>4.4999999999999998E-2</v>
      </c>
      <c r="D147" s="1728">
        <v>4.7500000000000001E-2</v>
      </c>
      <c r="E147" s="1729">
        <v>0.05</v>
      </c>
      <c r="F147" s="37"/>
      <c r="G147" s="37"/>
      <c r="H147" s="37"/>
      <c r="I147" s="37"/>
      <c r="J147" s="37"/>
      <c r="K147" s="37"/>
      <c r="L147" s="37"/>
      <c r="M147" s="37"/>
      <c r="N147" s="37"/>
      <c r="O147" s="37"/>
      <c r="P147" s="37"/>
      <c r="Q147" s="550"/>
    </row>
    <row r="148" spans="1:26" x14ac:dyDescent="0.25">
      <c r="A148" s="36"/>
      <c r="B148" s="245"/>
      <c r="C148" s="621"/>
      <c r="D148" s="621"/>
      <c r="E148" s="622"/>
      <c r="F148" s="37"/>
      <c r="G148" s="37"/>
      <c r="H148" s="37"/>
      <c r="I148" s="37"/>
      <c r="J148" s="37"/>
      <c r="K148" s="37"/>
      <c r="L148" s="37"/>
      <c r="M148" s="37"/>
      <c r="N148" s="37"/>
      <c r="O148" s="37"/>
      <c r="P148" s="37"/>
      <c r="Q148" s="550"/>
    </row>
    <row r="149" spans="1:26" x14ac:dyDescent="0.25">
      <c r="A149" s="36"/>
      <c r="B149" s="249"/>
      <c r="C149" s="250"/>
      <c r="D149" s="37"/>
      <c r="E149" s="37"/>
      <c r="F149" s="37"/>
      <c r="G149" s="37"/>
      <c r="H149" s="37"/>
      <c r="I149" s="37"/>
      <c r="J149" s="37"/>
      <c r="K149" s="37"/>
      <c r="L149" s="37"/>
      <c r="M149" s="37"/>
      <c r="N149" s="37"/>
      <c r="O149" s="37"/>
      <c r="P149" s="37"/>
      <c r="Q149" s="550"/>
    </row>
    <row r="150" spans="1:26" ht="15.5" x14ac:dyDescent="0.35">
      <c r="A150" s="42">
        <v>3</v>
      </c>
      <c r="B150" s="43" t="s">
        <v>134</v>
      </c>
      <c r="C150" s="250"/>
      <c r="D150" s="37"/>
      <c r="E150" s="37"/>
      <c r="F150" s="37"/>
      <c r="G150" s="37"/>
      <c r="H150" s="37"/>
      <c r="I150" s="37"/>
      <c r="J150" s="37"/>
      <c r="K150" s="37"/>
      <c r="L150" s="37"/>
      <c r="M150" s="37"/>
      <c r="N150" s="37"/>
      <c r="O150" s="37"/>
      <c r="P150" s="37"/>
      <c r="Q150" s="550"/>
    </row>
    <row r="151" spans="1:26" ht="13" x14ac:dyDescent="0.3">
      <c r="A151" s="36"/>
      <c r="B151" s="1792"/>
      <c r="C151" s="1792"/>
      <c r="D151" s="1792"/>
      <c r="E151" s="1792"/>
      <c r="F151" s="1792"/>
      <c r="G151" s="623" t="s">
        <v>227</v>
      </c>
      <c r="H151" s="46"/>
      <c r="I151" s="46"/>
      <c r="J151" s="46"/>
      <c r="K151" s="46"/>
      <c r="L151" s="46"/>
      <c r="M151" s="46"/>
      <c r="N151" s="47"/>
      <c r="O151" s="37"/>
      <c r="P151" s="37"/>
      <c r="Q151" s="550"/>
    </row>
    <row r="152" spans="1:26" ht="13" x14ac:dyDescent="0.3">
      <c r="A152" s="36"/>
      <c r="B152" s="1793" t="s">
        <v>228</v>
      </c>
      <c r="C152" s="1793"/>
      <c r="D152" s="1793"/>
      <c r="E152" s="1793"/>
      <c r="F152" s="1793"/>
      <c r="G152" s="624" t="s">
        <v>229</v>
      </c>
      <c r="H152" s="51"/>
      <c r="I152" s="51"/>
      <c r="J152" s="51"/>
      <c r="K152" s="254"/>
      <c r="L152" s="51"/>
      <c r="M152" s="51"/>
      <c r="N152" s="52"/>
      <c r="O152" s="37"/>
      <c r="P152" s="37"/>
      <c r="Q152" s="550"/>
    </row>
    <row r="153" spans="1:26" ht="13" x14ac:dyDescent="0.3">
      <c r="A153" s="36"/>
      <c r="B153" s="625" t="s">
        <v>230</v>
      </c>
      <c r="C153" s="71" t="s">
        <v>231</v>
      </c>
      <c r="D153" s="71" t="s">
        <v>232</v>
      </c>
      <c r="E153" s="71" t="s">
        <v>233</v>
      </c>
      <c r="F153" s="71" t="s">
        <v>234</v>
      </c>
      <c r="G153" s="351" t="s">
        <v>234</v>
      </c>
      <c r="H153" s="84"/>
      <c r="I153" s="84"/>
      <c r="J153" s="84"/>
      <c r="K153" s="84"/>
      <c r="L153" s="51"/>
      <c r="M153" s="51"/>
      <c r="N153" s="52"/>
      <c r="O153" s="37"/>
      <c r="P153" s="37"/>
      <c r="Q153" s="550"/>
    </row>
    <row r="154" spans="1:26" ht="13" x14ac:dyDescent="0.3">
      <c r="A154" s="36"/>
      <c r="B154" s="626" t="s">
        <v>135</v>
      </c>
      <c r="C154" s="109">
        <v>0</v>
      </c>
      <c r="D154" s="627">
        <v>0</v>
      </c>
      <c r="E154" s="628">
        <v>1</v>
      </c>
      <c r="F154" s="628">
        <v>0.21</v>
      </c>
      <c r="G154" s="628">
        <v>0.21</v>
      </c>
      <c r="H154" s="629"/>
      <c r="I154" s="629"/>
      <c r="J154" s="629"/>
      <c r="K154" s="296"/>
      <c r="L154" s="51"/>
      <c r="M154" s="51"/>
      <c r="N154" s="52"/>
      <c r="O154" s="37"/>
      <c r="P154" s="37"/>
      <c r="Q154" s="550"/>
    </row>
    <row r="155" spans="1:26" ht="13" x14ac:dyDescent="0.3">
      <c r="A155" s="36"/>
      <c r="B155" s="626" t="s">
        <v>137</v>
      </c>
      <c r="C155" s="109">
        <v>0</v>
      </c>
      <c r="D155" s="627">
        <v>0</v>
      </c>
      <c r="E155" s="628">
        <v>1</v>
      </c>
      <c r="F155" s="628">
        <v>0.21</v>
      </c>
      <c r="G155" s="628">
        <v>0.21</v>
      </c>
      <c r="H155" s="629"/>
      <c r="I155" s="629"/>
      <c r="J155" s="629"/>
      <c r="K155" s="296"/>
      <c r="L155" s="51"/>
      <c r="M155" s="51"/>
      <c r="N155" s="52"/>
      <c r="O155" s="37"/>
      <c r="P155" s="37"/>
      <c r="Q155" s="550"/>
      <c r="X155">
        <v>1</v>
      </c>
      <c r="Y155">
        <v>2</v>
      </c>
      <c r="Z155">
        <v>3</v>
      </c>
    </row>
    <row r="156" spans="1:26" ht="13" x14ac:dyDescent="0.3">
      <c r="A156" s="36"/>
      <c r="B156" s="626" t="s">
        <v>139</v>
      </c>
      <c r="C156" s="109">
        <v>0</v>
      </c>
      <c r="D156" s="627">
        <v>0</v>
      </c>
      <c r="E156" s="628">
        <v>1</v>
      </c>
      <c r="F156" s="628">
        <v>0.21</v>
      </c>
      <c r="G156" s="628">
        <v>0.21</v>
      </c>
      <c r="H156" s="629"/>
      <c r="I156" s="629"/>
      <c r="J156" s="629"/>
      <c r="K156" s="296"/>
      <c r="L156" s="51"/>
      <c r="M156" s="51"/>
      <c r="N156" s="52"/>
      <c r="O156" s="37"/>
      <c r="P156" s="37"/>
      <c r="Q156" s="550"/>
      <c r="W156" s="626" t="s">
        <v>135</v>
      </c>
      <c r="X156">
        <f>+$C154*$D154*(SUM($C$170:$C$181))</f>
        <v>0</v>
      </c>
      <c r="Y156">
        <f>+$C154*$D154*(SUM($C$186:$C$197))</f>
        <v>0</v>
      </c>
      <c r="Z156">
        <f>+$C154*$D154*(SUM($C$202:$C$213))</f>
        <v>0</v>
      </c>
    </row>
    <row r="157" spans="1:26" ht="13" x14ac:dyDescent="0.3">
      <c r="A157" s="36"/>
      <c r="B157" s="630" t="s">
        <v>136</v>
      </c>
      <c r="C157" s="109">
        <v>0</v>
      </c>
      <c r="D157" s="627">
        <v>0</v>
      </c>
      <c r="E157" s="628">
        <v>1</v>
      </c>
      <c r="F157" s="628">
        <v>0.21</v>
      </c>
      <c r="G157" s="628">
        <v>0.21</v>
      </c>
      <c r="H157" s="629"/>
      <c r="I157" s="629"/>
      <c r="J157" s="629"/>
      <c r="K157" s="296"/>
      <c r="L157" s="51"/>
      <c r="M157" s="51"/>
      <c r="N157" s="52"/>
      <c r="O157" s="37"/>
      <c r="P157" s="37"/>
      <c r="Q157" s="550"/>
      <c r="W157" s="626" t="s">
        <v>137</v>
      </c>
      <c r="X157">
        <f>+$C155*$D155*(SUM($D$170:$D$181))</f>
        <v>0</v>
      </c>
      <c r="Y157">
        <f>+$C155*$D155*(SUM($D$186:$D$197))</f>
        <v>0</v>
      </c>
      <c r="Z157">
        <f>+$C155*$D155*(SUM($D$202:$D$213))</f>
        <v>0</v>
      </c>
    </row>
    <row r="158" spans="1:26" ht="13" x14ac:dyDescent="0.3">
      <c r="A158" s="36"/>
      <c r="B158" s="630" t="s">
        <v>138</v>
      </c>
      <c r="C158" s="109">
        <v>0</v>
      </c>
      <c r="D158" s="627">
        <v>0</v>
      </c>
      <c r="E158" s="628">
        <v>1</v>
      </c>
      <c r="F158" s="628">
        <v>0.21</v>
      </c>
      <c r="G158" s="628">
        <v>0.21</v>
      </c>
      <c r="H158" s="629"/>
      <c r="I158" s="629"/>
      <c r="J158" s="629"/>
      <c r="K158" s="296"/>
      <c r="L158" s="51"/>
      <c r="M158" s="51"/>
      <c r="N158" s="52"/>
      <c r="O158" s="37"/>
      <c r="P158" s="37"/>
      <c r="Q158" s="550"/>
      <c r="W158" s="626" t="s">
        <v>139</v>
      </c>
      <c r="X158">
        <f>+$C156*$D156*(SUM($E$170:$E$181))</f>
        <v>0</v>
      </c>
      <c r="Y158">
        <f>+$C156*$D156*(SUM($E$186:$E$197))</f>
        <v>0</v>
      </c>
      <c r="Z158">
        <f>+$C156*$D156*(SUM($E$202:$E$213))</f>
        <v>0</v>
      </c>
    </row>
    <row r="159" spans="1:26" ht="13" x14ac:dyDescent="0.3">
      <c r="A159" s="36"/>
      <c r="B159" s="630" t="s">
        <v>140</v>
      </c>
      <c r="C159" s="109">
        <v>0</v>
      </c>
      <c r="D159" s="627">
        <v>0</v>
      </c>
      <c r="E159" s="628">
        <v>1</v>
      </c>
      <c r="F159" s="628">
        <v>0.21</v>
      </c>
      <c r="G159" s="628">
        <v>0.21</v>
      </c>
      <c r="H159" s="629"/>
      <c r="I159" s="629"/>
      <c r="J159" s="629"/>
      <c r="K159" s="296"/>
      <c r="L159" s="51"/>
      <c r="M159" s="51"/>
      <c r="N159" s="52"/>
      <c r="O159" s="37"/>
      <c r="P159" s="37"/>
      <c r="Q159" s="550"/>
      <c r="W159" s="626" t="s">
        <v>136</v>
      </c>
      <c r="X159">
        <f>+$C157*$D157*(SUM($F$170:$F$181))</f>
        <v>0</v>
      </c>
      <c r="Y159">
        <f>+$C157*$D157*(SUM($F$186:$F$197))</f>
        <v>0</v>
      </c>
      <c r="Z159">
        <f>+$C157*$D157*(SUM($F$202:$F$213))</f>
        <v>0</v>
      </c>
    </row>
    <row r="160" spans="1:26" ht="13" x14ac:dyDescent="0.3">
      <c r="A160" s="36"/>
      <c r="B160" s="630" t="s">
        <v>141</v>
      </c>
      <c r="C160" s="109">
        <v>0</v>
      </c>
      <c r="D160" s="627">
        <v>0</v>
      </c>
      <c r="E160" s="628">
        <v>1</v>
      </c>
      <c r="F160" s="628">
        <v>0.21</v>
      </c>
      <c r="G160" s="628">
        <v>0.21</v>
      </c>
      <c r="H160" s="629"/>
      <c r="I160" s="629"/>
      <c r="J160" s="629"/>
      <c r="K160" s="296"/>
      <c r="L160" s="51"/>
      <c r="M160" s="51"/>
      <c r="N160" s="52"/>
      <c r="O160" s="37"/>
      <c r="P160" s="37"/>
      <c r="Q160" s="550"/>
      <c r="W160" s="626" t="s">
        <v>138</v>
      </c>
      <c r="X160">
        <f>+$C158*$D158*(SUM($G$170:$G$181))</f>
        <v>0</v>
      </c>
      <c r="Y160">
        <f>+$C158*$D158*(SUM($G$186:$G$197))</f>
        <v>0</v>
      </c>
      <c r="Z160">
        <f>+$C158*$D158*(SUM($G$202:$G$213))</f>
        <v>0</v>
      </c>
    </row>
    <row r="161" spans="1:26" ht="13" x14ac:dyDescent="0.3">
      <c r="A161" s="36"/>
      <c r="B161" s="630" t="s">
        <v>142</v>
      </c>
      <c r="C161" s="109">
        <v>0</v>
      </c>
      <c r="D161" s="627">
        <v>0</v>
      </c>
      <c r="E161" s="628">
        <v>1</v>
      </c>
      <c r="F161" s="628">
        <v>0.21</v>
      </c>
      <c r="G161" s="628">
        <v>0.21</v>
      </c>
      <c r="H161" s="629"/>
      <c r="I161" s="629"/>
      <c r="J161" s="629"/>
      <c r="K161" s="296"/>
      <c r="L161" s="51"/>
      <c r="M161" s="51"/>
      <c r="N161" s="52"/>
      <c r="O161" s="37"/>
      <c r="P161" s="37"/>
      <c r="Q161" s="550"/>
      <c r="W161" s="626" t="s">
        <v>140</v>
      </c>
      <c r="X161">
        <f>+$C159*$D159*(SUM($H$170:$H$181))</f>
        <v>0</v>
      </c>
      <c r="Y161">
        <f>+$C159*$D159*(SUM($H$186:$H$197))</f>
        <v>0</v>
      </c>
      <c r="Z161">
        <f>+$C159*$D159*(SUM($H$202:$H$213))</f>
        <v>0</v>
      </c>
    </row>
    <row r="162" spans="1:26" ht="13" x14ac:dyDescent="0.3">
      <c r="A162" s="36"/>
      <c r="B162" s="630" t="s">
        <v>143</v>
      </c>
      <c r="C162" s="109">
        <v>0</v>
      </c>
      <c r="D162" s="627">
        <v>0</v>
      </c>
      <c r="E162" s="628">
        <v>1</v>
      </c>
      <c r="F162" s="628">
        <v>0.21</v>
      </c>
      <c r="G162" s="628">
        <v>0.21</v>
      </c>
      <c r="H162" s="629"/>
      <c r="I162" s="629"/>
      <c r="J162" s="629"/>
      <c r="K162" s="296"/>
      <c r="L162" s="51"/>
      <c r="M162" s="51"/>
      <c r="N162" s="52"/>
      <c r="O162" s="37"/>
      <c r="P162" s="37"/>
      <c r="Q162" s="550"/>
      <c r="W162" s="626" t="s">
        <v>141</v>
      </c>
      <c r="X162">
        <f>+$C160*$D160*(SUM($I$170:$I$181))</f>
        <v>0</v>
      </c>
      <c r="Y162">
        <f>+$C160*$D160*(SUM($I$186:$I$197))</f>
        <v>0</v>
      </c>
      <c r="Z162">
        <f>+$C160*$D160*(SUM($I$202:$I$213))</f>
        <v>0</v>
      </c>
    </row>
    <row r="163" spans="1:26" ht="13" x14ac:dyDescent="0.3">
      <c r="A163" s="36"/>
      <c r="B163" s="630" t="s">
        <v>144</v>
      </c>
      <c r="C163" s="109">
        <v>0</v>
      </c>
      <c r="D163" s="627">
        <v>0</v>
      </c>
      <c r="E163" s="628">
        <v>1</v>
      </c>
      <c r="F163" s="628">
        <v>0.21</v>
      </c>
      <c r="G163" s="628">
        <v>0.21</v>
      </c>
      <c r="H163" s="629"/>
      <c r="I163" s="629"/>
      <c r="J163" s="629"/>
      <c r="K163" s="296"/>
      <c r="L163" s="51"/>
      <c r="M163" s="51"/>
      <c r="N163" s="52"/>
      <c r="O163" s="37"/>
      <c r="P163" s="37"/>
      <c r="Q163" s="550"/>
      <c r="W163" s="626" t="s">
        <v>142</v>
      </c>
      <c r="X163">
        <f>+$C161*$D161*(SUM($J$170:$J$181))</f>
        <v>0</v>
      </c>
      <c r="Y163">
        <f>+$C161*$D161*(SUM($J$186:$J$197))</f>
        <v>0</v>
      </c>
      <c r="Z163">
        <f>+$C161*$D161*(SUM($J$202:$J$213))</f>
        <v>0</v>
      </c>
    </row>
    <row r="164" spans="1:26" ht="13" x14ac:dyDescent="0.3">
      <c r="A164" s="36"/>
      <c r="B164" s="630" t="s">
        <v>145</v>
      </c>
      <c r="C164" s="109">
        <v>0</v>
      </c>
      <c r="D164" s="627">
        <v>0</v>
      </c>
      <c r="E164" s="628">
        <v>1</v>
      </c>
      <c r="F164" s="628">
        <v>0.21</v>
      </c>
      <c r="G164" s="628">
        <v>0.21</v>
      </c>
      <c r="H164" s="629"/>
      <c r="I164" s="629"/>
      <c r="J164" s="629"/>
      <c r="K164" s="296"/>
      <c r="L164" s="51"/>
      <c r="M164" s="51"/>
      <c r="N164" s="52"/>
      <c r="O164" s="37"/>
      <c r="P164" s="37"/>
      <c r="Q164" s="550"/>
      <c r="W164" s="626" t="s">
        <v>143</v>
      </c>
      <c r="X164">
        <f>+$C162*$D162*(SUM($K$170:$K$181))</f>
        <v>0</v>
      </c>
      <c r="Y164">
        <f>+$C162*$D162*(SUM($K$186:$K$197))</f>
        <v>0</v>
      </c>
      <c r="Z164">
        <f>+$C162*$D162*(SUM($K$202:$K$213))</f>
        <v>0</v>
      </c>
    </row>
    <row r="165" spans="1:26" ht="13" x14ac:dyDescent="0.3">
      <c r="A165" s="36"/>
      <c r="B165" s="630" t="s">
        <v>146</v>
      </c>
      <c r="C165" s="109">
        <v>0</v>
      </c>
      <c r="D165" s="627">
        <v>0</v>
      </c>
      <c r="E165" s="628">
        <v>1</v>
      </c>
      <c r="F165" s="628">
        <v>0.21</v>
      </c>
      <c r="G165" s="628">
        <v>0.21</v>
      </c>
      <c r="H165" s="629"/>
      <c r="I165" s="629"/>
      <c r="J165" s="629"/>
      <c r="K165" s="296"/>
      <c r="L165" s="51"/>
      <c r="M165" s="51"/>
      <c r="N165" s="52"/>
      <c r="O165" s="37"/>
      <c r="P165" s="37"/>
      <c r="Q165" s="550"/>
      <c r="W165" s="626" t="s">
        <v>144</v>
      </c>
      <c r="X165">
        <f>+$C163*$D163*(SUM($L$170:$L$181))</f>
        <v>0</v>
      </c>
      <c r="Y165">
        <f>+$C163*$D163*(SUM($L$186:$L$197))</f>
        <v>0</v>
      </c>
      <c r="Z165">
        <f>+$C163*$D163*(SUM($L$202:$L$213))</f>
        <v>0</v>
      </c>
    </row>
    <row r="166" spans="1:26" ht="13" x14ac:dyDescent="0.3">
      <c r="A166" s="36"/>
      <c r="B166" s="62"/>
      <c r="C166" s="51"/>
      <c r="D166" s="51"/>
      <c r="E166" s="51"/>
      <c r="F166" s="51"/>
      <c r="G166" s="51"/>
      <c r="H166" s="51"/>
      <c r="I166" s="51"/>
      <c r="J166" s="51"/>
      <c r="K166" s="51"/>
      <c r="L166" s="51"/>
      <c r="M166" s="51"/>
      <c r="N166" s="52"/>
      <c r="O166" s="37"/>
      <c r="P166" s="37"/>
      <c r="Q166" s="550"/>
      <c r="W166" s="626" t="s">
        <v>145</v>
      </c>
      <c r="X166">
        <f>+$C164*$D164*(SUM($M$170:$M$181))</f>
        <v>0</v>
      </c>
      <c r="Y166">
        <f>+$C164*$D164*(SUM($M$186:$M$197))</f>
        <v>0</v>
      </c>
      <c r="Z166">
        <f>+$C164*$D164*(SUM($M$202:$M$213))</f>
        <v>0</v>
      </c>
    </row>
    <row r="167" spans="1:26" ht="13" x14ac:dyDescent="0.3">
      <c r="A167" s="36"/>
      <c r="B167" s="1787" t="s">
        <v>17</v>
      </c>
      <c r="C167" s="1794" t="s">
        <v>150</v>
      </c>
      <c r="D167" s="1794"/>
      <c r="E167" s="1794"/>
      <c r="F167" s="1794"/>
      <c r="G167" s="1794"/>
      <c r="H167" s="1794"/>
      <c r="I167" s="1794"/>
      <c r="J167" s="1794"/>
      <c r="K167" s="1794"/>
      <c r="L167" s="1794"/>
      <c r="M167" s="1794"/>
      <c r="N167" s="1794"/>
      <c r="O167" s="37"/>
      <c r="P167" s="37"/>
      <c r="Q167" s="550"/>
      <c r="W167" s="626" t="s">
        <v>146</v>
      </c>
      <c r="X167">
        <f>+$C165*$D165*(SUM($N$170:$N$181))</f>
        <v>0</v>
      </c>
      <c r="Y167">
        <f>+$C165*$D165*(SUM($N$186:$N$197))</f>
        <v>0</v>
      </c>
      <c r="Z167">
        <f>+$C165*$D165*(SUM($N$202:$N$213))</f>
        <v>0</v>
      </c>
    </row>
    <row r="168" spans="1:26" ht="13" x14ac:dyDescent="0.3">
      <c r="A168" s="36"/>
      <c r="B168" s="1787"/>
      <c r="C168" s="631" t="str">
        <f>$B154</f>
        <v>A</v>
      </c>
      <c r="D168" s="631" t="str">
        <f>+B155</f>
        <v>B</v>
      </c>
      <c r="E168" s="631" t="str">
        <f>+B156</f>
        <v>C</v>
      </c>
      <c r="F168" s="631" t="str">
        <f>+B157</f>
        <v>D</v>
      </c>
      <c r="G168" s="631" t="str">
        <f>+B158</f>
        <v>E</v>
      </c>
      <c r="H168" s="631" t="str">
        <f>+B159</f>
        <v>F</v>
      </c>
      <c r="I168" s="631" t="str">
        <f>+B160</f>
        <v>G</v>
      </c>
      <c r="J168" s="631" t="str">
        <f>+B161</f>
        <v>H</v>
      </c>
      <c r="K168" s="631" t="str">
        <f>+B162</f>
        <v>I</v>
      </c>
      <c r="L168" s="631" t="str">
        <f>+B163</f>
        <v>J</v>
      </c>
      <c r="M168" s="631" t="str">
        <f>+B164</f>
        <v>K</v>
      </c>
      <c r="N168" s="632" t="str">
        <f>+B165</f>
        <v>L</v>
      </c>
      <c r="O168" s="37"/>
      <c r="P168" s="37"/>
      <c r="Q168" s="550"/>
    </row>
    <row r="169" spans="1:26" ht="13" x14ac:dyDescent="0.3">
      <c r="A169" s="36"/>
      <c r="B169" s="1787"/>
      <c r="C169" s="71" t="s">
        <v>151</v>
      </c>
      <c r="D169" s="414" t="str">
        <f>C169</f>
        <v>%</v>
      </c>
      <c r="E169" s="633" t="str">
        <f t="shared" ref="E169:N169" si="15">C$169</f>
        <v>%</v>
      </c>
      <c r="F169" s="633" t="str">
        <f t="shared" si="15"/>
        <v>%</v>
      </c>
      <c r="G169" s="633" t="str">
        <f t="shared" si="15"/>
        <v>%</v>
      </c>
      <c r="H169" s="633" t="str">
        <f t="shared" si="15"/>
        <v>%</v>
      </c>
      <c r="I169" s="633" t="str">
        <f t="shared" si="15"/>
        <v>%</v>
      </c>
      <c r="J169" s="633" t="str">
        <f t="shared" si="15"/>
        <v>%</v>
      </c>
      <c r="K169" s="633" t="str">
        <f t="shared" si="15"/>
        <v>%</v>
      </c>
      <c r="L169" s="633" t="str">
        <f t="shared" si="15"/>
        <v>%</v>
      </c>
      <c r="M169" s="633" t="str">
        <f t="shared" si="15"/>
        <v>%</v>
      </c>
      <c r="N169" s="632" t="str">
        <f t="shared" si="15"/>
        <v>%</v>
      </c>
      <c r="O169" s="37"/>
      <c r="P169" s="37"/>
      <c r="Q169" s="550"/>
    </row>
    <row r="170" spans="1:26" ht="13" x14ac:dyDescent="0.3">
      <c r="A170" s="36"/>
      <c r="B170" s="284" t="str">
        <f>TRIBUTS!K1</f>
        <v>GENER</v>
      </c>
      <c r="C170" s="1738">
        <v>0</v>
      </c>
      <c r="D170" s="281">
        <v>0</v>
      </c>
      <c r="E170" s="1738">
        <v>0</v>
      </c>
      <c r="F170" s="281">
        <v>0</v>
      </c>
      <c r="G170" s="1738">
        <v>0</v>
      </c>
      <c r="H170" s="281">
        <v>0</v>
      </c>
      <c r="I170" s="1738">
        <v>0</v>
      </c>
      <c r="J170" s="281">
        <v>0</v>
      </c>
      <c r="K170" s="1738">
        <v>0</v>
      </c>
      <c r="L170" s="281">
        <v>0</v>
      </c>
      <c r="M170" s="1738">
        <v>0</v>
      </c>
      <c r="N170" s="634">
        <v>0</v>
      </c>
      <c r="O170" s="37"/>
      <c r="P170" s="37"/>
      <c r="Q170" s="550"/>
    </row>
    <row r="171" spans="1:26" ht="13" x14ac:dyDescent="0.3">
      <c r="A171" s="36"/>
      <c r="B171" s="290" t="str">
        <f>TRIBUTS!K2</f>
        <v>FEBRER</v>
      </c>
      <c r="C171" s="1732">
        <f>C170</f>
        <v>0</v>
      </c>
      <c r="D171" s="1730">
        <f t="shared" ref="D171:F181" si="16">D170</f>
        <v>0</v>
      </c>
      <c r="E171" s="1732">
        <f t="shared" ref="E171:E181" si="17">E170</f>
        <v>0</v>
      </c>
      <c r="F171" s="1730">
        <f t="shared" si="16"/>
        <v>0</v>
      </c>
      <c r="G171" s="1732">
        <f t="shared" ref="G171:G181" si="18">G170</f>
        <v>0</v>
      </c>
      <c r="H171" s="1730">
        <f t="shared" ref="H171:N181" si="19">H170</f>
        <v>0</v>
      </c>
      <c r="I171" s="1732">
        <f t="shared" si="19"/>
        <v>0</v>
      </c>
      <c r="J171" s="1730">
        <f t="shared" si="19"/>
        <v>0</v>
      </c>
      <c r="K171" s="1732">
        <f t="shared" si="19"/>
        <v>0</v>
      </c>
      <c r="L171" s="1730">
        <f t="shared" si="19"/>
        <v>0</v>
      </c>
      <c r="M171" s="1732">
        <f t="shared" si="19"/>
        <v>0</v>
      </c>
      <c r="N171" s="1731">
        <f t="shared" si="19"/>
        <v>0</v>
      </c>
      <c r="O171" s="37"/>
      <c r="P171" s="37"/>
      <c r="Q171" s="550"/>
    </row>
    <row r="172" spans="1:26" ht="13" x14ac:dyDescent="0.3">
      <c r="A172" s="36"/>
      <c r="B172" s="290" t="str">
        <f>TRIBUTS!K3</f>
        <v>MARÇ</v>
      </c>
      <c r="C172" s="1732">
        <f t="shared" ref="C172:C181" si="20">C171</f>
        <v>0</v>
      </c>
      <c r="D172" s="1730">
        <f t="shared" si="16"/>
        <v>0</v>
      </c>
      <c r="E172" s="1732">
        <f t="shared" si="17"/>
        <v>0</v>
      </c>
      <c r="F172" s="1730">
        <f t="shared" si="16"/>
        <v>0</v>
      </c>
      <c r="G172" s="1732">
        <f t="shared" si="18"/>
        <v>0</v>
      </c>
      <c r="H172" s="1730">
        <f t="shared" si="19"/>
        <v>0</v>
      </c>
      <c r="I172" s="1732">
        <f t="shared" si="19"/>
        <v>0</v>
      </c>
      <c r="J172" s="1730">
        <f t="shared" si="19"/>
        <v>0</v>
      </c>
      <c r="K172" s="1732">
        <f t="shared" si="19"/>
        <v>0</v>
      </c>
      <c r="L172" s="1730">
        <f t="shared" si="19"/>
        <v>0</v>
      </c>
      <c r="M172" s="1732">
        <f t="shared" si="19"/>
        <v>0</v>
      </c>
      <c r="N172" s="1731">
        <f t="shared" si="19"/>
        <v>0</v>
      </c>
      <c r="O172" s="37"/>
      <c r="P172" s="37"/>
      <c r="Q172" s="550"/>
    </row>
    <row r="173" spans="1:26" ht="13" x14ac:dyDescent="0.3">
      <c r="A173" s="36"/>
      <c r="B173" s="290" t="str">
        <f>TRIBUTS!K4</f>
        <v>ABRIL</v>
      </c>
      <c r="C173" s="1732">
        <f t="shared" si="20"/>
        <v>0</v>
      </c>
      <c r="D173" s="1730">
        <f t="shared" si="16"/>
        <v>0</v>
      </c>
      <c r="E173" s="1732">
        <f t="shared" si="17"/>
        <v>0</v>
      </c>
      <c r="F173" s="1730">
        <f t="shared" si="16"/>
        <v>0</v>
      </c>
      <c r="G173" s="1732">
        <f t="shared" si="18"/>
        <v>0</v>
      </c>
      <c r="H173" s="1730">
        <f t="shared" si="19"/>
        <v>0</v>
      </c>
      <c r="I173" s="1732">
        <f t="shared" si="19"/>
        <v>0</v>
      </c>
      <c r="J173" s="1730">
        <f t="shared" si="19"/>
        <v>0</v>
      </c>
      <c r="K173" s="1732">
        <f t="shared" si="19"/>
        <v>0</v>
      </c>
      <c r="L173" s="1730">
        <f t="shared" si="19"/>
        <v>0</v>
      </c>
      <c r="M173" s="1732">
        <f t="shared" si="19"/>
        <v>0</v>
      </c>
      <c r="N173" s="1731">
        <f t="shared" si="19"/>
        <v>0</v>
      </c>
      <c r="O173" s="37"/>
      <c r="P173" s="37"/>
      <c r="Q173" s="550"/>
    </row>
    <row r="174" spans="1:26" ht="13" x14ac:dyDescent="0.3">
      <c r="A174" s="36"/>
      <c r="B174" s="290" t="str">
        <f>TRIBUTS!K5</f>
        <v>MAIG</v>
      </c>
      <c r="C174" s="1732">
        <f t="shared" si="20"/>
        <v>0</v>
      </c>
      <c r="D174" s="1730">
        <f t="shared" si="16"/>
        <v>0</v>
      </c>
      <c r="E174" s="1732">
        <f t="shared" si="17"/>
        <v>0</v>
      </c>
      <c r="F174" s="1730">
        <f t="shared" si="16"/>
        <v>0</v>
      </c>
      <c r="G174" s="1732">
        <f t="shared" si="18"/>
        <v>0</v>
      </c>
      <c r="H174" s="1730">
        <f t="shared" si="19"/>
        <v>0</v>
      </c>
      <c r="I174" s="1732">
        <f t="shared" si="19"/>
        <v>0</v>
      </c>
      <c r="J174" s="1730">
        <f t="shared" si="19"/>
        <v>0</v>
      </c>
      <c r="K174" s="1732">
        <f t="shared" si="19"/>
        <v>0</v>
      </c>
      <c r="L174" s="1730">
        <f t="shared" si="19"/>
        <v>0</v>
      </c>
      <c r="M174" s="1732">
        <f t="shared" si="19"/>
        <v>0</v>
      </c>
      <c r="N174" s="1731">
        <f t="shared" si="19"/>
        <v>0</v>
      </c>
      <c r="O174" s="37"/>
      <c r="P174" s="37"/>
      <c r="Q174" s="550"/>
    </row>
    <row r="175" spans="1:26" ht="13" x14ac:dyDescent="0.3">
      <c r="A175" s="36"/>
      <c r="B175" s="290" t="str">
        <f>TRIBUTS!K6</f>
        <v>JUNY</v>
      </c>
      <c r="C175" s="1732">
        <f t="shared" si="20"/>
        <v>0</v>
      </c>
      <c r="D175" s="1730">
        <f t="shared" si="16"/>
        <v>0</v>
      </c>
      <c r="E175" s="1732">
        <f t="shared" si="17"/>
        <v>0</v>
      </c>
      <c r="F175" s="1730">
        <f t="shared" si="16"/>
        <v>0</v>
      </c>
      <c r="G175" s="1732">
        <f t="shared" si="18"/>
        <v>0</v>
      </c>
      <c r="H175" s="1730">
        <f t="shared" si="19"/>
        <v>0</v>
      </c>
      <c r="I175" s="1732">
        <f t="shared" si="19"/>
        <v>0</v>
      </c>
      <c r="J175" s="1730">
        <f t="shared" si="19"/>
        <v>0</v>
      </c>
      <c r="K175" s="1732">
        <f t="shared" si="19"/>
        <v>0</v>
      </c>
      <c r="L175" s="1730">
        <f t="shared" si="19"/>
        <v>0</v>
      </c>
      <c r="M175" s="1732">
        <f t="shared" si="19"/>
        <v>0</v>
      </c>
      <c r="N175" s="1731">
        <f t="shared" si="19"/>
        <v>0</v>
      </c>
      <c r="O175" s="37"/>
      <c r="P175" s="37"/>
      <c r="Q175" s="550"/>
    </row>
    <row r="176" spans="1:26" ht="13" x14ac:dyDescent="0.3">
      <c r="A176" s="36"/>
      <c r="B176" s="290" t="str">
        <f>TRIBUTS!K7</f>
        <v>JULIOL</v>
      </c>
      <c r="C176" s="1732">
        <f t="shared" si="20"/>
        <v>0</v>
      </c>
      <c r="D176" s="1730">
        <f t="shared" si="16"/>
        <v>0</v>
      </c>
      <c r="E176" s="1732">
        <f t="shared" si="17"/>
        <v>0</v>
      </c>
      <c r="F176" s="1730">
        <f t="shared" si="16"/>
        <v>0</v>
      </c>
      <c r="G176" s="1732">
        <f t="shared" si="18"/>
        <v>0</v>
      </c>
      <c r="H176" s="1730">
        <f t="shared" si="19"/>
        <v>0</v>
      </c>
      <c r="I176" s="1732">
        <f t="shared" si="19"/>
        <v>0</v>
      </c>
      <c r="J176" s="1730">
        <f t="shared" si="19"/>
        <v>0</v>
      </c>
      <c r="K176" s="1732">
        <f t="shared" si="19"/>
        <v>0</v>
      </c>
      <c r="L176" s="1730">
        <f t="shared" si="19"/>
        <v>0</v>
      </c>
      <c r="M176" s="1732">
        <f t="shared" si="19"/>
        <v>0</v>
      </c>
      <c r="N176" s="1731">
        <f t="shared" si="19"/>
        <v>0</v>
      </c>
      <c r="O176" s="37"/>
      <c r="P176" s="37"/>
      <c r="Q176" s="550"/>
    </row>
    <row r="177" spans="1:17" ht="13" x14ac:dyDescent="0.3">
      <c r="A177" s="36"/>
      <c r="B177" s="290" t="str">
        <f>TRIBUTS!K8</f>
        <v>AGOST</v>
      </c>
      <c r="C177" s="1732">
        <f t="shared" si="20"/>
        <v>0</v>
      </c>
      <c r="D177" s="1730">
        <f t="shared" si="16"/>
        <v>0</v>
      </c>
      <c r="E177" s="1732">
        <f t="shared" si="17"/>
        <v>0</v>
      </c>
      <c r="F177" s="1730">
        <f t="shared" si="16"/>
        <v>0</v>
      </c>
      <c r="G177" s="1732">
        <f t="shared" si="18"/>
        <v>0</v>
      </c>
      <c r="H177" s="1730">
        <f t="shared" si="19"/>
        <v>0</v>
      </c>
      <c r="I177" s="1732">
        <f t="shared" si="19"/>
        <v>0</v>
      </c>
      <c r="J177" s="1730">
        <f t="shared" si="19"/>
        <v>0</v>
      </c>
      <c r="K177" s="1732">
        <f t="shared" si="19"/>
        <v>0</v>
      </c>
      <c r="L177" s="1730">
        <f t="shared" si="19"/>
        <v>0</v>
      </c>
      <c r="M177" s="1732">
        <f t="shared" si="19"/>
        <v>0</v>
      </c>
      <c r="N177" s="1731">
        <f t="shared" si="19"/>
        <v>0</v>
      </c>
      <c r="O177" s="37"/>
      <c r="P177" s="37"/>
      <c r="Q177" s="550"/>
    </row>
    <row r="178" spans="1:17" ht="13" x14ac:dyDescent="0.3">
      <c r="A178" s="36"/>
      <c r="B178" s="290" t="str">
        <f>TRIBUTS!K9</f>
        <v>SETEMBRE</v>
      </c>
      <c r="C178" s="1732">
        <f t="shared" si="20"/>
        <v>0</v>
      </c>
      <c r="D178" s="1730">
        <f t="shared" si="16"/>
        <v>0</v>
      </c>
      <c r="E178" s="1732">
        <f t="shared" si="17"/>
        <v>0</v>
      </c>
      <c r="F178" s="1730">
        <f t="shared" si="16"/>
        <v>0</v>
      </c>
      <c r="G178" s="1732">
        <f t="shared" si="18"/>
        <v>0</v>
      </c>
      <c r="H178" s="1730">
        <f t="shared" si="19"/>
        <v>0</v>
      </c>
      <c r="I178" s="1732">
        <f t="shared" si="19"/>
        <v>0</v>
      </c>
      <c r="J178" s="1730">
        <f t="shared" si="19"/>
        <v>0</v>
      </c>
      <c r="K178" s="1732">
        <f t="shared" si="19"/>
        <v>0</v>
      </c>
      <c r="L178" s="1730">
        <f t="shared" si="19"/>
        <v>0</v>
      </c>
      <c r="M178" s="1732">
        <f t="shared" si="19"/>
        <v>0</v>
      </c>
      <c r="N178" s="1731">
        <f t="shared" si="19"/>
        <v>0</v>
      </c>
      <c r="O178" s="37"/>
      <c r="P178" s="37"/>
      <c r="Q178" s="550"/>
    </row>
    <row r="179" spans="1:17" ht="13" x14ac:dyDescent="0.3">
      <c r="A179" s="36"/>
      <c r="B179" s="290" t="str">
        <f>TRIBUTS!K10</f>
        <v>OCTUBRE</v>
      </c>
      <c r="C179" s="1732">
        <f t="shared" si="20"/>
        <v>0</v>
      </c>
      <c r="D179" s="1730">
        <f t="shared" si="16"/>
        <v>0</v>
      </c>
      <c r="E179" s="1732">
        <f t="shared" si="17"/>
        <v>0</v>
      </c>
      <c r="F179" s="1730">
        <f t="shared" si="16"/>
        <v>0</v>
      </c>
      <c r="G179" s="1732">
        <f t="shared" si="18"/>
        <v>0</v>
      </c>
      <c r="H179" s="1730">
        <f t="shared" si="19"/>
        <v>0</v>
      </c>
      <c r="I179" s="1732">
        <f t="shared" si="19"/>
        <v>0</v>
      </c>
      <c r="J179" s="1730">
        <f t="shared" si="19"/>
        <v>0</v>
      </c>
      <c r="K179" s="1732">
        <f t="shared" si="19"/>
        <v>0</v>
      </c>
      <c r="L179" s="1730">
        <f t="shared" si="19"/>
        <v>0</v>
      </c>
      <c r="M179" s="1732">
        <f t="shared" si="19"/>
        <v>0</v>
      </c>
      <c r="N179" s="1731">
        <f t="shared" si="19"/>
        <v>0</v>
      </c>
      <c r="O179" s="37"/>
      <c r="P179" s="37"/>
      <c r="Q179" s="550"/>
    </row>
    <row r="180" spans="1:17" ht="13" x14ac:dyDescent="0.3">
      <c r="A180" s="36"/>
      <c r="B180" s="290" t="str">
        <f>TRIBUTS!K11</f>
        <v>NOVEMBRE</v>
      </c>
      <c r="C180" s="1732">
        <f t="shared" si="20"/>
        <v>0</v>
      </c>
      <c r="D180" s="1730">
        <f t="shared" si="16"/>
        <v>0</v>
      </c>
      <c r="E180" s="1732">
        <f t="shared" si="17"/>
        <v>0</v>
      </c>
      <c r="F180" s="1730">
        <f t="shared" si="16"/>
        <v>0</v>
      </c>
      <c r="G180" s="1732">
        <f t="shared" si="18"/>
        <v>0</v>
      </c>
      <c r="H180" s="1730">
        <f t="shared" si="19"/>
        <v>0</v>
      </c>
      <c r="I180" s="1732">
        <f t="shared" si="19"/>
        <v>0</v>
      </c>
      <c r="J180" s="1730">
        <f t="shared" si="19"/>
        <v>0</v>
      </c>
      <c r="K180" s="1732">
        <f t="shared" si="19"/>
        <v>0</v>
      </c>
      <c r="L180" s="1730">
        <f t="shared" si="19"/>
        <v>0</v>
      </c>
      <c r="M180" s="1732">
        <f t="shared" si="19"/>
        <v>0</v>
      </c>
      <c r="N180" s="1731">
        <f t="shared" si="19"/>
        <v>0</v>
      </c>
      <c r="O180" s="37"/>
      <c r="P180" s="37"/>
      <c r="Q180" s="550"/>
    </row>
    <row r="181" spans="1:17" ht="13" x14ac:dyDescent="0.3">
      <c r="A181" s="36"/>
      <c r="B181" s="290" t="str">
        <f>TRIBUTS!K12</f>
        <v>DESEMBRE</v>
      </c>
      <c r="C181" s="1732">
        <f t="shared" si="20"/>
        <v>0</v>
      </c>
      <c r="D181" s="1730">
        <f t="shared" si="16"/>
        <v>0</v>
      </c>
      <c r="E181" s="1732">
        <f t="shared" si="17"/>
        <v>0</v>
      </c>
      <c r="F181" s="1730">
        <f t="shared" si="16"/>
        <v>0</v>
      </c>
      <c r="G181" s="1732">
        <f t="shared" si="18"/>
        <v>0</v>
      </c>
      <c r="H181" s="1730">
        <f t="shared" si="19"/>
        <v>0</v>
      </c>
      <c r="I181" s="1732">
        <f t="shared" si="19"/>
        <v>0</v>
      </c>
      <c r="J181" s="1730">
        <f t="shared" si="19"/>
        <v>0</v>
      </c>
      <c r="K181" s="1732">
        <f t="shared" si="19"/>
        <v>0</v>
      </c>
      <c r="L181" s="1730">
        <f t="shared" si="19"/>
        <v>0</v>
      </c>
      <c r="M181" s="1732">
        <f t="shared" si="19"/>
        <v>0</v>
      </c>
      <c r="N181" s="1731">
        <f t="shared" si="19"/>
        <v>0</v>
      </c>
      <c r="O181" s="37"/>
      <c r="P181" s="37"/>
      <c r="Q181" s="550"/>
    </row>
    <row r="182" spans="1:17" ht="13" x14ac:dyDescent="0.3">
      <c r="A182" s="36"/>
      <c r="B182" s="255"/>
      <c r="C182" s="254"/>
      <c r="D182" s="88"/>
      <c r="E182" s="296"/>
      <c r="F182" s="296"/>
      <c r="G182" s="296"/>
      <c r="H182" s="296"/>
      <c r="I182" s="1739"/>
      <c r="J182" s="88"/>
      <c r="K182" s="296"/>
      <c r="L182" s="296"/>
      <c r="M182" s="296"/>
      <c r="N182" s="635"/>
      <c r="O182" s="37"/>
      <c r="P182" s="37"/>
      <c r="Q182" s="550"/>
    </row>
    <row r="183" spans="1:17" ht="13" x14ac:dyDescent="0.3">
      <c r="A183" s="36"/>
      <c r="B183" s="1787" t="s">
        <v>47</v>
      </c>
      <c r="C183" s="1795" t="s">
        <v>150</v>
      </c>
      <c r="D183" s="1795"/>
      <c r="E183" s="1795"/>
      <c r="F183" s="1795"/>
      <c r="G183" s="1795"/>
      <c r="H183" s="1795"/>
      <c r="I183" s="1795"/>
      <c r="J183" s="1795"/>
      <c r="K183" s="1795"/>
      <c r="L183" s="1795"/>
      <c r="M183" s="1795"/>
      <c r="N183" s="1795"/>
      <c r="O183" s="37"/>
      <c r="P183" s="37"/>
      <c r="Q183" s="550"/>
    </row>
    <row r="184" spans="1:17" ht="13" x14ac:dyDescent="0.3">
      <c r="A184" s="36"/>
      <c r="B184" s="1787"/>
      <c r="C184" s="631" t="str">
        <f>C168</f>
        <v>A</v>
      </c>
      <c r="D184" s="631" t="str">
        <f t="shared" ref="D184:N184" si="21">D168</f>
        <v>B</v>
      </c>
      <c r="E184" s="631" t="str">
        <f t="shared" si="21"/>
        <v>C</v>
      </c>
      <c r="F184" s="631" t="str">
        <f t="shared" si="21"/>
        <v>D</v>
      </c>
      <c r="G184" s="631" t="str">
        <f t="shared" si="21"/>
        <v>E</v>
      </c>
      <c r="H184" s="631" t="str">
        <f t="shared" si="21"/>
        <v>F</v>
      </c>
      <c r="I184" s="631" t="str">
        <f t="shared" si="21"/>
        <v>G</v>
      </c>
      <c r="J184" s="631" t="str">
        <f t="shared" si="21"/>
        <v>H</v>
      </c>
      <c r="K184" s="631" t="str">
        <f t="shared" si="21"/>
        <v>I</v>
      </c>
      <c r="L184" s="631" t="str">
        <f t="shared" si="21"/>
        <v>J</v>
      </c>
      <c r="M184" s="631" t="str">
        <f t="shared" si="21"/>
        <v>K</v>
      </c>
      <c r="N184" s="632" t="str">
        <f t="shared" si="21"/>
        <v>L</v>
      </c>
      <c r="O184" s="37"/>
      <c r="P184" s="37"/>
      <c r="Q184" s="550"/>
    </row>
    <row r="185" spans="1:17" ht="13" x14ac:dyDescent="0.3">
      <c r="A185" s="36"/>
      <c r="B185" s="1787"/>
      <c r="C185" s="71" t="s">
        <v>151</v>
      </c>
      <c r="D185" s="414" t="str">
        <f>C185</f>
        <v>%</v>
      </c>
      <c r="E185" s="633" t="str">
        <f t="shared" ref="E185:N185" si="22">C$169</f>
        <v>%</v>
      </c>
      <c r="F185" s="633" t="str">
        <f t="shared" si="22"/>
        <v>%</v>
      </c>
      <c r="G185" s="633" t="str">
        <f t="shared" si="22"/>
        <v>%</v>
      </c>
      <c r="H185" s="633" t="str">
        <f t="shared" si="22"/>
        <v>%</v>
      </c>
      <c r="I185" s="633" t="str">
        <f t="shared" si="22"/>
        <v>%</v>
      </c>
      <c r="J185" s="633" t="str">
        <f t="shared" si="22"/>
        <v>%</v>
      </c>
      <c r="K185" s="633" t="str">
        <f t="shared" si="22"/>
        <v>%</v>
      </c>
      <c r="L185" s="633" t="str">
        <f t="shared" si="22"/>
        <v>%</v>
      </c>
      <c r="M185" s="633" t="str">
        <f t="shared" si="22"/>
        <v>%</v>
      </c>
      <c r="N185" s="632" t="str">
        <f t="shared" si="22"/>
        <v>%</v>
      </c>
      <c r="O185" s="37"/>
      <c r="P185" s="37"/>
      <c r="Q185" s="550"/>
    </row>
    <row r="186" spans="1:17" ht="13" x14ac:dyDescent="0.3">
      <c r="A186" s="36"/>
      <c r="B186" s="290" t="str">
        <f>B170</f>
        <v>GENER</v>
      </c>
      <c r="C186" s="1732">
        <f>C181</f>
        <v>0</v>
      </c>
      <c r="D186" s="1730">
        <f>D181</f>
        <v>0</v>
      </c>
      <c r="E186" s="1732">
        <f>E181</f>
        <v>0</v>
      </c>
      <c r="F186" s="1730">
        <f>F181</f>
        <v>0</v>
      </c>
      <c r="G186" s="1732">
        <f>G181</f>
        <v>0</v>
      </c>
      <c r="H186" s="1730">
        <f t="shared" ref="H186:N186" si="23">H181</f>
        <v>0</v>
      </c>
      <c r="I186" s="1732">
        <f t="shared" si="23"/>
        <v>0</v>
      </c>
      <c r="J186" s="1730">
        <f t="shared" si="23"/>
        <v>0</v>
      </c>
      <c r="K186" s="1732">
        <f t="shared" si="23"/>
        <v>0</v>
      </c>
      <c r="L186" s="1730">
        <f t="shared" si="23"/>
        <v>0</v>
      </c>
      <c r="M186" s="1732">
        <f t="shared" si="23"/>
        <v>0</v>
      </c>
      <c r="N186" s="1731">
        <f t="shared" si="23"/>
        <v>0</v>
      </c>
      <c r="O186" s="37"/>
      <c r="P186" s="37"/>
      <c r="Q186" s="550"/>
    </row>
    <row r="187" spans="1:17" ht="13" x14ac:dyDescent="0.3">
      <c r="A187" s="36"/>
      <c r="B187" s="290" t="str">
        <f t="shared" ref="B187:B197" si="24">B171</f>
        <v>FEBRER</v>
      </c>
      <c r="C187" s="1732">
        <f>C186</f>
        <v>0</v>
      </c>
      <c r="D187" s="1730">
        <f t="shared" ref="D187:D197" si="25">D186</f>
        <v>0</v>
      </c>
      <c r="E187" s="1732">
        <f t="shared" ref="E187:E197" si="26">E186</f>
        <v>0</v>
      </c>
      <c r="F187" s="1730">
        <f t="shared" ref="F187:F197" si="27">F186</f>
        <v>0</v>
      </c>
      <c r="G187" s="1732">
        <f t="shared" ref="G187:G197" si="28">G186</f>
        <v>0</v>
      </c>
      <c r="H187" s="1730">
        <f t="shared" ref="H187:N187" si="29">H186</f>
        <v>0</v>
      </c>
      <c r="I187" s="1732">
        <f t="shared" si="29"/>
        <v>0</v>
      </c>
      <c r="J187" s="1730">
        <f t="shared" si="29"/>
        <v>0</v>
      </c>
      <c r="K187" s="1732">
        <f t="shared" si="29"/>
        <v>0</v>
      </c>
      <c r="L187" s="1730">
        <f t="shared" si="29"/>
        <v>0</v>
      </c>
      <c r="M187" s="1732">
        <f t="shared" si="29"/>
        <v>0</v>
      </c>
      <c r="N187" s="1731">
        <f t="shared" si="29"/>
        <v>0</v>
      </c>
      <c r="O187" s="37"/>
      <c r="P187" s="37"/>
      <c r="Q187" s="550"/>
    </row>
    <row r="188" spans="1:17" ht="13" x14ac:dyDescent="0.3">
      <c r="A188" s="36"/>
      <c r="B188" s="290" t="str">
        <f t="shared" si="24"/>
        <v>MARÇ</v>
      </c>
      <c r="C188" s="1732">
        <f t="shared" ref="C188:C197" si="30">C187</f>
        <v>0</v>
      </c>
      <c r="D188" s="1730">
        <f t="shared" si="25"/>
        <v>0</v>
      </c>
      <c r="E188" s="1732">
        <f t="shared" si="26"/>
        <v>0</v>
      </c>
      <c r="F188" s="1730">
        <f t="shared" si="27"/>
        <v>0</v>
      </c>
      <c r="G188" s="1732">
        <f t="shared" si="28"/>
        <v>0</v>
      </c>
      <c r="H188" s="1730">
        <f t="shared" ref="H188:H197" si="31">H187</f>
        <v>0</v>
      </c>
      <c r="I188" s="1732">
        <f t="shared" ref="I188:I197" si="32">I187</f>
        <v>0</v>
      </c>
      <c r="J188" s="1730">
        <f t="shared" ref="J188:J197" si="33">J187</f>
        <v>0</v>
      </c>
      <c r="K188" s="1732">
        <f t="shared" ref="K188:K197" si="34">K187</f>
        <v>0</v>
      </c>
      <c r="L188" s="1730">
        <f t="shared" ref="L188:L197" si="35">L187</f>
        <v>0</v>
      </c>
      <c r="M188" s="1732">
        <f t="shared" ref="M188:M197" si="36">M187</f>
        <v>0</v>
      </c>
      <c r="N188" s="1731">
        <f t="shared" ref="N188:N197" si="37">N187</f>
        <v>0</v>
      </c>
      <c r="O188" s="37"/>
      <c r="P188" s="37"/>
      <c r="Q188" s="550"/>
    </row>
    <row r="189" spans="1:17" ht="13" x14ac:dyDescent="0.3">
      <c r="A189" s="36"/>
      <c r="B189" s="290" t="str">
        <f t="shared" si="24"/>
        <v>ABRIL</v>
      </c>
      <c r="C189" s="1732">
        <f t="shared" si="30"/>
        <v>0</v>
      </c>
      <c r="D189" s="1730">
        <f t="shared" si="25"/>
        <v>0</v>
      </c>
      <c r="E189" s="1732">
        <f t="shared" si="26"/>
        <v>0</v>
      </c>
      <c r="F189" s="1730">
        <f t="shared" si="27"/>
        <v>0</v>
      </c>
      <c r="G189" s="1732">
        <f t="shared" si="28"/>
        <v>0</v>
      </c>
      <c r="H189" s="1730">
        <f t="shared" si="31"/>
        <v>0</v>
      </c>
      <c r="I189" s="1732">
        <f t="shared" si="32"/>
        <v>0</v>
      </c>
      <c r="J189" s="1730">
        <f t="shared" si="33"/>
        <v>0</v>
      </c>
      <c r="K189" s="1732">
        <f t="shared" si="34"/>
        <v>0</v>
      </c>
      <c r="L189" s="1730">
        <f t="shared" si="35"/>
        <v>0</v>
      </c>
      <c r="M189" s="1732">
        <f t="shared" si="36"/>
        <v>0</v>
      </c>
      <c r="N189" s="1731">
        <f t="shared" si="37"/>
        <v>0</v>
      </c>
      <c r="O189" s="37"/>
      <c r="P189" s="37"/>
      <c r="Q189" s="550"/>
    </row>
    <row r="190" spans="1:17" ht="13" x14ac:dyDescent="0.3">
      <c r="A190" s="36"/>
      <c r="B190" s="290" t="str">
        <f t="shared" si="24"/>
        <v>MAIG</v>
      </c>
      <c r="C190" s="1732">
        <f t="shared" si="30"/>
        <v>0</v>
      </c>
      <c r="D190" s="1730">
        <f t="shared" si="25"/>
        <v>0</v>
      </c>
      <c r="E190" s="1732">
        <f t="shared" si="26"/>
        <v>0</v>
      </c>
      <c r="F190" s="1730">
        <f t="shared" si="27"/>
        <v>0</v>
      </c>
      <c r="G190" s="1732">
        <f t="shared" si="28"/>
        <v>0</v>
      </c>
      <c r="H190" s="1730">
        <f t="shared" si="31"/>
        <v>0</v>
      </c>
      <c r="I190" s="1732">
        <f t="shared" si="32"/>
        <v>0</v>
      </c>
      <c r="J190" s="1730">
        <f t="shared" si="33"/>
        <v>0</v>
      </c>
      <c r="K190" s="1732">
        <f t="shared" si="34"/>
        <v>0</v>
      </c>
      <c r="L190" s="1730">
        <f t="shared" si="35"/>
        <v>0</v>
      </c>
      <c r="M190" s="1732">
        <f t="shared" si="36"/>
        <v>0</v>
      </c>
      <c r="N190" s="1731">
        <f t="shared" si="37"/>
        <v>0</v>
      </c>
      <c r="O190" s="37"/>
      <c r="P190" s="37"/>
      <c r="Q190" s="550"/>
    </row>
    <row r="191" spans="1:17" ht="13" x14ac:dyDescent="0.3">
      <c r="A191" s="36"/>
      <c r="B191" s="290" t="str">
        <f t="shared" si="24"/>
        <v>JUNY</v>
      </c>
      <c r="C191" s="1732">
        <f t="shared" si="30"/>
        <v>0</v>
      </c>
      <c r="D191" s="1730">
        <f t="shared" si="25"/>
        <v>0</v>
      </c>
      <c r="E191" s="1732">
        <f t="shared" si="26"/>
        <v>0</v>
      </c>
      <c r="F191" s="1730">
        <f t="shared" si="27"/>
        <v>0</v>
      </c>
      <c r="G191" s="1732">
        <f t="shared" si="28"/>
        <v>0</v>
      </c>
      <c r="H191" s="1730">
        <f t="shared" si="31"/>
        <v>0</v>
      </c>
      <c r="I191" s="1732">
        <f t="shared" si="32"/>
        <v>0</v>
      </c>
      <c r="J191" s="1730">
        <f t="shared" si="33"/>
        <v>0</v>
      </c>
      <c r="K191" s="1732">
        <f t="shared" si="34"/>
        <v>0</v>
      </c>
      <c r="L191" s="1730">
        <f t="shared" si="35"/>
        <v>0</v>
      </c>
      <c r="M191" s="1732">
        <f t="shared" si="36"/>
        <v>0</v>
      </c>
      <c r="N191" s="1731">
        <f t="shared" si="37"/>
        <v>0</v>
      </c>
      <c r="O191" s="37"/>
      <c r="P191" s="37"/>
      <c r="Q191" s="550"/>
    </row>
    <row r="192" spans="1:17" ht="13" x14ac:dyDescent="0.3">
      <c r="A192" s="36"/>
      <c r="B192" s="290" t="str">
        <f t="shared" si="24"/>
        <v>JULIOL</v>
      </c>
      <c r="C192" s="1732">
        <f t="shared" si="30"/>
        <v>0</v>
      </c>
      <c r="D192" s="1730">
        <f t="shared" si="25"/>
        <v>0</v>
      </c>
      <c r="E192" s="1732">
        <f t="shared" si="26"/>
        <v>0</v>
      </c>
      <c r="F192" s="1730">
        <f t="shared" si="27"/>
        <v>0</v>
      </c>
      <c r="G192" s="1732">
        <f t="shared" si="28"/>
        <v>0</v>
      </c>
      <c r="H192" s="1730">
        <f t="shared" si="31"/>
        <v>0</v>
      </c>
      <c r="I192" s="1732">
        <f t="shared" si="32"/>
        <v>0</v>
      </c>
      <c r="J192" s="1730">
        <f t="shared" si="33"/>
        <v>0</v>
      </c>
      <c r="K192" s="1732">
        <f t="shared" si="34"/>
        <v>0</v>
      </c>
      <c r="L192" s="1730">
        <f t="shared" si="35"/>
        <v>0</v>
      </c>
      <c r="M192" s="1732">
        <f t="shared" si="36"/>
        <v>0</v>
      </c>
      <c r="N192" s="1731">
        <f t="shared" si="37"/>
        <v>0</v>
      </c>
      <c r="O192" s="37"/>
      <c r="P192" s="37"/>
      <c r="Q192" s="550"/>
    </row>
    <row r="193" spans="1:17" ht="13" x14ac:dyDescent="0.3">
      <c r="A193" s="36"/>
      <c r="B193" s="290" t="str">
        <f t="shared" si="24"/>
        <v>AGOST</v>
      </c>
      <c r="C193" s="1732">
        <f t="shared" si="30"/>
        <v>0</v>
      </c>
      <c r="D193" s="1730">
        <f t="shared" si="25"/>
        <v>0</v>
      </c>
      <c r="E193" s="1732">
        <f t="shared" si="26"/>
        <v>0</v>
      </c>
      <c r="F193" s="1730">
        <f t="shared" si="27"/>
        <v>0</v>
      </c>
      <c r="G193" s="1732">
        <f t="shared" si="28"/>
        <v>0</v>
      </c>
      <c r="H193" s="1730">
        <f t="shared" si="31"/>
        <v>0</v>
      </c>
      <c r="I193" s="1732">
        <f t="shared" si="32"/>
        <v>0</v>
      </c>
      <c r="J193" s="1730">
        <f t="shared" si="33"/>
        <v>0</v>
      </c>
      <c r="K193" s="1732">
        <f t="shared" si="34"/>
        <v>0</v>
      </c>
      <c r="L193" s="1730">
        <f t="shared" si="35"/>
        <v>0</v>
      </c>
      <c r="M193" s="1732">
        <f t="shared" si="36"/>
        <v>0</v>
      </c>
      <c r="N193" s="1731">
        <f t="shared" si="37"/>
        <v>0</v>
      </c>
      <c r="O193" s="37"/>
      <c r="P193" s="37"/>
      <c r="Q193" s="550"/>
    </row>
    <row r="194" spans="1:17" ht="13" x14ac:dyDescent="0.3">
      <c r="A194" s="36"/>
      <c r="B194" s="290" t="str">
        <f t="shared" si="24"/>
        <v>SETEMBRE</v>
      </c>
      <c r="C194" s="1732">
        <f t="shared" si="30"/>
        <v>0</v>
      </c>
      <c r="D194" s="1730">
        <f t="shared" si="25"/>
        <v>0</v>
      </c>
      <c r="E194" s="1732">
        <f t="shared" si="26"/>
        <v>0</v>
      </c>
      <c r="F194" s="1730">
        <f t="shared" si="27"/>
        <v>0</v>
      </c>
      <c r="G194" s="1732">
        <f t="shared" si="28"/>
        <v>0</v>
      </c>
      <c r="H194" s="1730">
        <f t="shared" si="31"/>
        <v>0</v>
      </c>
      <c r="I194" s="1732">
        <f t="shared" si="32"/>
        <v>0</v>
      </c>
      <c r="J194" s="1730">
        <f t="shared" si="33"/>
        <v>0</v>
      </c>
      <c r="K194" s="1732">
        <f t="shared" si="34"/>
        <v>0</v>
      </c>
      <c r="L194" s="1730">
        <f t="shared" si="35"/>
        <v>0</v>
      </c>
      <c r="M194" s="1732">
        <f t="shared" si="36"/>
        <v>0</v>
      </c>
      <c r="N194" s="1731">
        <f t="shared" si="37"/>
        <v>0</v>
      </c>
      <c r="O194" s="37"/>
      <c r="P194" s="37"/>
      <c r="Q194" s="550"/>
    </row>
    <row r="195" spans="1:17" ht="13" x14ac:dyDescent="0.3">
      <c r="A195" s="36"/>
      <c r="B195" s="290" t="str">
        <f t="shared" si="24"/>
        <v>OCTUBRE</v>
      </c>
      <c r="C195" s="1732">
        <f t="shared" si="30"/>
        <v>0</v>
      </c>
      <c r="D195" s="1730">
        <f t="shared" si="25"/>
        <v>0</v>
      </c>
      <c r="E195" s="1732">
        <f t="shared" si="26"/>
        <v>0</v>
      </c>
      <c r="F195" s="1730">
        <f t="shared" si="27"/>
        <v>0</v>
      </c>
      <c r="G195" s="1732">
        <f t="shared" si="28"/>
        <v>0</v>
      </c>
      <c r="H195" s="1730">
        <f t="shared" si="31"/>
        <v>0</v>
      </c>
      <c r="I195" s="1732">
        <f t="shared" si="32"/>
        <v>0</v>
      </c>
      <c r="J195" s="1730">
        <f t="shared" si="33"/>
        <v>0</v>
      </c>
      <c r="K195" s="1732">
        <f t="shared" si="34"/>
        <v>0</v>
      </c>
      <c r="L195" s="1730">
        <f t="shared" si="35"/>
        <v>0</v>
      </c>
      <c r="M195" s="1732">
        <f t="shared" si="36"/>
        <v>0</v>
      </c>
      <c r="N195" s="1731">
        <f t="shared" si="37"/>
        <v>0</v>
      </c>
      <c r="O195" s="37"/>
      <c r="P195" s="37"/>
      <c r="Q195" s="550"/>
    </row>
    <row r="196" spans="1:17" ht="13" x14ac:dyDescent="0.3">
      <c r="A196" s="36"/>
      <c r="B196" s="290" t="str">
        <f t="shared" si="24"/>
        <v>NOVEMBRE</v>
      </c>
      <c r="C196" s="1732">
        <f t="shared" si="30"/>
        <v>0</v>
      </c>
      <c r="D196" s="1730">
        <f t="shared" si="25"/>
        <v>0</v>
      </c>
      <c r="E196" s="1732">
        <f t="shared" si="26"/>
        <v>0</v>
      </c>
      <c r="F196" s="1730">
        <f t="shared" si="27"/>
        <v>0</v>
      </c>
      <c r="G196" s="1732">
        <f t="shared" si="28"/>
        <v>0</v>
      </c>
      <c r="H196" s="1730">
        <f t="shared" si="31"/>
        <v>0</v>
      </c>
      <c r="I196" s="1732">
        <f t="shared" si="32"/>
        <v>0</v>
      </c>
      <c r="J196" s="1730">
        <f t="shared" si="33"/>
        <v>0</v>
      </c>
      <c r="K196" s="1732">
        <f t="shared" si="34"/>
        <v>0</v>
      </c>
      <c r="L196" s="1730">
        <f t="shared" si="35"/>
        <v>0</v>
      </c>
      <c r="M196" s="1732">
        <f t="shared" si="36"/>
        <v>0</v>
      </c>
      <c r="N196" s="1731">
        <f t="shared" si="37"/>
        <v>0</v>
      </c>
      <c r="O196" s="37"/>
      <c r="P196" s="37"/>
      <c r="Q196" s="550"/>
    </row>
    <row r="197" spans="1:17" ht="13" x14ac:dyDescent="0.3">
      <c r="A197" s="36"/>
      <c r="B197" s="290" t="str">
        <f t="shared" si="24"/>
        <v>DESEMBRE</v>
      </c>
      <c r="C197" s="1732">
        <f t="shared" si="30"/>
        <v>0</v>
      </c>
      <c r="D197" s="1730">
        <f t="shared" si="25"/>
        <v>0</v>
      </c>
      <c r="E197" s="1732">
        <f t="shared" si="26"/>
        <v>0</v>
      </c>
      <c r="F197" s="1730">
        <f t="shared" si="27"/>
        <v>0</v>
      </c>
      <c r="G197" s="1732">
        <f t="shared" si="28"/>
        <v>0</v>
      </c>
      <c r="H197" s="1730">
        <f t="shared" si="31"/>
        <v>0</v>
      </c>
      <c r="I197" s="1732">
        <f t="shared" si="32"/>
        <v>0</v>
      </c>
      <c r="J197" s="1730">
        <f t="shared" si="33"/>
        <v>0</v>
      </c>
      <c r="K197" s="1732">
        <f t="shared" si="34"/>
        <v>0</v>
      </c>
      <c r="L197" s="1730">
        <f t="shared" si="35"/>
        <v>0</v>
      </c>
      <c r="M197" s="1732">
        <f t="shared" si="36"/>
        <v>0</v>
      </c>
      <c r="N197" s="1731">
        <f t="shared" si="37"/>
        <v>0</v>
      </c>
      <c r="O197" s="37"/>
      <c r="P197" s="37"/>
      <c r="Q197" s="550"/>
    </row>
    <row r="198" spans="1:17" x14ac:dyDescent="0.25">
      <c r="A198" s="36"/>
      <c r="B198" s="62"/>
      <c r="C198" s="51"/>
      <c r="D198" s="51"/>
      <c r="E198" s="51"/>
      <c r="F198" s="51"/>
      <c r="G198" s="51"/>
      <c r="H198" s="51"/>
      <c r="I198" s="51"/>
      <c r="J198" s="51"/>
      <c r="K198" s="51"/>
      <c r="L198" s="51"/>
      <c r="M198" s="51"/>
      <c r="N198" s="52"/>
      <c r="O198" s="37"/>
      <c r="P198" s="37"/>
      <c r="Q198" s="550"/>
    </row>
    <row r="199" spans="1:17" ht="13" x14ac:dyDescent="0.3">
      <c r="A199" s="36"/>
      <c r="B199" s="1787" t="s">
        <v>57</v>
      </c>
      <c r="C199" s="1795" t="s">
        <v>150</v>
      </c>
      <c r="D199" s="1795"/>
      <c r="E199" s="1795"/>
      <c r="F199" s="1795"/>
      <c r="G199" s="1795"/>
      <c r="H199" s="1795"/>
      <c r="I199" s="1795"/>
      <c r="J199" s="1795"/>
      <c r="K199" s="1795"/>
      <c r="L199" s="1795"/>
      <c r="M199" s="1795"/>
      <c r="N199" s="1795"/>
      <c r="O199" s="37"/>
      <c r="P199" s="37"/>
      <c r="Q199" s="550"/>
    </row>
    <row r="200" spans="1:17" ht="13" x14ac:dyDescent="0.3">
      <c r="A200" s="36"/>
      <c r="B200" s="1787"/>
      <c r="C200" s="631" t="str">
        <f>C184</f>
        <v>A</v>
      </c>
      <c r="D200" s="631" t="str">
        <f t="shared" ref="D200:N200" si="38">D184</f>
        <v>B</v>
      </c>
      <c r="E200" s="631" t="str">
        <f t="shared" si="38"/>
        <v>C</v>
      </c>
      <c r="F200" s="631" t="str">
        <f t="shared" si="38"/>
        <v>D</v>
      </c>
      <c r="G200" s="631" t="str">
        <f t="shared" si="38"/>
        <v>E</v>
      </c>
      <c r="H200" s="631" t="str">
        <f t="shared" si="38"/>
        <v>F</v>
      </c>
      <c r="I200" s="631" t="str">
        <f t="shared" si="38"/>
        <v>G</v>
      </c>
      <c r="J200" s="631" t="str">
        <f t="shared" si="38"/>
        <v>H</v>
      </c>
      <c r="K200" s="631" t="str">
        <f t="shared" si="38"/>
        <v>I</v>
      </c>
      <c r="L200" s="631" t="str">
        <f t="shared" si="38"/>
        <v>J</v>
      </c>
      <c r="M200" s="631" t="str">
        <f t="shared" si="38"/>
        <v>K</v>
      </c>
      <c r="N200" s="632" t="str">
        <f t="shared" si="38"/>
        <v>L</v>
      </c>
      <c r="O200" s="37"/>
      <c r="P200" s="37"/>
      <c r="Q200" s="550"/>
    </row>
    <row r="201" spans="1:17" ht="13" x14ac:dyDescent="0.3">
      <c r="A201" s="36"/>
      <c r="B201" s="1787"/>
      <c r="C201" s="71" t="s">
        <v>151</v>
      </c>
      <c r="D201" s="414" t="str">
        <f>C201</f>
        <v>%</v>
      </c>
      <c r="E201" s="633" t="str">
        <f t="shared" ref="E201:N201" si="39">C$169</f>
        <v>%</v>
      </c>
      <c r="F201" s="633" t="str">
        <f t="shared" si="39"/>
        <v>%</v>
      </c>
      <c r="G201" s="633" t="str">
        <f t="shared" si="39"/>
        <v>%</v>
      </c>
      <c r="H201" s="633" t="str">
        <f t="shared" si="39"/>
        <v>%</v>
      </c>
      <c r="I201" s="633" t="str">
        <f t="shared" si="39"/>
        <v>%</v>
      </c>
      <c r="J201" s="633" t="str">
        <f t="shared" si="39"/>
        <v>%</v>
      </c>
      <c r="K201" s="633" t="str">
        <f t="shared" si="39"/>
        <v>%</v>
      </c>
      <c r="L201" s="633" t="str">
        <f t="shared" si="39"/>
        <v>%</v>
      </c>
      <c r="M201" s="633" t="str">
        <f t="shared" si="39"/>
        <v>%</v>
      </c>
      <c r="N201" s="632" t="str">
        <f t="shared" si="39"/>
        <v>%</v>
      </c>
      <c r="O201" s="37"/>
      <c r="P201" s="37"/>
      <c r="Q201" s="550"/>
    </row>
    <row r="202" spans="1:17" ht="13" x14ac:dyDescent="0.3">
      <c r="A202" s="36"/>
      <c r="B202" s="290" t="str">
        <f>B186</f>
        <v>GENER</v>
      </c>
      <c r="C202" s="1732">
        <f>C197</f>
        <v>0</v>
      </c>
      <c r="D202" s="1730">
        <f>D197</f>
        <v>0</v>
      </c>
      <c r="E202" s="1732">
        <f>E197</f>
        <v>0</v>
      </c>
      <c r="F202" s="1730">
        <f>F197</f>
        <v>0</v>
      </c>
      <c r="G202" s="1732">
        <f>G197</f>
        <v>0</v>
      </c>
      <c r="H202" s="1730">
        <f t="shared" ref="H202:N202" si="40">H197</f>
        <v>0</v>
      </c>
      <c r="I202" s="1740">
        <f t="shared" si="40"/>
        <v>0</v>
      </c>
      <c r="J202" s="1730">
        <f t="shared" si="40"/>
        <v>0</v>
      </c>
      <c r="K202" s="1732">
        <f t="shared" si="40"/>
        <v>0</v>
      </c>
      <c r="L202" s="1730">
        <f t="shared" si="40"/>
        <v>0</v>
      </c>
      <c r="M202" s="1732">
        <f t="shared" si="40"/>
        <v>0</v>
      </c>
      <c r="N202" s="1731">
        <f t="shared" si="40"/>
        <v>0</v>
      </c>
      <c r="O202" s="37"/>
      <c r="P202" s="37"/>
      <c r="Q202" s="550"/>
    </row>
    <row r="203" spans="1:17" ht="13" x14ac:dyDescent="0.3">
      <c r="A203" s="36"/>
      <c r="B203" s="290" t="str">
        <f t="shared" ref="B203:B213" si="41">B187</f>
        <v>FEBRER</v>
      </c>
      <c r="C203" s="1732">
        <f>C202</f>
        <v>0</v>
      </c>
      <c r="D203" s="1730">
        <f t="shared" ref="D203:D213" si="42">D202</f>
        <v>0</v>
      </c>
      <c r="E203" s="1732">
        <f t="shared" ref="E203:E213" si="43">E202</f>
        <v>0</v>
      </c>
      <c r="F203" s="1730">
        <f t="shared" ref="F203:F213" si="44">F202</f>
        <v>0</v>
      </c>
      <c r="G203" s="1732">
        <f t="shared" ref="G203:G213" si="45">G202</f>
        <v>0</v>
      </c>
      <c r="H203" s="1730">
        <f t="shared" ref="H203:N203" si="46">H202</f>
        <v>0</v>
      </c>
      <c r="I203" s="1740">
        <f t="shared" si="46"/>
        <v>0</v>
      </c>
      <c r="J203" s="1730">
        <f t="shared" si="46"/>
        <v>0</v>
      </c>
      <c r="K203" s="1732">
        <f t="shared" si="46"/>
        <v>0</v>
      </c>
      <c r="L203" s="1730">
        <f t="shared" si="46"/>
        <v>0</v>
      </c>
      <c r="M203" s="1732">
        <f t="shared" si="46"/>
        <v>0</v>
      </c>
      <c r="N203" s="1731">
        <f t="shared" si="46"/>
        <v>0</v>
      </c>
      <c r="O203" s="37"/>
      <c r="P203" s="37"/>
      <c r="Q203" s="550"/>
    </row>
    <row r="204" spans="1:17" ht="13" x14ac:dyDescent="0.3">
      <c r="A204" s="36"/>
      <c r="B204" s="290" t="str">
        <f t="shared" si="41"/>
        <v>MARÇ</v>
      </c>
      <c r="C204" s="1732">
        <f>C203</f>
        <v>0</v>
      </c>
      <c r="D204" s="1730">
        <f t="shared" si="42"/>
        <v>0</v>
      </c>
      <c r="E204" s="1732">
        <f t="shared" si="43"/>
        <v>0</v>
      </c>
      <c r="F204" s="1730">
        <f t="shared" si="44"/>
        <v>0</v>
      </c>
      <c r="G204" s="1732">
        <f t="shared" si="45"/>
        <v>0</v>
      </c>
      <c r="H204" s="1730">
        <f t="shared" ref="H204:H213" si="47">H203</f>
        <v>0</v>
      </c>
      <c r="I204" s="1740">
        <f t="shared" ref="I204:I213" si="48">I203</f>
        <v>0</v>
      </c>
      <c r="J204" s="1730">
        <f t="shared" ref="J204:J213" si="49">J203</f>
        <v>0</v>
      </c>
      <c r="K204" s="1732">
        <f t="shared" ref="K204:K213" si="50">K203</f>
        <v>0</v>
      </c>
      <c r="L204" s="1730">
        <f t="shared" ref="L204:L213" si="51">L203</f>
        <v>0</v>
      </c>
      <c r="M204" s="1732">
        <f t="shared" ref="M204:M213" si="52">M203</f>
        <v>0</v>
      </c>
      <c r="N204" s="1731">
        <f t="shared" ref="N204:N213" si="53">N203</f>
        <v>0</v>
      </c>
      <c r="O204" s="37"/>
      <c r="P204" s="37"/>
      <c r="Q204" s="550"/>
    </row>
    <row r="205" spans="1:17" ht="13" x14ac:dyDescent="0.3">
      <c r="A205" s="36"/>
      <c r="B205" s="290" t="str">
        <f t="shared" si="41"/>
        <v>ABRIL</v>
      </c>
      <c r="C205" s="1732">
        <f>C204</f>
        <v>0</v>
      </c>
      <c r="D205" s="1730">
        <f t="shared" si="42"/>
        <v>0</v>
      </c>
      <c r="E205" s="1732">
        <f t="shared" si="43"/>
        <v>0</v>
      </c>
      <c r="F205" s="1730">
        <f t="shared" si="44"/>
        <v>0</v>
      </c>
      <c r="G205" s="1732">
        <f t="shared" si="45"/>
        <v>0</v>
      </c>
      <c r="H205" s="1730">
        <f t="shared" si="47"/>
        <v>0</v>
      </c>
      <c r="I205" s="1740">
        <f t="shared" si="48"/>
        <v>0</v>
      </c>
      <c r="J205" s="1730">
        <f t="shared" si="49"/>
        <v>0</v>
      </c>
      <c r="K205" s="1732">
        <f t="shared" si="50"/>
        <v>0</v>
      </c>
      <c r="L205" s="1730">
        <f t="shared" si="51"/>
        <v>0</v>
      </c>
      <c r="M205" s="1732">
        <f t="shared" si="52"/>
        <v>0</v>
      </c>
      <c r="N205" s="1731">
        <f t="shared" si="53"/>
        <v>0</v>
      </c>
      <c r="O205" s="37"/>
      <c r="P205" s="37"/>
      <c r="Q205" s="550"/>
    </row>
    <row r="206" spans="1:17" ht="13" x14ac:dyDescent="0.3">
      <c r="A206" s="36"/>
      <c r="B206" s="290" t="str">
        <f t="shared" si="41"/>
        <v>MAIG</v>
      </c>
      <c r="C206" s="1732">
        <f t="shared" ref="C206:C213" si="54">C205</f>
        <v>0</v>
      </c>
      <c r="D206" s="1730">
        <f t="shared" si="42"/>
        <v>0</v>
      </c>
      <c r="E206" s="1732">
        <f t="shared" si="43"/>
        <v>0</v>
      </c>
      <c r="F206" s="1730">
        <f t="shared" si="44"/>
        <v>0</v>
      </c>
      <c r="G206" s="1732">
        <f t="shared" si="45"/>
        <v>0</v>
      </c>
      <c r="H206" s="1730">
        <f t="shared" si="47"/>
        <v>0</v>
      </c>
      <c r="I206" s="1740">
        <f t="shared" si="48"/>
        <v>0</v>
      </c>
      <c r="J206" s="1730">
        <f t="shared" si="49"/>
        <v>0</v>
      </c>
      <c r="K206" s="1732">
        <f t="shared" si="50"/>
        <v>0</v>
      </c>
      <c r="L206" s="1730">
        <f t="shared" si="51"/>
        <v>0</v>
      </c>
      <c r="M206" s="1732">
        <f t="shared" si="52"/>
        <v>0</v>
      </c>
      <c r="N206" s="1731">
        <f t="shared" si="53"/>
        <v>0</v>
      </c>
      <c r="O206" s="37"/>
      <c r="P206" s="37"/>
      <c r="Q206" s="550"/>
    </row>
    <row r="207" spans="1:17" ht="13" x14ac:dyDescent="0.3">
      <c r="A207" s="36"/>
      <c r="B207" s="290" t="str">
        <f t="shared" si="41"/>
        <v>JUNY</v>
      </c>
      <c r="C207" s="1732">
        <f t="shared" si="54"/>
        <v>0</v>
      </c>
      <c r="D207" s="1730">
        <f t="shared" si="42"/>
        <v>0</v>
      </c>
      <c r="E207" s="1732">
        <f t="shared" si="43"/>
        <v>0</v>
      </c>
      <c r="F207" s="1730">
        <f t="shared" si="44"/>
        <v>0</v>
      </c>
      <c r="G207" s="1732">
        <f t="shared" si="45"/>
        <v>0</v>
      </c>
      <c r="H207" s="1730">
        <f t="shared" si="47"/>
        <v>0</v>
      </c>
      <c r="I207" s="1740">
        <f t="shared" si="48"/>
        <v>0</v>
      </c>
      <c r="J207" s="1730">
        <f t="shared" si="49"/>
        <v>0</v>
      </c>
      <c r="K207" s="1732">
        <f t="shared" si="50"/>
        <v>0</v>
      </c>
      <c r="L207" s="1730">
        <f t="shared" si="51"/>
        <v>0</v>
      </c>
      <c r="M207" s="1732">
        <f t="shared" si="52"/>
        <v>0</v>
      </c>
      <c r="N207" s="1731">
        <f t="shared" si="53"/>
        <v>0</v>
      </c>
      <c r="O207" s="37"/>
      <c r="P207" s="37"/>
      <c r="Q207" s="550"/>
    </row>
    <row r="208" spans="1:17" ht="13" x14ac:dyDescent="0.3">
      <c r="A208" s="36"/>
      <c r="B208" s="290" t="str">
        <f t="shared" si="41"/>
        <v>JULIOL</v>
      </c>
      <c r="C208" s="1732">
        <f t="shared" si="54"/>
        <v>0</v>
      </c>
      <c r="D208" s="1730">
        <f t="shared" si="42"/>
        <v>0</v>
      </c>
      <c r="E208" s="1732">
        <f t="shared" si="43"/>
        <v>0</v>
      </c>
      <c r="F208" s="1730">
        <f t="shared" si="44"/>
        <v>0</v>
      </c>
      <c r="G208" s="1732">
        <f t="shared" si="45"/>
        <v>0</v>
      </c>
      <c r="H208" s="1730">
        <f t="shared" si="47"/>
        <v>0</v>
      </c>
      <c r="I208" s="1740">
        <f t="shared" si="48"/>
        <v>0</v>
      </c>
      <c r="J208" s="1730">
        <f t="shared" si="49"/>
        <v>0</v>
      </c>
      <c r="K208" s="1732">
        <f t="shared" si="50"/>
        <v>0</v>
      </c>
      <c r="L208" s="1730">
        <f t="shared" si="51"/>
        <v>0</v>
      </c>
      <c r="M208" s="1732">
        <f t="shared" si="52"/>
        <v>0</v>
      </c>
      <c r="N208" s="1731">
        <f t="shared" si="53"/>
        <v>0</v>
      </c>
      <c r="O208" s="37"/>
      <c r="P208" s="37"/>
      <c r="Q208" s="550"/>
    </row>
    <row r="209" spans="1:17" ht="13" x14ac:dyDescent="0.3">
      <c r="A209" s="36"/>
      <c r="B209" s="290" t="str">
        <f t="shared" si="41"/>
        <v>AGOST</v>
      </c>
      <c r="C209" s="1732">
        <f t="shared" si="54"/>
        <v>0</v>
      </c>
      <c r="D209" s="1730">
        <f t="shared" si="42"/>
        <v>0</v>
      </c>
      <c r="E209" s="1732">
        <f t="shared" si="43"/>
        <v>0</v>
      </c>
      <c r="F209" s="1730">
        <f t="shared" si="44"/>
        <v>0</v>
      </c>
      <c r="G209" s="1732">
        <f t="shared" si="45"/>
        <v>0</v>
      </c>
      <c r="H209" s="1730">
        <f t="shared" si="47"/>
        <v>0</v>
      </c>
      <c r="I209" s="1740">
        <f t="shared" si="48"/>
        <v>0</v>
      </c>
      <c r="J209" s="1730">
        <f t="shared" si="49"/>
        <v>0</v>
      </c>
      <c r="K209" s="1732">
        <f t="shared" si="50"/>
        <v>0</v>
      </c>
      <c r="L209" s="1730">
        <f t="shared" si="51"/>
        <v>0</v>
      </c>
      <c r="M209" s="1732">
        <f t="shared" si="52"/>
        <v>0</v>
      </c>
      <c r="N209" s="1731">
        <f t="shared" si="53"/>
        <v>0</v>
      </c>
      <c r="O209" s="37"/>
      <c r="P209" s="37"/>
      <c r="Q209" s="550"/>
    </row>
    <row r="210" spans="1:17" ht="13" x14ac:dyDescent="0.3">
      <c r="A210" s="36"/>
      <c r="B210" s="290" t="str">
        <f t="shared" si="41"/>
        <v>SETEMBRE</v>
      </c>
      <c r="C210" s="1732">
        <f t="shared" si="54"/>
        <v>0</v>
      </c>
      <c r="D210" s="1730">
        <f t="shared" si="42"/>
        <v>0</v>
      </c>
      <c r="E210" s="1732">
        <f t="shared" si="43"/>
        <v>0</v>
      </c>
      <c r="F210" s="1730">
        <f t="shared" si="44"/>
        <v>0</v>
      </c>
      <c r="G210" s="1732">
        <f t="shared" si="45"/>
        <v>0</v>
      </c>
      <c r="H210" s="1730">
        <f t="shared" si="47"/>
        <v>0</v>
      </c>
      <c r="I210" s="1740">
        <f t="shared" si="48"/>
        <v>0</v>
      </c>
      <c r="J210" s="1730">
        <f t="shared" si="49"/>
        <v>0</v>
      </c>
      <c r="K210" s="1732">
        <f t="shared" si="50"/>
        <v>0</v>
      </c>
      <c r="L210" s="1730">
        <f t="shared" si="51"/>
        <v>0</v>
      </c>
      <c r="M210" s="1732">
        <f t="shared" si="52"/>
        <v>0</v>
      </c>
      <c r="N210" s="1731">
        <f t="shared" si="53"/>
        <v>0</v>
      </c>
      <c r="O210" s="37"/>
      <c r="P210" s="37"/>
      <c r="Q210" s="550"/>
    </row>
    <row r="211" spans="1:17" ht="13" x14ac:dyDescent="0.3">
      <c r="A211" s="36"/>
      <c r="B211" s="290" t="str">
        <f t="shared" si="41"/>
        <v>OCTUBRE</v>
      </c>
      <c r="C211" s="1732">
        <f t="shared" si="54"/>
        <v>0</v>
      </c>
      <c r="D211" s="1730">
        <f t="shared" si="42"/>
        <v>0</v>
      </c>
      <c r="E211" s="1732">
        <f t="shared" si="43"/>
        <v>0</v>
      </c>
      <c r="F211" s="1730">
        <f t="shared" si="44"/>
        <v>0</v>
      </c>
      <c r="G211" s="1732">
        <f t="shared" si="45"/>
        <v>0</v>
      </c>
      <c r="H211" s="1730">
        <f t="shared" si="47"/>
        <v>0</v>
      </c>
      <c r="I211" s="1740">
        <f t="shared" si="48"/>
        <v>0</v>
      </c>
      <c r="J211" s="1730">
        <f t="shared" si="49"/>
        <v>0</v>
      </c>
      <c r="K211" s="1732">
        <f t="shared" si="50"/>
        <v>0</v>
      </c>
      <c r="L211" s="1730">
        <f t="shared" si="51"/>
        <v>0</v>
      </c>
      <c r="M211" s="1732">
        <f t="shared" si="52"/>
        <v>0</v>
      </c>
      <c r="N211" s="1731">
        <f t="shared" si="53"/>
        <v>0</v>
      </c>
      <c r="O211" s="37"/>
      <c r="P211" s="37"/>
      <c r="Q211" s="550"/>
    </row>
    <row r="212" spans="1:17" ht="13" x14ac:dyDescent="0.3">
      <c r="A212" s="36"/>
      <c r="B212" s="290" t="str">
        <f t="shared" si="41"/>
        <v>NOVEMBRE</v>
      </c>
      <c r="C212" s="1732">
        <f t="shared" si="54"/>
        <v>0</v>
      </c>
      <c r="D212" s="1730">
        <f t="shared" si="42"/>
        <v>0</v>
      </c>
      <c r="E212" s="1732">
        <f t="shared" si="43"/>
        <v>0</v>
      </c>
      <c r="F212" s="1730">
        <f t="shared" si="44"/>
        <v>0</v>
      </c>
      <c r="G212" s="1732">
        <f t="shared" si="45"/>
        <v>0</v>
      </c>
      <c r="H212" s="1730">
        <f t="shared" si="47"/>
        <v>0</v>
      </c>
      <c r="I212" s="1740">
        <f t="shared" si="48"/>
        <v>0</v>
      </c>
      <c r="J212" s="1730">
        <f t="shared" si="49"/>
        <v>0</v>
      </c>
      <c r="K212" s="1732">
        <f t="shared" si="50"/>
        <v>0</v>
      </c>
      <c r="L212" s="1730">
        <f t="shared" si="51"/>
        <v>0</v>
      </c>
      <c r="M212" s="1732">
        <f t="shared" si="52"/>
        <v>0</v>
      </c>
      <c r="N212" s="1731">
        <f t="shared" si="53"/>
        <v>0</v>
      </c>
      <c r="O212" s="37"/>
      <c r="P212" s="37"/>
      <c r="Q212" s="550"/>
    </row>
    <row r="213" spans="1:17" ht="13" x14ac:dyDescent="0.3">
      <c r="A213" s="36"/>
      <c r="B213" s="290" t="str">
        <f t="shared" si="41"/>
        <v>DESEMBRE</v>
      </c>
      <c r="C213" s="1732">
        <f t="shared" si="54"/>
        <v>0</v>
      </c>
      <c r="D213" s="1730">
        <f t="shared" si="42"/>
        <v>0</v>
      </c>
      <c r="E213" s="1732">
        <f t="shared" si="43"/>
        <v>0</v>
      </c>
      <c r="F213" s="1730">
        <f t="shared" si="44"/>
        <v>0</v>
      </c>
      <c r="G213" s="1732">
        <f t="shared" si="45"/>
        <v>0</v>
      </c>
      <c r="H213" s="1730">
        <f t="shared" si="47"/>
        <v>0</v>
      </c>
      <c r="I213" s="1740">
        <f t="shared" si="48"/>
        <v>0</v>
      </c>
      <c r="J213" s="1730">
        <f t="shared" si="49"/>
        <v>0</v>
      </c>
      <c r="K213" s="1732">
        <f t="shared" si="50"/>
        <v>0</v>
      </c>
      <c r="L213" s="1730">
        <f t="shared" si="51"/>
        <v>0</v>
      </c>
      <c r="M213" s="1732">
        <f t="shared" si="52"/>
        <v>0</v>
      </c>
      <c r="N213" s="1731">
        <f t="shared" si="53"/>
        <v>0</v>
      </c>
      <c r="O213" s="37"/>
      <c r="P213" s="37"/>
      <c r="Q213" s="550"/>
    </row>
    <row r="214" spans="1:17" ht="13" x14ac:dyDescent="0.3">
      <c r="A214" s="36"/>
      <c r="B214" s="636"/>
      <c r="C214" s="637"/>
      <c r="D214" s="637"/>
      <c r="E214" s="637"/>
      <c r="F214" s="637"/>
      <c r="G214" s="637"/>
      <c r="H214" s="637"/>
      <c r="I214" s="637"/>
      <c r="J214" s="637"/>
      <c r="K214" s="637"/>
      <c r="L214" s="637"/>
      <c r="M214" s="637"/>
      <c r="N214" s="638"/>
      <c r="O214" s="37"/>
      <c r="P214" s="37"/>
      <c r="Q214" s="550"/>
    </row>
    <row r="215" spans="1:17" x14ac:dyDescent="0.25">
      <c r="A215" s="36"/>
      <c r="B215" s="37"/>
      <c r="C215" s="37"/>
      <c r="D215" s="37"/>
      <c r="E215" s="37"/>
      <c r="F215" s="37"/>
      <c r="G215" s="37"/>
      <c r="H215" s="37"/>
      <c r="I215" s="37"/>
      <c r="J215" s="37"/>
      <c r="K215" s="37"/>
      <c r="L215" s="37"/>
      <c r="M215" s="37"/>
      <c r="N215" s="37"/>
      <c r="O215" s="37"/>
      <c r="P215" s="37"/>
      <c r="Q215" s="550"/>
    </row>
    <row r="216" spans="1:17" ht="15.5" x14ac:dyDescent="0.35">
      <c r="A216" s="42">
        <v>4</v>
      </c>
      <c r="B216" s="43" t="s">
        <v>160</v>
      </c>
      <c r="C216" s="639"/>
      <c r="D216" s="640"/>
      <c r="E216" s="37"/>
      <c r="F216" s="37"/>
      <c r="G216" s="37"/>
      <c r="H216" s="37"/>
      <c r="I216" s="37"/>
      <c r="J216" s="37"/>
      <c r="K216" s="37"/>
      <c r="L216" s="37"/>
      <c r="M216" s="37"/>
      <c r="N216" s="37"/>
      <c r="O216" s="37"/>
      <c r="P216" s="37"/>
      <c r="Q216" s="550"/>
    </row>
    <row r="217" spans="1:17" ht="13" x14ac:dyDescent="0.3">
      <c r="A217" s="36"/>
      <c r="B217" s="350"/>
      <c r="C217" s="46"/>
      <c r="D217" s="46"/>
      <c r="E217" s="46"/>
      <c r="F217" s="46"/>
      <c r="G217" s="46"/>
      <c r="H217" s="46"/>
      <c r="I217" s="46"/>
      <c r="J217" s="46"/>
      <c r="K217" s="46"/>
      <c r="L217" s="46"/>
      <c r="M217" s="46"/>
      <c r="N217" s="47"/>
      <c r="O217" s="37"/>
      <c r="P217" s="37"/>
      <c r="Q217" s="550"/>
    </row>
    <row r="218" spans="1:17" ht="13" x14ac:dyDescent="0.3">
      <c r="A218" s="36"/>
      <c r="B218" s="48" t="s">
        <v>89</v>
      </c>
      <c r="C218" s="71" t="s">
        <v>161</v>
      </c>
      <c r="D218" s="51"/>
      <c r="E218" s="71" t="s">
        <v>714</v>
      </c>
      <c r="F218" s="1686" t="s">
        <v>715</v>
      </c>
      <c r="G218" s="51"/>
      <c r="H218" s="1686"/>
      <c r="I218" s="1686" t="s">
        <v>17</v>
      </c>
      <c r="J218" s="1686"/>
      <c r="K218" s="1686"/>
      <c r="L218" s="51"/>
      <c r="M218" s="51"/>
      <c r="N218" s="52"/>
      <c r="O218" s="37"/>
      <c r="P218" s="37"/>
      <c r="Q218" s="550"/>
    </row>
    <row r="219" spans="1:17" ht="13" x14ac:dyDescent="0.3">
      <c r="A219" s="36"/>
      <c r="B219" s="353" t="s">
        <v>162</v>
      </c>
      <c r="C219" s="503">
        <v>0.21</v>
      </c>
      <c r="D219" s="51"/>
      <c r="E219" s="1685" t="s">
        <v>523</v>
      </c>
      <c r="F219" s="1688">
        <v>0</v>
      </c>
      <c r="G219" s="51"/>
      <c r="H219" s="1688"/>
      <c r="I219" s="1689" t="s">
        <v>736</v>
      </c>
      <c r="J219" s="1688"/>
      <c r="K219" s="1690"/>
      <c r="L219" s="51"/>
      <c r="M219" s="51"/>
      <c r="N219" s="52"/>
      <c r="O219" s="37"/>
      <c r="P219" s="37"/>
      <c r="Q219" s="550"/>
    </row>
    <row r="220" spans="1:17" ht="13" x14ac:dyDescent="0.3">
      <c r="A220" s="36"/>
      <c r="B220" s="48" t="s">
        <v>163</v>
      </c>
      <c r="C220" s="71" t="s">
        <v>161</v>
      </c>
      <c r="D220" s="51"/>
      <c r="E220" s="1685" t="s">
        <v>115</v>
      </c>
      <c r="F220" s="1687">
        <v>0.06</v>
      </c>
      <c r="G220" s="51"/>
      <c r="H220" s="1688"/>
      <c r="I220" s="1689" t="s">
        <v>737</v>
      </c>
      <c r="J220" s="1688"/>
      <c r="K220" s="1688">
        <v>0</v>
      </c>
      <c r="L220" s="51"/>
      <c r="M220" s="51"/>
      <c r="N220" s="52"/>
      <c r="O220" s="37"/>
      <c r="P220" s="37"/>
      <c r="Q220" s="550"/>
    </row>
    <row r="221" spans="1:17" ht="13" x14ac:dyDescent="0.3">
      <c r="A221" s="36"/>
      <c r="B221" s="353" t="s">
        <v>164</v>
      </c>
      <c r="C221" s="503">
        <v>0.21</v>
      </c>
      <c r="D221" s="51"/>
      <c r="E221" s="1685" t="s">
        <v>735</v>
      </c>
      <c r="F221" s="1688">
        <v>5</v>
      </c>
      <c r="G221" s="51"/>
      <c r="H221" s="51"/>
      <c r="I221" s="51"/>
      <c r="J221" s="51"/>
      <c r="K221" s="51"/>
      <c r="L221" s="51"/>
      <c r="M221" s="51"/>
      <c r="N221" s="52"/>
      <c r="O221" s="37"/>
      <c r="P221" s="37"/>
      <c r="Q221" s="550"/>
    </row>
    <row r="222" spans="1:17" ht="13" x14ac:dyDescent="0.3">
      <c r="A222" s="36"/>
      <c r="B222" s="353" t="s">
        <v>165</v>
      </c>
      <c r="C222" s="503">
        <v>0.21</v>
      </c>
      <c r="D222" s="51"/>
      <c r="E222" s="1685" t="s">
        <v>276</v>
      </c>
      <c r="F222" s="1709">
        <f>+LEASING!C12</f>
        <v>0</v>
      </c>
      <c r="G222" s="51"/>
      <c r="H222" s="51"/>
      <c r="I222" s="51"/>
      <c r="J222" s="51"/>
      <c r="K222" s="51"/>
      <c r="L222" s="51"/>
      <c r="M222" s="51"/>
      <c r="N222" s="52"/>
      <c r="O222" s="37"/>
      <c r="P222" s="37"/>
      <c r="Q222" s="550"/>
    </row>
    <row r="223" spans="1:17" ht="13" thickBot="1" x14ac:dyDescent="0.3">
      <c r="A223" s="36"/>
      <c r="B223" s="62"/>
      <c r="C223" s="51"/>
      <c r="D223" s="51"/>
      <c r="E223" s="51"/>
      <c r="F223" s="51"/>
      <c r="G223" s="51"/>
      <c r="H223" s="51"/>
      <c r="I223" s="51"/>
      <c r="J223" s="51"/>
      <c r="K223" s="51"/>
      <c r="L223" s="51"/>
      <c r="M223" s="51"/>
      <c r="N223" s="52"/>
      <c r="O223" s="37"/>
      <c r="P223" s="37"/>
      <c r="Q223" s="550"/>
    </row>
    <row r="224" spans="1:17" ht="13" x14ac:dyDescent="0.3">
      <c r="A224" s="36"/>
      <c r="B224" s="255"/>
      <c r="C224" s="1791" t="s">
        <v>17</v>
      </c>
      <c r="D224" s="1791"/>
      <c r="E224" s="1791" t="s">
        <v>47</v>
      </c>
      <c r="F224" s="1791"/>
      <c r="G224" s="1791" t="s">
        <v>57</v>
      </c>
      <c r="H224" s="1791"/>
      <c r="I224" s="51"/>
      <c r="J224" s="51"/>
      <c r="K224" s="51"/>
      <c r="L224" s="51"/>
      <c r="M224" s="51"/>
      <c r="N224" s="52"/>
      <c r="O224" s="37"/>
      <c r="P224" s="37"/>
      <c r="Q224" s="550"/>
    </row>
    <row r="225" spans="1:17" x14ac:dyDescent="0.25">
      <c r="A225" s="36"/>
      <c r="B225" s="357"/>
      <c r="C225" s="355" t="s">
        <v>167</v>
      </c>
      <c r="D225" s="356" t="s">
        <v>168</v>
      </c>
      <c r="E225" s="355" t="s">
        <v>167</v>
      </c>
      <c r="F225" s="356" t="s">
        <v>168</v>
      </c>
      <c r="G225" s="355" t="s">
        <v>167</v>
      </c>
      <c r="H225" s="356" t="s">
        <v>168</v>
      </c>
      <c r="I225" s="51"/>
      <c r="J225" s="51"/>
      <c r="K225" s="51"/>
      <c r="L225" s="51"/>
      <c r="M225" s="51"/>
      <c r="N225" s="52"/>
      <c r="O225" s="37"/>
      <c r="P225" s="37"/>
      <c r="Q225" s="550"/>
    </row>
    <row r="226" spans="1:17" ht="13" x14ac:dyDescent="0.3">
      <c r="A226" s="36"/>
      <c r="B226" s="362" t="s">
        <v>169</v>
      </c>
      <c r="C226" s="641">
        <v>0</v>
      </c>
      <c r="D226" s="642">
        <v>0</v>
      </c>
      <c r="E226" s="1741">
        <f>C226</f>
        <v>0</v>
      </c>
      <c r="F226" s="1742">
        <f>D226</f>
        <v>0</v>
      </c>
      <c r="G226" s="1741">
        <f>E226</f>
        <v>0</v>
      </c>
      <c r="H226" s="1742">
        <f>F226</f>
        <v>0</v>
      </c>
      <c r="I226" s="51"/>
      <c r="J226" s="51"/>
      <c r="K226" s="51"/>
      <c r="L226" s="51"/>
      <c r="M226" s="51"/>
      <c r="N226" s="52"/>
      <c r="O226" s="37"/>
      <c r="P226" s="37"/>
      <c r="Q226" s="550"/>
    </row>
    <row r="227" spans="1:17" ht="13" x14ac:dyDescent="0.3">
      <c r="A227" s="36"/>
      <c r="B227" s="368" t="s">
        <v>170</v>
      </c>
      <c r="C227" s="363"/>
      <c r="D227" s="364"/>
      <c r="E227" s="365"/>
      <c r="F227" s="364"/>
      <c r="G227" s="366"/>
      <c r="H227" s="364"/>
      <c r="I227" s="253"/>
      <c r="J227" s="643"/>
      <c r="K227" s="51"/>
      <c r="L227" s="51"/>
      <c r="M227" s="51"/>
      <c r="N227" s="52"/>
      <c r="O227" s="37"/>
      <c r="P227" s="37"/>
      <c r="Q227" s="550"/>
    </row>
    <row r="228" spans="1:17" ht="13" x14ac:dyDescent="0.3">
      <c r="A228" s="36"/>
      <c r="B228" s="372" t="s">
        <v>171</v>
      </c>
      <c r="C228" s="644">
        <v>0</v>
      </c>
      <c r="D228" s="370"/>
      <c r="E228" s="1743">
        <f>C228</f>
        <v>0</v>
      </c>
      <c r="F228" s="370"/>
      <c r="G228" s="1743">
        <f>E228</f>
        <v>0</v>
      </c>
      <c r="H228" s="364"/>
      <c r="I228" s="53"/>
      <c r="J228" s="53"/>
      <c r="K228" s="51"/>
      <c r="L228" s="51"/>
      <c r="M228" s="51"/>
      <c r="N228" s="52"/>
      <c r="O228" s="37"/>
      <c r="P228" s="37"/>
      <c r="Q228" s="550"/>
    </row>
    <row r="229" spans="1:17" ht="13" x14ac:dyDescent="0.3">
      <c r="A229" s="36"/>
      <c r="B229" s="372" t="s">
        <v>172</v>
      </c>
      <c r="C229" s="645">
        <v>0</v>
      </c>
      <c r="D229" s="370"/>
      <c r="E229" s="1744">
        <f>C229</f>
        <v>0</v>
      </c>
      <c r="F229" s="375"/>
      <c r="G229" s="1744">
        <f>E229</f>
        <v>0</v>
      </c>
      <c r="H229" s="364"/>
      <c r="I229" s="376"/>
      <c r="J229" s="643"/>
      <c r="K229" s="51"/>
      <c r="L229" s="51"/>
      <c r="M229" s="51"/>
      <c r="N229" s="52"/>
      <c r="O229" s="37"/>
      <c r="P229" s="37"/>
      <c r="Q229" s="550"/>
    </row>
    <row r="230" spans="1:17" ht="13" x14ac:dyDescent="0.3">
      <c r="A230" s="36"/>
      <c r="B230" s="379" t="s">
        <v>173</v>
      </c>
      <c r="C230" s="646">
        <v>0</v>
      </c>
      <c r="D230" s="370"/>
      <c r="E230" s="1745">
        <f>C230</f>
        <v>0</v>
      </c>
      <c r="F230" s="370"/>
      <c r="G230" s="1745">
        <f>E230</f>
        <v>0</v>
      </c>
      <c r="H230" s="364"/>
      <c r="I230" s="376"/>
      <c r="J230" s="643"/>
      <c r="K230" s="51"/>
      <c r="L230" s="51"/>
      <c r="M230" s="51"/>
      <c r="N230" s="52"/>
      <c r="O230" s="37"/>
      <c r="P230" s="37"/>
      <c r="Q230" s="550"/>
    </row>
    <row r="231" spans="1:17" ht="13" x14ac:dyDescent="0.3">
      <c r="A231" s="36"/>
      <c r="B231" s="252"/>
      <c r="C231" s="647"/>
      <c r="D231" s="274"/>
      <c r="E231" s="648"/>
      <c r="F231" s="274"/>
      <c r="G231" s="648"/>
      <c r="H231" s="274"/>
      <c r="I231" s="376"/>
      <c r="J231" s="643"/>
      <c r="K231" s="51"/>
      <c r="L231" s="51"/>
      <c r="M231" s="51"/>
      <c r="N231" s="52"/>
      <c r="O231" s="37"/>
      <c r="P231" s="37"/>
      <c r="Q231" s="550"/>
    </row>
    <row r="232" spans="1:17" ht="13" x14ac:dyDescent="0.3">
      <c r="A232" s="36"/>
      <c r="B232" s="354" t="s">
        <v>17</v>
      </c>
      <c r="C232" s="413" t="str">
        <f>VARIABLES!B12</f>
        <v>GENER</v>
      </c>
      <c r="D232" s="414" t="str">
        <f>VARIABLES!C12</f>
        <v>FEBRER</v>
      </c>
      <c r="E232" s="414" t="str">
        <f>VARIABLES!D12</f>
        <v>MARÇ</v>
      </c>
      <c r="F232" s="414" t="str">
        <f>VARIABLES!E12</f>
        <v>ABRIL</v>
      </c>
      <c r="G232" s="414" t="str">
        <f>VARIABLES!F12</f>
        <v>MAIG</v>
      </c>
      <c r="H232" s="414" t="str">
        <f>VARIABLES!G12</f>
        <v>JUNY</v>
      </c>
      <c r="I232" s="414" t="str">
        <f>VARIABLES!H12</f>
        <v>JULIOL</v>
      </c>
      <c r="J232" s="414" t="str">
        <f>VARIABLES!I12</f>
        <v>AGOST</v>
      </c>
      <c r="K232" s="414" t="str">
        <f>VARIABLES!J12</f>
        <v>SETEMBRE</v>
      </c>
      <c r="L232" s="414" t="str">
        <f>VARIABLES!K12</f>
        <v>OCTUBRE</v>
      </c>
      <c r="M232" s="414" t="str">
        <f>VARIABLES!L12</f>
        <v>NOVEMBRE</v>
      </c>
      <c r="N232" s="649" t="str">
        <f>VARIABLES!M12</f>
        <v>DESEMBRE</v>
      </c>
      <c r="O232" s="37"/>
      <c r="P232" s="37"/>
      <c r="Q232" s="550"/>
    </row>
    <row r="233" spans="1:17" x14ac:dyDescent="0.25">
      <c r="A233" s="36"/>
      <c r="B233" s="650" t="s">
        <v>174</v>
      </c>
      <c r="C233" s="651">
        <v>0</v>
      </c>
      <c r="D233" s="1733">
        <f>C233</f>
        <v>0</v>
      </c>
      <c r="E233" s="1733">
        <f t="shared" ref="E233:N236" si="55">D233</f>
        <v>0</v>
      </c>
      <c r="F233" s="1733">
        <f t="shared" si="55"/>
        <v>0</v>
      </c>
      <c r="G233" s="1733">
        <f t="shared" si="55"/>
        <v>0</v>
      </c>
      <c r="H233" s="1733">
        <f t="shared" si="55"/>
        <v>0</v>
      </c>
      <c r="I233" s="1733">
        <f t="shared" si="55"/>
        <v>0</v>
      </c>
      <c r="J233" s="1733">
        <f t="shared" si="55"/>
        <v>0</v>
      </c>
      <c r="K233" s="1733">
        <f t="shared" si="55"/>
        <v>0</v>
      </c>
      <c r="L233" s="1733">
        <f t="shared" si="55"/>
        <v>0</v>
      </c>
      <c r="M233" s="1733">
        <f t="shared" si="55"/>
        <v>0</v>
      </c>
      <c r="N233" s="1733">
        <f t="shared" si="55"/>
        <v>0</v>
      </c>
      <c r="O233" s="37"/>
      <c r="P233" s="37"/>
      <c r="Q233" s="550"/>
    </row>
    <row r="234" spans="1:17" x14ac:dyDescent="0.25">
      <c r="A234" s="36"/>
      <c r="B234" s="652" t="s">
        <v>175</v>
      </c>
      <c r="C234" s="651">
        <v>0</v>
      </c>
      <c r="D234" s="1733">
        <f>C234</f>
        <v>0</v>
      </c>
      <c r="E234" s="1733">
        <f>D234</f>
        <v>0</v>
      </c>
      <c r="F234" s="1733">
        <f t="shared" ref="F234:N234" si="56">E234</f>
        <v>0</v>
      </c>
      <c r="G234" s="1733">
        <f t="shared" si="56"/>
        <v>0</v>
      </c>
      <c r="H234" s="1733">
        <f t="shared" si="56"/>
        <v>0</v>
      </c>
      <c r="I234" s="1733">
        <f t="shared" si="56"/>
        <v>0</v>
      </c>
      <c r="J234" s="1733">
        <f t="shared" si="56"/>
        <v>0</v>
      </c>
      <c r="K234" s="1733">
        <f t="shared" si="56"/>
        <v>0</v>
      </c>
      <c r="L234" s="1733">
        <f t="shared" si="56"/>
        <v>0</v>
      </c>
      <c r="M234" s="1733">
        <f t="shared" si="56"/>
        <v>0</v>
      </c>
      <c r="N234" s="1733">
        <f t="shared" si="56"/>
        <v>0</v>
      </c>
      <c r="O234" s="37"/>
      <c r="P234" s="37"/>
      <c r="Q234" s="550"/>
    </row>
    <row r="235" spans="1:17" x14ac:dyDescent="0.25">
      <c r="A235" s="36"/>
      <c r="B235" s="652" t="s">
        <v>176</v>
      </c>
      <c r="C235" s="651">
        <v>0</v>
      </c>
      <c r="D235" s="1733">
        <f>C235</f>
        <v>0</v>
      </c>
      <c r="E235" s="1733">
        <f t="shared" si="55"/>
        <v>0</v>
      </c>
      <c r="F235" s="1733">
        <f t="shared" si="55"/>
        <v>0</v>
      </c>
      <c r="G235" s="1733">
        <f t="shared" si="55"/>
        <v>0</v>
      </c>
      <c r="H235" s="1733">
        <f t="shared" si="55"/>
        <v>0</v>
      </c>
      <c r="I235" s="1733">
        <f t="shared" si="55"/>
        <v>0</v>
      </c>
      <c r="J235" s="1733">
        <f t="shared" si="55"/>
        <v>0</v>
      </c>
      <c r="K235" s="1733">
        <f t="shared" si="55"/>
        <v>0</v>
      </c>
      <c r="L235" s="1733">
        <f t="shared" si="55"/>
        <v>0</v>
      </c>
      <c r="M235" s="1733">
        <f t="shared" si="55"/>
        <v>0</v>
      </c>
      <c r="N235" s="1733">
        <f t="shared" si="55"/>
        <v>0</v>
      </c>
      <c r="O235" s="37"/>
      <c r="P235" s="37"/>
      <c r="Q235" s="550"/>
    </row>
    <row r="236" spans="1:17" x14ac:dyDescent="0.25">
      <c r="A236" s="36"/>
      <c r="B236" s="652" t="s">
        <v>177</v>
      </c>
      <c r="C236" s="651">
        <v>0</v>
      </c>
      <c r="D236" s="1733">
        <f>C236</f>
        <v>0</v>
      </c>
      <c r="E236" s="1733">
        <f t="shared" si="55"/>
        <v>0</v>
      </c>
      <c r="F236" s="1733">
        <f t="shared" si="55"/>
        <v>0</v>
      </c>
      <c r="G236" s="1733">
        <f t="shared" si="55"/>
        <v>0</v>
      </c>
      <c r="H236" s="1733">
        <f t="shared" si="55"/>
        <v>0</v>
      </c>
      <c r="I236" s="1733">
        <f t="shared" si="55"/>
        <v>0</v>
      </c>
      <c r="J236" s="1733">
        <f t="shared" si="55"/>
        <v>0</v>
      </c>
      <c r="K236" s="1733">
        <f t="shared" si="55"/>
        <v>0</v>
      </c>
      <c r="L236" s="1733">
        <f t="shared" si="55"/>
        <v>0</v>
      </c>
      <c r="M236" s="1733">
        <f t="shared" si="55"/>
        <v>0</v>
      </c>
      <c r="N236" s="1733">
        <f t="shared" si="55"/>
        <v>0</v>
      </c>
      <c r="O236" s="37"/>
      <c r="P236" s="37"/>
      <c r="Q236" s="550"/>
    </row>
    <row r="237" spans="1:17" x14ac:dyDescent="0.25">
      <c r="A237" s="36"/>
      <c r="B237" s="652" t="s">
        <v>178</v>
      </c>
      <c r="C237" s="651">
        <v>0</v>
      </c>
      <c r="D237" s="1733">
        <v>0</v>
      </c>
      <c r="E237" s="1733">
        <v>0</v>
      </c>
      <c r="F237" s="1733">
        <f t="shared" ref="F237:N237" si="57">E237</f>
        <v>0</v>
      </c>
      <c r="G237" s="1733">
        <f t="shared" si="57"/>
        <v>0</v>
      </c>
      <c r="H237" s="1733">
        <f t="shared" si="57"/>
        <v>0</v>
      </c>
      <c r="I237" s="1733">
        <f t="shared" si="57"/>
        <v>0</v>
      </c>
      <c r="J237" s="1733">
        <f t="shared" si="57"/>
        <v>0</v>
      </c>
      <c r="K237" s="1733">
        <f t="shared" si="57"/>
        <v>0</v>
      </c>
      <c r="L237" s="1733">
        <f t="shared" si="57"/>
        <v>0</v>
      </c>
      <c r="M237" s="1733">
        <f t="shared" si="57"/>
        <v>0</v>
      </c>
      <c r="N237" s="1733">
        <f t="shared" si="57"/>
        <v>0</v>
      </c>
      <c r="O237" s="37"/>
      <c r="P237" s="37"/>
      <c r="Q237" s="550"/>
    </row>
    <row r="238" spans="1:17" x14ac:dyDescent="0.25">
      <c r="A238" s="36"/>
      <c r="B238" s="652" t="s">
        <v>179</v>
      </c>
      <c r="C238" s="653"/>
      <c r="D238" s="1734"/>
      <c r="E238" s="1735"/>
      <c r="F238" s="1734"/>
      <c r="G238" s="1734"/>
      <c r="H238" s="1734"/>
      <c r="I238" s="1734"/>
      <c r="J238" s="1734"/>
      <c r="K238" s="1734"/>
      <c r="L238" s="1734"/>
      <c r="M238" s="653"/>
      <c r="N238" s="653"/>
      <c r="O238" s="37"/>
      <c r="P238" s="37"/>
      <c r="Q238" s="550"/>
    </row>
    <row r="239" spans="1:17" x14ac:dyDescent="0.25">
      <c r="A239" s="36"/>
      <c r="B239" s="654" t="s">
        <v>180</v>
      </c>
      <c r="C239" s="651">
        <v>0</v>
      </c>
      <c r="D239" s="1733">
        <f t="shared" ref="D239:N239" si="58">C239</f>
        <v>0</v>
      </c>
      <c r="E239" s="1733">
        <f t="shared" si="58"/>
        <v>0</v>
      </c>
      <c r="F239" s="1733">
        <f t="shared" si="58"/>
        <v>0</v>
      </c>
      <c r="G239" s="1733">
        <f t="shared" si="58"/>
        <v>0</v>
      </c>
      <c r="H239" s="1733">
        <f t="shared" si="58"/>
        <v>0</v>
      </c>
      <c r="I239" s="1733">
        <f t="shared" si="58"/>
        <v>0</v>
      </c>
      <c r="J239" s="1733">
        <f t="shared" si="58"/>
        <v>0</v>
      </c>
      <c r="K239" s="1733">
        <f t="shared" si="58"/>
        <v>0</v>
      </c>
      <c r="L239" s="1733">
        <f t="shared" si="58"/>
        <v>0</v>
      </c>
      <c r="M239" s="1733">
        <f t="shared" si="58"/>
        <v>0</v>
      </c>
      <c r="N239" s="1733">
        <f t="shared" si="58"/>
        <v>0</v>
      </c>
      <c r="O239" s="37"/>
      <c r="P239" s="37"/>
      <c r="Q239" s="550"/>
    </row>
    <row r="240" spans="1:17" x14ac:dyDescent="0.25">
      <c r="A240" s="36"/>
      <c r="B240" s="654" t="s">
        <v>181</v>
      </c>
      <c r="C240" s="651">
        <v>0</v>
      </c>
      <c r="D240" s="1733">
        <f>C240</f>
        <v>0</v>
      </c>
      <c r="E240" s="1733">
        <f t="shared" ref="E240:N240" si="59">D240</f>
        <v>0</v>
      </c>
      <c r="F240" s="1733">
        <f t="shared" si="59"/>
        <v>0</v>
      </c>
      <c r="G240" s="1733">
        <f t="shared" si="59"/>
        <v>0</v>
      </c>
      <c r="H240" s="1733">
        <f t="shared" si="59"/>
        <v>0</v>
      </c>
      <c r="I240" s="1733">
        <f t="shared" si="59"/>
        <v>0</v>
      </c>
      <c r="J240" s="1733">
        <f t="shared" si="59"/>
        <v>0</v>
      </c>
      <c r="K240" s="1733">
        <f t="shared" si="59"/>
        <v>0</v>
      </c>
      <c r="L240" s="1733">
        <f t="shared" si="59"/>
        <v>0</v>
      </c>
      <c r="M240" s="1733">
        <f t="shared" si="59"/>
        <v>0</v>
      </c>
      <c r="N240" s="1733">
        <f t="shared" si="59"/>
        <v>0</v>
      </c>
      <c r="O240" s="37"/>
      <c r="P240" s="37"/>
      <c r="Q240" s="550"/>
    </row>
    <row r="241" spans="1:17" x14ac:dyDescent="0.25">
      <c r="A241" s="36"/>
      <c r="B241" s="654" t="s">
        <v>182</v>
      </c>
      <c r="C241" s="651">
        <v>0</v>
      </c>
      <c r="D241" s="1733">
        <f>C241</f>
        <v>0</v>
      </c>
      <c r="E241" s="1733">
        <f t="shared" ref="E241:N241" si="60">D241</f>
        <v>0</v>
      </c>
      <c r="F241" s="1733">
        <f t="shared" si="60"/>
        <v>0</v>
      </c>
      <c r="G241" s="1733">
        <f t="shared" si="60"/>
        <v>0</v>
      </c>
      <c r="H241" s="1733">
        <f t="shared" si="60"/>
        <v>0</v>
      </c>
      <c r="I241" s="1733">
        <f t="shared" si="60"/>
        <v>0</v>
      </c>
      <c r="J241" s="1733">
        <f t="shared" si="60"/>
        <v>0</v>
      </c>
      <c r="K241" s="1733">
        <f t="shared" si="60"/>
        <v>0</v>
      </c>
      <c r="L241" s="1733">
        <f t="shared" si="60"/>
        <v>0</v>
      </c>
      <c r="M241" s="1733">
        <f t="shared" si="60"/>
        <v>0</v>
      </c>
      <c r="N241" s="1733">
        <f t="shared" si="60"/>
        <v>0</v>
      </c>
      <c r="O241" s="37"/>
      <c r="P241" s="37"/>
      <c r="Q241" s="550"/>
    </row>
    <row r="242" spans="1:17" x14ac:dyDescent="0.25">
      <c r="A242" s="36"/>
      <c r="B242" s="654" t="s">
        <v>183</v>
      </c>
      <c r="C242" s="651">
        <v>0</v>
      </c>
      <c r="D242" s="1733">
        <f>C242</f>
        <v>0</v>
      </c>
      <c r="E242" s="1733">
        <f t="shared" ref="E242:N243" si="61">D242</f>
        <v>0</v>
      </c>
      <c r="F242" s="1733">
        <f t="shared" si="61"/>
        <v>0</v>
      </c>
      <c r="G242" s="1733">
        <f t="shared" si="61"/>
        <v>0</v>
      </c>
      <c r="H242" s="1733">
        <f t="shared" si="61"/>
        <v>0</v>
      </c>
      <c r="I242" s="1733">
        <f t="shared" si="61"/>
        <v>0</v>
      </c>
      <c r="J242" s="1733">
        <f t="shared" si="61"/>
        <v>0</v>
      </c>
      <c r="K242" s="1733">
        <f t="shared" si="61"/>
        <v>0</v>
      </c>
      <c r="L242" s="1733">
        <f t="shared" si="61"/>
        <v>0</v>
      </c>
      <c r="M242" s="1733">
        <f t="shared" si="61"/>
        <v>0</v>
      </c>
      <c r="N242" s="1733">
        <f t="shared" si="61"/>
        <v>0</v>
      </c>
      <c r="O242" s="37"/>
      <c r="P242" s="37"/>
      <c r="Q242" s="550"/>
    </row>
    <row r="243" spans="1:17" x14ac:dyDescent="0.25">
      <c r="A243" s="36"/>
      <c r="B243" s="654" t="s">
        <v>184</v>
      </c>
      <c r="C243" s="651">
        <v>0</v>
      </c>
      <c r="D243" s="1733">
        <f>C243</f>
        <v>0</v>
      </c>
      <c r="E243" s="1733">
        <f t="shared" si="61"/>
        <v>0</v>
      </c>
      <c r="F243" s="1733">
        <f t="shared" si="61"/>
        <v>0</v>
      </c>
      <c r="G243" s="1733">
        <f t="shared" si="61"/>
        <v>0</v>
      </c>
      <c r="H243" s="1733">
        <f t="shared" si="61"/>
        <v>0</v>
      </c>
      <c r="I243" s="1733">
        <f t="shared" si="61"/>
        <v>0</v>
      </c>
      <c r="J243" s="1733">
        <f t="shared" si="61"/>
        <v>0</v>
      </c>
      <c r="K243" s="1733">
        <f t="shared" si="61"/>
        <v>0</v>
      </c>
      <c r="L243" s="1733">
        <f t="shared" si="61"/>
        <v>0</v>
      </c>
      <c r="M243" s="1733">
        <f t="shared" si="61"/>
        <v>0</v>
      </c>
      <c r="N243" s="1733">
        <f t="shared" si="61"/>
        <v>0</v>
      </c>
      <c r="O243" s="37"/>
      <c r="P243" s="37"/>
      <c r="Q243" s="550"/>
    </row>
    <row r="244" spans="1:17" x14ac:dyDescent="0.25">
      <c r="A244" s="36"/>
      <c r="B244" s="652" t="s">
        <v>185</v>
      </c>
      <c r="C244" s="653"/>
      <c r="D244" s="1734"/>
      <c r="E244" s="1735"/>
      <c r="F244" s="1734"/>
      <c r="G244" s="1734"/>
      <c r="H244" s="1734"/>
      <c r="I244" s="1734"/>
      <c r="J244" s="1734"/>
      <c r="K244" s="1734"/>
      <c r="L244" s="1734"/>
      <c r="M244" s="653"/>
      <c r="N244" s="653"/>
      <c r="O244" s="37"/>
      <c r="P244" s="37"/>
      <c r="Q244" s="550"/>
    </row>
    <row r="245" spans="1:17" x14ac:dyDescent="0.25">
      <c r="A245" s="36"/>
      <c r="B245" s="654" t="s">
        <v>186</v>
      </c>
      <c r="C245" s="651">
        <v>0</v>
      </c>
      <c r="D245" s="1733">
        <f>C245</f>
        <v>0</v>
      </c>
      <c r="E245" s="1733">
        <f t="shared" ref="E245:N248" si="62">D245</f>
        <v>0</v>
      </c>
      <c r="F245" s="1733">
        <f t="shared" si="62"/>
        <v>0</v>
      </c>
      <c r="G245" s="1733">
        <f t="shared" si="62"/>
        <v>0</v>
      </c>
      <c r="H245" s="1733">
        <f t="shared" si="62"/>
        <v>0</v>
      </c>
      <c r="I245" s="1733">
        <f t="shared" si="62"/>
        <v>0</v>
      </c>
      <c r="J245" s="1733">
        <f t="shared" si="62"/>
        <v>0</v>
      </c>
      <c r="K245" s="1733">
        <f t="shared" si="62"/>
        <v>0</v>
      </c>
      <c r="L245" s="1733">
        <f t="shared" si="62"/>
        <v>0</v>
      </c>
      <c r="M245" s="1733">
        <f t="shared" si="62"/>
        <v>0</v>
      </c>
      <c r="N245" s="1733">
        <f t="shared" si="62"/>
        <v>0</v>
      </c>
      <c r="O245" s="37"/>
      <c r="P245" s="37"/>
      <c r="Q245" s="550"/>
    </row>
    <row r="246" spans="1:17" x14ac:dyDescent="0.25">
      <c r="A246" s="36"/>
      <c r="B246" s="654" t="s">
        <v>187</v>
      </c>
      <c r="C246" s="651">
        <v>0</v>
      </c>
      <c r="D246" s="1733">
        <f>C246</f>
        <v>0</v>
      </c>
      <c r="E246" s="1733">
        <f t="shared" si="62"/>
        <v>0</v>
      </c>
      <c r="F246" s="1733">
        <f t="shared" si="62"/>
        <v>0</v>
      </c>
      <c r="G246" s="1733">
        <f t="shared" si="62"/>
        <v>0</v>
      </c>
      <c r="H246" s="1733">
        <f t="shared" si="62"/>
        <v>0</v>
      </c>
      <c r="I246" s="1733">
        <f t="shared" si="62"/>
        <v>0</v>
      </c>
      <c r="J246" s="1733">
        <f t="shared" si="62"/>
        <v>0</v>
      </c>
      <c r="K246" s="1733">
        <f t="shared" si="62"/>
        <v>0</v>
      </c>
      <c r="L246" s="1733">
        <f t="shared" si="62"/>
        <v>0</v>
      </c>
      <c r="M246" s="1733">
        <f t="shared" si="62"/>
        <v>0</v>
      </c>
      <c r="N246" s="1733">
        <f t="shared" si="62"/>
        <v>0</v>
      </c>
      <c r="O246" s="37"/>
      <c r="P246" s="37"/>
      <c r="Q246" s="550"/>
    </row>
    <row r="247" spans="1:17" x14ac:dyDescent="0.25">
      <c r="A247" s="36"/>
      <c r="B247" s="654" t="s">
        <v>188</v>
      </c>
      <c r="C247" s="651">
        <v>0</v>
      </c>
      <c r="D247" s="1733">
        <f>C247</f>
        <v>0</v>
      </c>
      <c r="E247" s="1733">
        <f t="shared" si="62"/>
        <v>0</v>
      </c>
      <c r="F247" s="1733">
        <f t="shared" si="62"/>
        <v>0</v>
      </c>
      <c r="G247" s="1733">
        <f t="shared" si="62"/>
        <v>0</v>
      </c>
      <c r="H247" s="1733">
        <f t="shared" si="62"/>
        <v>0</v>
      </c>
      <c r="I247" s="1733">
        <f t="shared" si="62"/>
        <v>0</v>
      </c>
      <c r="J247" s="1733">
        <f t="shared" si="62"/>
        <v>0</v>
      </c>
      <c r="K247" s="1733">
        <f t="shared" si="62"/>
        <v>0</v>
      </c>
      <c r="L247" s="1733">
        <f t="shared" si="62"/>
        <v>0</v>
      </c>
      <c r="M247" s="1733">
        <f t="shared" si="62"/>
        <v>0</v>
      </c>
      <c r="N247" s="1733">
        <f t="shared" si="62"/>
        <v>0</v>
      </c>
      <c r="O247" s="37"/>
      <c r="P247" s="37"/>
      <c r="Q247" s="550"/>
    </row>
    <row r="248" spans="1:17" x14ac:dyDescent="0.25">
      <c r="A248" s="36"/>
      <c r="B248" s="655" t="s">
        <v>189</v>
      </c>
      <c r="C248" s="651">
        <v>0</v>
      </c>
      <c r="D248" s="1746">
        <f>C248</f>
        <v>0</v>
      </c>
      <c r="E248" s="1746">
        <f t="shared" si="62"/>
        <v>0</v>
      </c>
      <c r="F248" s="1746">
        <f t="shared" si="62"/>
        <v>0</v>
      </c>
      <c r="G248" s="1746">
        <f t="shared" si="62"/>
        <v>0</v>
      </c>
      <c r="H248" s="1746">
        <f t="shared" si="62"/>
        <v>0</v>
      </c>
      <c r="I248" s="1746">
        <f t="shared" si="62"/>
        <v>0</v>
      </c>
      <c r="J248" s="1746">
        <f t="shared" si="62"/>
        <v>0</v>
      </c>
      <c r="K248" s="1746">
        <f t="shared" si="62"/>
        <v>0</v>
      </c>
      <c r="L248" s="1746">
        <f t="shared" si="62"/>
        <v>0</v>
      </c>
      <c r="M248" s="1746">
        <f t="shared" si="62"/>
        <v>0</v>
      </c>
      <c r="N248" s="1746">
        <f t="shared" si="62"/>
        <v>0</v>
      </c>
      <c r="O248" s="37"/>
      <c r="P248" s="37"/>
      <c r="Q248" s="550"/>
    </row>
    <row r="249" spans="1:17" x14ac:dyDescent="0.25">
      <c r="A249" s="36"/>
      <c r="B249" s="62"/>
      <c r="C249" s="51"/>
      <c r="D249" s="51"/>
      <c r="E249" s="51"/>
      <c r="F249" s="51"/>
      <c r="G249" s="51"/>
      <c r="H249" s="51"/>
      <c r="I249" s="51"/>
      <c r="J249" s="51"/>
      <c r="K249" s="51"/>
      <c r="L249" s="51"/>
      <c r="M249" s="51"/>
      <c r="N249" s="52"/>
      <c r="O249" s="37"/>
      <c r="P249" s="37"/>
      <c r="Q249" s="550"/>
    </row>
    <row r="250" spans="1:17" ht="13" x14ac:dyDescent="0.3">
      <c r="A250" s="36"/>
      <c r="B250" s="354" t="s">
        <v>47</v>
      </c>
      <c r="C250" s="413" t="str">
        <f>VARIABLES!B74</f>
        <v>GENER</v>
      </c>
      <c r="D250" s="414" t="str">
        <f>VARIABLES!C74</f>
        <v>FEBRER</v>
      </c>
      <c r="E250" s="414" t="str">
        <f>VARIABLES!D74</f>
        <v>MARÇ</v>
      </c>
      <c r="F250" s="414" t="str">
        <f>VARIABLES!E74</f>
        <v>ABRIL</v>
      </c>
      <c r="G250" s="414" t="str">
        <f>VARIABLES!F74</f>
        <v>MAIG</v>
      </c>
      <c r="H250" s="414" t="str">
        <f>VARIABLES!G74</f>
        <v>JUNY</v>
      </c>
      <c r="I250" s="414" t="str">
        <f>VARIABLES!H74</f>
        <v>JULIOL</v>
      </c>
      <c r="J250" s="414" t="str">
        <f>VARIABLES!I74</f>
        <v>AGOST</v>
      </c>
      <c r="K250" s="414" t="str">
        <f>VARIABLES!J74</f>
        <v>SETEMBRE</v>
      </c>
      <c r="L250" s="414" t="str">
        <f>VARIABLES!K74</f>
        <v>OCTUBRE</v>
      </c>
      <c r="M250" s="414" t="str">
        <f>VARIABLES!L74</f>
        <v>NOVEMBRE</v>
      </c>
      <c r="N250" s="649" t="str">
        <f>VARIABLES!M74</f>
        <v>DESEMBRE</v>
      </c>
      <c r="O250" s="37"/>
      <c r="P250" s="37"/>
      <c r="Q250" s="550"/>
    </row>
    <row r="251" spans="1:17" x14ac:dyDescent="0.25">
      <c r="A251" s="36"/>
      <c r="B251" s="408" t="str">
        <f t="shared" ref="B251:N251" si="63">B233</f>
        <v>LLOGUERS</v>
      </c>
      <c r="C251" s="1733">
        <f t="shared" si="63"/>
        <v>0</v>
      </c>
      <c r="D251" s="1733">
        <f t="shared" si="63"/>
        <v>0</v>
      </c>
      <c r="E251" s="1733">
        <f t="shared" si="63"/>
        <v>0</v>
      </c>
      <c r="F251" s="1733">
        <f t="shared" si="63"/>
        <v>0</v>
      </c>
      <c r="G251" s="1733">
        <f t="shared" si="63"/>
        <v>0</v>
      </c>
      <c r="H251" s="1733">
        <f t="shared" si="63"/>
        <v>0</v>
      </c>
      <c r="I251" s="1733">
        <f t="shared" si="63"/>
        <v>0</v>
      </c>
      <c r="J251" s="1733">
        <f t="shared" si="63"/>
        <v>0</v>
      </c>
      <c r="K251" s="1733">
        <f t="shared" si="63"/>
        <v>0</v>
      </c>
      <c r="L251" s="1733">
        <f t="shared" si="63"/>
        <v>0</v>
      </c>
      <c r="M251" s="1733">
        <f t="shared" si="63"/>
        <v>0</v>
      </c>
      <c r="N251" s="1733">
        <f t="shared" si="63"/>
        <v>0</v>
      </c>
      <c r="O251" s="37"/>
      <c r="P251" s="37"/>
      <c r="Q251" s="550"/>
    </row>
    <row r="252" spans="1:17" x14ac:dyDescent="0.25">
      <c r="A252" s="36"/>
      <c r="B252" s="409" t="str">
        <f t="shared" ref="B252:B266" si="64">B234</f>
        <v>REPARACIONS</v>
      </c>
      <c r="C252" s="1733">
        <f t="shared" ref="C252:N252" si="65">C234</f>
        <v>0</v>
      </c>
      <c r="D252" s="1733">
        <f t="shared" si="65"/>
        <v>0</v>
      </c>
      <c r="E252" s="1733">
        <f t="shared" si="65"/>
        <v>0</v>
      </c>
      <c r="F252" s="1733">
        <f t="shared" si="65"/>
        <v>0</v>
      </c>
      <c r="G252" s="1733">
        <f t="shared" si="65"/>
        <v>0</v>
      </c>
      <c r="H252" s="1733">
        <f t="shared" si="65"/>
        <v>0</v>
      </c>
      <c r="I252" s="1733">
        <f t="shared" si="65"/>
        <v>0</v>
      </c>
      <c r="J252" s="1733">
        <f t="shared" si="65"/>
        <v>0</v>
      </c>
      <c r="K252" s="1733">
        <f t="shared" si="65"/>
        <v>0</v>
      </c>
      <c r="L252" s="1733">
        <f t="shared" si="65"/>
        <v>0</v>
      </c>
      <c r="M252" s="1733">
        <f t="shared" si="65"/>
        <v>0</v>
      </c>
      <c r="N252" s="1733">
        <f t="shared" si="65"/>
        <v>0</v>
      </c>
      <c r="O252" s="37"/>
      <c r="P252" s="37"/>
      <c r="Q252" s="550"/>
    </row>
    <row r="253" spans="1:17" x14ac:dyDescent="0.25">
      <c r="A253" s="36"/>
      <c r="B253" s="409" t="str">
        <f t="shared" si="64"/>
        <v>SERVEIS PROF. INDEPENDENTS</v>
      </c>
      <c r="C253" s="1733">
        <f t="shared" ref="C253:N253" si="66">C235</f>
        <v>0</v>
      </c>
      <c r="D253" s="1733">
        <f t="shared" si="66"/>
        <v>0</v>
      </c>
      <c r="E253" s="1733">
        <f t="shared" si="66"/>
        <v>0</v>
      </c>
      <c r="F253" s="1733">
        <f t="shared" si="66"/>
        <v>0</v>
      </c>
      <c r="G253" s="1733">
        <f t="shared" si="66"/>
        <v>0</v>
      </c>
      <c r="H253" s="1733">
        <f t="shared" si="66"/>
        <v>0</v>
      </c>
      <c r="I253" s="1733">
        <f t="shared" si="66"/>
        <v>0</v>
      </c>
      <c r="J253" s="1733">
        <f t="shared" si="66"/>
        <v>0</v>
      </c>
      <c r="K253" s="1733">
        <f t="shared" si="66"/>
        <v>0</v>
      </c>
      <c r="L253" s="1733">
        <f t="shared" si="66"/>
        <v>0</v>
      </c>
      <c r="M253" s="1733">
        <f t="shared" si="66"/>
        <v>0</v>
      </c>
      <c r="N253" s="1733">
        <f t="shared" si="66"/>
        <v>0</v>
      </c>
      <c r="O253" s="37"/>
      <c r="P253" s="37"/>
      <c r="Q253" s="550"/>
    </row>
    <row r="254" spans="1:17" x14ac:dyDescent="0.25">
      <c r="A254" s="36"/>
      <c r="B254" s="409" t="str">
        <f t="shared" si="64"/>
        <v>TRANSPORTS</v>
      </c>
      <c r="C254" s="1733">
        <f>C236</f>
        <v>0</v>
      </c>
      <c r="D254" s="1733">
        <f>C254</f>
        <v>0</v>
      </c>
      <c r="E254" s="1733">
        <f t="shared" ref="E254:N254" si="67">D254</f>
        <v>0</v>
      </c>
      <c r="F254" s="1733">
        <f t="shared" si="67"/>
        <v>0</v>
      </c>
      <c r="G254" s="1733">
        <f t="shared" si="67"/>
        <v>0</v>
      </c>
      <c r="H254" s="1733">
        <f t="shared" si="67"/>
        <v>0</v>
      </c>
      <c r="I254" s="1733">
        <f t="shared" si="67"/>
        <v>0</v>
      </c>
      <c r="J254" s="1733">
        <f t="shared" si="67"/>
        <v>0</v>
      </c>
      <c r="K254" s="1733">
        <f t="shared" si="67"/>
        <v>0</v>
      </c>
      <c r="L254" s="1733">
        <f t="shared" si="67"/>
        <v>0</v>
      </c>
      <c r="M254" s="1733">
        <f t="shared" si="67"/>
        <v>0</v>
      </c>
      <c r="N254" s="1733">
        <f t="shared" si="67"/>
        <v>0</v>
      </c>
      <c r="O254" s="37"/>
      <c r="P254" s="37"/>
      <c r="Q254" s="550"/>
    </row>
    <row r="255" spans="1:17" x14ac:dyDescent="0.25">
      <c r="A255" s="36"/>
      <c r="B255" s="409" t="str">
        <f t="shared" si="64"/>
        <v>PRIMES D'ASSEGURANCES</v>
      </c>
      <c r="C255" s="1733">
        <f t="shared" ref="C255:N255" si="68">C237</f>
        <v>0</v>
      </c>
      <c r="D255" s="1733">
        <f t="shared" si="68"/>
        <v>0</v>
      </c>
      <c r="E255" s="1733">
        <f t="shared" si="68"/>
        <v>0</v>
      </c>
      <c r="F255" s="1733">
        <f t="shared" si="68"/>
        <v>0</v>
      </c>
      <c r="G255" s="1733">
        <f t="shared" si="68"/>
        <v>0</v>
      </c>
      <c r="H255" s="1733">
        <f t="shared" si="68"/>
        <v>0</v>
      </c>
      <c r="I255" s="1733">
        <f t="shared" si="68"/>
        <v>0</v>
      </c>
      <c r="J255" s="1733">
        <f t="shared" si="68"/>
        <v>0</v>
      </c>
      <c r="K255" s="1733">
        <f t="shared" si="68"/>
        <v>0</v>
      </c>
      <c r="L255" s="1733">
        <f t="shared" si="68"/>
        <v>0</v>
      </c>
      <c r="M255" s="1733">
        <f t="shared" si="68"/>
        <v>0</v>
      </c>
      <c r="N255" s="1733">
        <f t="shared" si="68"/>
        <v>0</v>
      </c>
      <c r="O255" s="37"/>
      <c r="P255" s="37"/>
      <c r="Q255" s="550"/>
    </row>
    <row r="256" spans="1:17" x14ac:dyDescent="0.25">
      <c r="A256" s="36"/>
      <c r="B256" s="409" t="str">
        <f t="shared" si="64"/>
        <v>SUBMINISTRAMENTS</v>
      </c>
      <c r="C256" s="656"/>
      <c r="D256" s="656"/>
      <c r="E256" s="656"/>
      <c r="F256" s="656"/>
      <c r="G256" s="656"/>
      <c r="H256" s="656"/>
      <c r="I256" s="656"/>
      <c r="J256" s="656"/>
      <c r="K256" s="656"/>
      <c r="L256" s="656"/>
      <c r="M256" s="656"/>
      <c r="N256" s="656"/>
      <c r="O256" s="37"/>
      <c r="P256" s="37"/>
      <c r="Q256" s="550"/>
    </row>
    <row r="257" spans="1:17" x14ac:dyDescent="0.25">
      <c r="A257" s="36"/>
      <c r="B257" s="411" t="str">
        <f t="shared" si="64"/>
        <v>Aigua</v>
      </c>
      <c r="C257" s="1733">
        <f>C239</f>
        <v>0</v>
      </c>
      <c r="D257" s="1733">
        <f t="shared" ref="D257:N257" si="69">D239</f>
        <v>0</v>
      </c>
      <c r="E257" s="1733">
        <f t="shared" si="69"/>
        <v>0</v>
      </c>
      <c r="F257" s="1733">
        <f t="shared" si="69"/>
        <v>0</v>
      </c>
      <c r="G257" s="1733">
        <f t="shared" si="69"/>
        <v>0</v>
      </c>
      <c r="H257" s="1733">
        <f t="shared" si="69"/>
        <v>0</v>
      </c>
      <c r="I257" s="1733">
        <f t="shared" si="69"/>
        <v>0</v>
      </c>
      <c r="J257" s="1733">
        <f t="shared" si="69"/>
        <v>0</v>
      </c>
      <c r="K257" s="1733">
        <f t="shared" si="69"/>
        <v>0</v>
      </c>
      <c r="L257" s="1733">
        <f t="shared" si="69"/>
        <v>0</v>
      </c>
      <c r="M257" s="1733">
        <f t="shared" si="69"/>
        <v>0</v>
      </c>
      <c r="N257" s="1733">
        <f t="shared" si="69"/>
        <v>0</v>
      </c>
      <c r="O257" s="37"/>
      <c r="P257" s="37"/>
      <c r="Q257" s="550"/>
    </row>
    <row r="258" spans="1:17" x14ac:dyDescent="0.25">
      <c r="A258" s="36"/>
      <c r="B258" s="411" t="str">
        <f t="shared" si="64"/>
        <v>Gas</v>
      </c>
      <c r="C258" s="1733">
        <f>C240</f>
        <v>0</v>
      </c>
      <c r="D258" s="1733">
        <f t="shared" ref="D258:N258" si="70">D240</f>
        <v>0</v>
      </c>
      <c r="E258" s="1733">
        <f t="shared" si="70"/>
        <v>0</v>
      </c>
      <c r="F258" s="1733">
        <f t="shared" si="70"/>
        <v>0</v>
      </c>
      <c r="G258" s="1733">
        <f t="shared" si="70"/>
        <v>0</v>
      </c>
      <c r="H258" s="1733">
        <f t="shared" si="70"/>
        <v>0</v>
      </c>
      <c r="I258" s="1733">
        <f t="shared" si="70"/>
        <v>0</v>
      </c>
      <c r="J258" s="1733">
        <f t="shared" si="70"/>
        <v>0</v>
      </c>
      <c r="K258" s="1733">
        <f t="shared" si="70"/>
        <v>0</v>
      </c>
      <c r="L258" s="1733">
        <f t="shared" si="70"/>
        <v>0</v>
      </c>
      <c r="M258" s="1733">
        <f t="shared" si="70"/>
        <v>0</v>
      </c>
      <c r="N258" s="1733">
        <f t="shared" si="70"/>
        <v>0</v>
      </c>
      <c r="O258" s="37"/>
      <c r="P258" s="37"/>
      <c r="Q258" s="550"/>
    </row>
    <row r="259" spans="1:17" x14ac:dyDescent="0.25">
      <c r="A259" s="36"/>
      <c r="B259" s="411" t="str">
        <f t="shared" si="64"/>
        <v>Electricitat</v>
      </c>
      <c r="C259" s="1733">
        <f>C241</f>
        <v>0</v>
      </c>
      <c r="D259" s="1733">
        <f t="shared" ref="D259:N259" si="71">D241</f>
        <v>0</v>
      </c>
      <c r="E259" s="1733">
        <f t="shared" si="71"/>
        <v>0</v>
      </c>
      <c r="F259" s="1733">
        <f t="shared" si="71"/>
        <v>0</v>
      </c>
      <c r="G259" s="1733">
        <f t="shared" si="71"/>
        <v>0</v>
      </c>
      <c r="H259" s="1733">
        <f t="shared" si="71"/>
        <v>0</v>
      </c>
      <c r="I259" s="1733">
        <f t="shared" si="71"/>
        <v>0</v>
      </c>
      <c r="J259" s="1733">
        <f t="shared" si="71"/>
        <v>0</v>
      </c>
      <c r="K259" s="1733">
        <f t="shared" si="71"/>
        <v>0</v>
      </c>
      <c r="L259" s="1733">
        <f t="shared" si="71"/>
        <v>0</v>
      </c>
      <c r="M259" s="1733">
        <f t="shared" si="71"/>
        <v>0</v>
      </c>
      <c r="N259" s="1733">
        <f t="shared" si="71"/>
        <v>0</v>
      </c>
      <c r="O259" s="37"/>
      <c r="P259" s="37"/>
      <c r="Q259" s="550"/>
    </row>
    <row r="260" spans="1:17" x14ac:dyDescent="0.25">
      <c r="A260" s="36"/>
      <c r="B260" s="411" t="str">
        <f t="shared" si="64"/>
        <v>Combustible</v>
      </c>
      <c r="C260" s="1733">
        <f>C242</f>
        <v>0</v>
      </c>
      <c r="D260" s="1733">
        <f t="shared" ref="D260:N260" si="72">D242</f>
        <v>0</v>
      </c>
      <c r="E260" s="1733">
        <f t="shared" si="72"/>
        <v>0</v>
      </c>
      <c r="F260" s="1733">
        <f t="shared" si="72"/>
        <v>0</v>
      </c>
      <c r="G260" s="1733">
        <f t="shared" si="72"/>
        <v>0</v>
      </c>
      <c r="H260" s="1733">
        <f t="shared" si="72"/>
        <v>0</v>
      </c>
      <c r="I260" s="1733">
        <f t="shared" si="72"/>
        <v>0</v>
      </c>
      <c r="J260" s="1733">
        <f t="shared" si="72"/>
        <v>0</v>
      </c>
      <c r="K260" s="1733">
        <f t="shared" si="72"/>
        <v>0</v>
      </c>
      <c r="L260" s="1733">
        <f t="shared" si="72"/>
        <v>0</v>
      </c>
      <c r="M260" s="1733">
        <f t="shared" si="72"/>
        <v>0</v>
      </c>
      <c r="N260" s="1733">
        <f t="shared" si="72"/>
        <v>0</v>
      </c>
      <c r="O260" s="37"/>
      <c r="P260" s="37"/>
      <c r="Q260" s="550"/>
    </row>
    <row r="261" spans="1:17" x14ac:dyDescent="0.25">
      <c r="A261" s="36"/>
      <c r="B261" s="411" t="str">
        <f t="shared" si="64"/>
        <v>Telèfon, fax i internet</v>
      </c>
      <c r="C261" s="1733">
        <f>C243</f>
        <v>0</v>
      </c>
      <c r="D261" s="1733">
        <f t="shared" ref="D261:N261" si="73">D243</f>
        <v>0</v>
      </c>
      <c r="E261" s="1733">
        <f t="shared" si="73"/>
        <v>0</v>
      </c>
      <c r="F261" s="1733">
        <f t="shared" si="73"/>
        <v>0</v>
      </c>
      <c r="G261" s="1733">
        <f t="shared" si="73"/>
        <v>0</v>
      </c>
      <c r="H261" s="1733">
        <f t="shared" si="73"/>
        <v>0</v>
      </c>
      <c r="I261" s="1733">
        <f t="shared" si="73"/>
        <v>0</v>
      </c>
      <c r="J261" s="1733">
        <f t="shared" si="73"/>
        <v>0</v>
      </c>
      <c r="K261" s="1733">
        <f t="shared" si="73"/>
        <v>0</v>
      </c>
      <c r="L261" s="1733">
        <f t="shared" si="73"/>
        <v>0</v>
      </c>
      <c r="M261" s="1733">
        <f t="shared" si="73"/>
        <v>0</v>
      </c>
      <c r="N261" s="1733">
        <f t="shared" si="73"/>
        <v>0</v>
      </c>
      <c r="O261" s="37"/>
      <c r="P261" s="37"/>
      <c r="Q261" s="550"/>
    </row>
    <row r="262" spans="1:17" x14ac:dyDescent="0.25">
      <c r="A262" s="36"/>
      <c r="B262" s="409" t="str">
        <f t="shared" si="64"/>
        <v>DESPESES DIVERSES</v>
      </c>
      <c r="C262" s="656"/>
      <c r="D262" s="656"/>
      <c r="E262" s="656"/>
      <c r="F262" s="656"/>
      <c r="G262" s="656"/>
      <c r="H262" s="656"/>
      <c r="I262" s="656"/>
      <c r="J262" s="656"/>
      <c r="K262" s="656"/>
      <c r="L262" s="656"/>
      <c r="M262" s="656"/>
      <c r="N262" s="656"/>
      <c r="O262" s="37"/>
      <c r="P262" s="37"/>
      <c r="Q262" s="550"/>
    </row>
    <row r="263" spans="1:17" x14ac:dyDescent="0.25">
      <c r="A263" s="36"/>
      <c r="B263" s="411" t="str">
        <f t="shared" si="64"/>
        <v>Gestoria</v>
      </c>
      <c r="C263" s="1733">
        <f t="shared" ref="C263:N263" si="74">C245</f>
        <v>0</v>
      </c>
      <c r="D263" s="1733">
        <f t="shared" si="74"/>
        <v>0</v>
      </c>
      <c r="E263" s="1733">
        <f t="shared" si="74"/>
        <v>0</v>
      </c>
      <c r="F263" s="1733">
        <f t="shared" si="74"/>
        <v>0</v>
      </c>
      <c r="G263" s="1733">
        <f t="shared" si="74"/>
        <v>0</v>
      </c>
      <c r="H263" s="1733">
        <f t="shared" si="74"/>
        <v>0</v>
      </c>
      <c r="I263" s="1733">
        <f t="shared" si="74"/>
        <v>0</v>
      </c>
      <c r="J263" s="1733">
        <f t="shared" si="74"/>
        <v>0</v>
      </c>
      <c r="K263" s="1733">
        <f t="shared" si="74"/>
        <v>0</v>
      </c>
      <c r="L263" s="1733">
        <f t="shared" si="74"/>
        <v>0</v>
      </c>
      <c r="M263" s="1733">
        <f t="shared" si="74"/>
        <v>0</v>
      </c>
      <c r="N263" s="1733">
        <f t="shared" si="74"/>
        <v>0</v>
      </c>
      <c r="O263" s="37"/>
      <c r="P263" s="37"/>
      <c r="Q263" s="550"/>
    </row>
    <row r="264" spans="1:17" x14ac:dyDescent="0.25">
      <c r="A264" s="36"/>
      <c r="B264" s="411" t="str">
        <f t="shared" si="64"/>
        <v>Oficina</v>
      </c>
      <c r="C264" s="1733">
        <f t="shared" ref="C264:N264" si="75">C246</f>
        <v>0</v>
      </c>
      <c r="D264" s="1733">
        <f t="shared" si="75"/>
        <v>0</v>
      </c>
      <c r="E264" s="1733">
        <f t="shared" si="75"/>
        <v>0</v>
      </c>
      <c r="F264" s="1733">
        <f t="shared" si="75"/>
        <v>0</v>
      </c>
      <c r="G264" s="1733">
        <f t="shared" si="75"/>
        <v>0</v>
      </c>
      <c r="H264" s="1733">
        <f t="shared" si="75"/>
        <v>0</v>
      </c>
      <c r="I264" s="1733">
        <f t="shared" si="75"/>
        <v>0</v>
      </c>
      <c r="J264" s="1733">
        <f t="shared" si="75"/>
        <v>0</v>
      </c>
      <c r="K264" s="1733">
        <f t="shared" si="75"/>
        <v>0</v>
      </c>
      <c r="L264" s="1733">
        <f t="shared" si="75"/>
        <v>0</v>
      </c>
      <c r="M264" s="1733">
        <f t="shared" si="75"/>
        <v>0</v>
      </c>
      <c r="N264" s="1733">
        <f t="shared" si="75"/>
        <v>0</v>
      </c>
      <c r="O264" s="37"/>
      <c r="P264" s="37"/>
      <c r="Q264" s="550"/>
    </row>
    <row r="265" spans="1:17" x14ac:dyDescent="0.25">
      <c r="A265" s="36"/>
      <c r="B265" s="411" t="str">
        <f t="shared" si="64"/>
        <v>Manutenció</v>
      </c>
      <c r="C265" s="1733">
        <f t="shared" ref="C265:N265" si="76">C247</f>
        <v>0</v>
      </c>
      <c r="D265" s="1733">
        <f t="shared" si="76"/>
        <v>0</v>
      </c>
      <c r="E265" s="1733">
        <f t="shared" si="76"/>
        <v>0</v>
      </c>
      <c r="F265" s="1733">
        <f t="shared" si="76"/>
        <v>0</v>
      </c>
      <c r="G265" s="1733">
        <f t="shared" si="76"/>
        <v>0</v>
      </c>
      <c r="H265" s="1733">
        <f t="shared" si="76"/>
        <v>0</v>
      </c>
      <c r="I265" s="1733">
        <f t="shared" si="76"/>
        <v>0</v>
      </c>
      <c r="J265" s="1733">
        <f t="shared" si="76"/>
        <v>0</v>
      </c>
      <c r="K265" s="1733">
        <f t="shared" si="76"/>
        <v>0</v>
      </c>
      <c r="L265" s="1733">
        <f t="shared" si="76"/>
        <v>0</v>
      </c>
      <c r="M265" s="1733">
        <f t="shared" si="76"/>
        <v>0</v>
      </c>
      <c r="N265" s="1733">
        <f t="shared" si="76"/>
        <v>0</v>
      </c>
      <c r="O265" s="37"/>
      <c r="P265" s="37"/>
      <c r="Q265" s="550"/>
    </row>
    <row r="266" spans="1:17" x14ac:dyDescent="0.25">
      <c r="A266" s="36"/>
      <c r="B266" s="412" t="str">
        <f t="shared" si="64"/>
        <v>Varis</v>
      </c>
      <c r="C266" s="1733">
        <f t="shared" ref="C266:N266" si="77">C248</f>
        <v>0</v>
      </c>
      <c r="D266" s="1733">
        <f t="shared" si="77"/>
        <v>0</v>
      </c>
      <c r="E266" s="1733">
        <f t="shared" si="77"/>
        <v>0</v>
      </c>
      <c r="F266" s="1733">
        <f t="shared" si="77"/>
        <v>0</v>
      </c>
      <c r="G266" s="1733">
        <f t="shared" si="77"/>
        <v>0</v>
      </c>
      <c r="H266" s="1733">
        <f t="shared" si="77"/>
        <v>0</v>
      </c>
      <c r="I266" s="1733">
        <f t="shared" si="77"/>
        <v>0</v>
      </c>
      <c r="J266" s="1733">
        <f t="shared" si="77"/>
        <v>0</v>
      </c>
      <c r="K266" s="1733">
        <f t="shared" si="77"/>
        <v>0</v>
      </c>
      <c r="L266" s="1733">
        <f t="shared" si="77"/>
        <v>0</v>
      </c>
      <c r="M266" s="1733">
        <f t="shared" si="77"/>
        <v>0</v>
      </c>
      <c r="N266" s="1733">
        <f t="shared" si="77"/>
        <v>0</v>
      </c>
      <c r="O266" s="37"/>
      <c r="P266" s="37"/>
      <c r="Q266" s="550"/>
    </row>
    <row r="267" spans="1:17" x14ac:dyDescent="0.25">
      <c r="A267" s="36"/>
      <c r="B267" s="62"/>
      <c r="C267" s="51"/>
      <c r="D267" s="51"/>
      <c r="E267" s="51"/>
      <c r="F267" s="51"/>
      <c r="G267" s="51"/>
      <c r="H267" s="51"/>
      <c r="I267" s="51"/>
      <c r="J267" s="51"/>
      <c r="K267" s="51"/>
      <c r="L267" s="51"/>
      <c r="M267" s="51"/>
      <c r="N267" s="52"/>
      <c r="O267" s="37"/>
      <c r="P267" s="37"/>
      <c r="Q267" s="550"/>
    </row>
    <row r="268" spans="1:17" ht="13" x14ac:dyDescent="0.3">
      <c r="A268" s="36"/>
      <c r="B268" s="354" t="s">
        <v>57</v>
      </c>
      <c r="C268" s="413" t="str">
        <f>VARIABLES!B140</f>
        <v>GENER</v>
      </c>
      <c r="D268" s="414" t="str">
        <f>VARIABLES!C140</f>
        <v>FEBRER</v>
      </c>
      <c r="E268" s="414" t="str">
        <f>VARIABLES!D140</f>
        <v>MARÇ</v>
      </c>
      <c r="F268" s="414" t="str">
        <f>VARIABLES!E140</f>
        <v>ABRIL</v>
      </c>
      <c r="G268" s="414" t="str">
        <f>VARIABLES!F140</f>
        <v>MAIG</v>
      </c>
      <c r="H268" s="414" t="str">
        <f>VARIABLES!G140</f>
        <v>JUNY</v>
      </c>
      <c r="I268" s="414" t="str">
        <f>VARIABLES!H140</f>
        <v>JULIOL</v>
      </c>
      <c r="J268" s="414" t="str">
        <f>VARIABLES!I140</f>
        <v>AGOST</v>
      </c>
      <c r="K268" s="414" t="str">
        <f>VARIABLES!J140</f>
        <v>SETEMBRE</v>
      </c>
      <c r="L268" s="414" t="str">
        <f>VARIABLES!K140</f>
        <v>OCTUBRE</v>
      </c>
      <c r="M268" s="414" t="str">
        <f>VARIABLES!L140</f>
        <v>NOVEMBRE</v>
      </c>
      <c r="N268" s="649" t="str">
        <f>VARIABLES!M140</f>
        <v>DESEMBRE</v>
      </c>
      <c r="O268" s="37"/>
      <c r="P268" s="37"/>
      <c r="Q268" s="550"/>
    </row>
    <row r="269" spans="1:17" x14ac:dyDescent="0.25">
      <c r="A269" s="36"/>
      <c r="B269" s="408" t="str">
        <f>B233</f>
        <v>LLOGUERS</v>
      </c>
      <c r="C269" s="1733">
        <f t="shared" ref="C269:N269" si="78">C251</f>
        <v>0</v>
      </c>
      <c r="D269" s="1733">
        <f t="shared" si="78"/>
        <v>0</v>
      </c>
      <c r="E269" s="1733">
        <f t="shared" si="78"/>
        <v>0</v>
      </c>
      <c r="F269" s="1733">
        <f t="shared" si="78"/>
        <v>0</v>
      </c>
      <c r="G269" s="1733">
        <f t="shared" si="78"/>
        <v>0</v>
      </c>
      <c r="H269" s="1733">
        <f t="shared" si="78"/>
        <v>0</v>
      </c>
      <c r="I269" s="1733">
        <f t="shared" si="78"/>
        <v>0</v>
      </c>
      <c r="J269" s="1733">
        <f t="shared" si="78"/>
        <v>0</v>
      </c>
      <c r="K269" s="1733">
        <f t="shared" si="78"/>
        <v>0</v>
      </c>
      <c r="L269" s="1733">
        <f t="shared" si="78"/>
        <v>0</v>
      </c>
      <c r="M269" s="1733">
        <f t="shared" si="78"/>
        <v>0</v>
      </c>
      <c r="N269" s="1733">
        <f t="shared" si="78"/>
        <v>0</v>
      </c>
      <c r="O269" s="37"/>
      <c r="P269" s="37"/>
      <c r="Q269" s="550"/>
    </row>
    <row r="270" spans="1:17" x14ac:dyDescent="0.25">
      <c r="A270" s="36"/>
      <c r="B270" s="409" t="str">
        <f t="shared" ref="B270:B284" si="79">B234</f>
        <v>REPARACIONS</v>
      </c>
      <c r="C270" s="1733">
        <f t="shared" ref="C270:N270" si="80">C252</f>
        <v>0</v>
      </c>
      <c r="D270" s="1733">
        <f t="shared" si="80"/>
        <v>0</v>
      </c>
      <c r="E270" s="1733">
        <f t="shared" si="80"/>
        <v>0</v>
      </c>
      <c r="F270" s="1733">
        <f t="shared" si="80"/>
        <v>0</v>
      </c>
      <c r="G270" s="1733">
        <f t="shared" si="80"/>
        <v>0</v>
      </c>
      <c r="H270" s="1733">
        <f t="shared" si="80"/>
        <v>0</v>
      </c>
      <c r="I270" s="1733">
        <f t="shared" si="80"/>
        <v>0</v>
      </c>
      <c r="J270" s="1733">
        <f t="shared" si="80"/>
        <v>0</v>
      </c>
      <c r="K270" s="1733">
        <f t="shared" si="80"/>
        <v>0</v>
      </c>
      <c r="L270" s="1733">
        <f t="shared" si="80"/>
        <v>0</v>
      </c>
      <c r="M270" s="1733">
        <f t="shared" si="80"/>
        <v>0</v>
      </c>
      <c r="N270" s="1733">
        <f t="shared" si="80"/>
        <v>0</v>
      </c>
      <c r="O270" s="37"/>
      <c r="P270" s="37"/>
      <c r="Q270" s="550"/>
    </row>
    <row r="271" spans="1:17" x14ac:dyDescent="0.25">
      <c r="A271" s="36"/>
      <c r="B271" s="409" t="str">
        <f t="shared" si="79"/>
        <v>SERVEIS PROF. INDEPENDENTS</v>
      </c>
      <c r="C271" s="1733">
        <f t="shared" ref="C271:N271" si="81">C253</f>
        <v>0</v>
      </c>
      <c r="D271" s="1733">
        <f t="shared" si="81"/>
        <v>0</v>
      </c>
      <c r="E271" s="1733">
        <f t="shared" si="81"/>
        <v>0</v>
      </c>
      <c r="F271" s="1733">
        <f t="shared" si="81"/>
        <v>0</v>
      </c>
      <c r="G271" s="1733">
        <f t="shared" si="81"/>
        <v>0</v>
      </c>
      <c r="H271" s="1733">
        <f t="shared" si="81"/>
        <v>0</v>
      </c>
      <c r="I271" s="1733">
        <f t="shared" si="81"/>
        <v>0</v>
      </c>
      <c r="J271" s="1733">
        <f t="shared" si="81"/>
        <v>0</v>
      </c>
      <c r="K271" s="1733">
        <f t="shared" si="81"/>
        <v>0</v>
      </c>
      <c r="L271" s="1733">
        <f t="shared" si="81"/>
        <v>0</v>
      </c>
      <c r="M271" s="1733">
        <f t="shared" si="81"/>
        <v>0</v>
      </c>
      <c r="N271" s="1733">
        <f t="shared" si="81"/>
        <v>0</v>
      </c>
      <c r="O271" s="37"/>
      <c r="P271" s="37"/>
      <c r="Q271" s="550"/>
    </row>
    <row r="272" spans="1:17" x14ac:dyDescent="0.25">
      <c r="A272" s="36"/>
      <c r="B272" s="409" t="str">
        <f t="shared" si="79"/>
        <v>TRANSPORTS</v>
      </c>
      <c r="C272" s="1733">
        <f>C254</f>
        <v>0</v>
      </c>
      <c r="D272" s="1733">
        <f t="shared" ref="D272:N272" si="82">D254</f>
        <v>0</v>
      </c>
      <c r="E272" s="1733">
        <f t="shared" si="82"/>
        <v>0</v>
      </c>
      <c r="F272" s="1733">
        <f t="shared" si="82"/>
        <v>0</v>
      </c>
      <c r="G272" s="1733">
        <f t="shared" si="82"/>
        <v>0</v>
      </c>
      <c r="H272" s="1733">
        <f t="shared" si="82"/>
        <v>0</v>
      </c>
      <c r="I272" s="1733">
        <f t="shared" si="82"/>
        <v>0</v>
      </c>
      <c r="J272" s="1733">
        <f t="shared" si="82"/>
        <v>0</v>
      </c>
      <c r="K272" s="1733">
        <f t="shared" si="82"/>
        <v>0</v>
      </c>
      <c r="L272" s="1733">
        <f t="shared" si="82"/>
        <v>0</v>
      </c>
      <c r="M272" s="1733">
        <f t="shared" si="82"/>
        <v>0</v>
      </c>
      <c r="N272" s="1733">
        <f t="shared" si="82"/>
        <v>0</v>
      </c>
      <c r="O272" s="37"/>
      <c r="P272" s="37"/>
      <c r="Q272" s="550"/>
    </row>
    <row r="273" spans="1:17" x14ac:dyDescent="0.25">
      <c r="A273" s="36"/>
      <c r="B273" s="409" t="str">
        <f t="shared" si="79"/>
        <v>PRIMES D'ASSEGURANCES</v>
      </c>
      <c r="C273" s="1733">
        <f>C255</f>
        <v>0</v>
      </c>
      <c r="D273" s="1733">
        <f t="shared" ref="D273:N273" si="83">D255</f>
        <v>0</v>
      </c>
      <c r="E273" s="1733">
        <f t="shared" si="83"/>
        <v>0</v>
      </c>
      <c r="F273" s="1733">
        <f t="shared" si="83"/>
        <v>0</v>
      </c>
      <c r="G273" s="1733">
        <f t="shared" si="83"/>
        <v>0</v>
      </c>
      <c r="H273" s="1733">
        <f t="shared" si="83"/>
        <v>0</v>
      </c>
      <c r="I273" s="1733">
        <f t="shared" si="83"/>
        <v>0</v>
      </c>
      <c r="J273" s="1733">
        <f t="shared" si="83"/>
        <v>0</v>
      </c>
      <c r="K273" s="1733">
        <f t="shared" si="83"/>
        <v>0</v>
      </c>
      <c r="L273" s="1733">
        <f t="shared" si="83"/>
        <v>0</v>
      </c>
      <c r="M273" s="1733">
        <f t="shared" si="83"/>
        <v>0</v>
      </c>
      <c r="N273" s="1733">
        <f t="shared" si="83"/>
        <v>0</v>
      </c>
      <c r="O273" s="37"/>
      <c r="P273" s="37"/>
      <c r="Q273" s="550"/>
    </row>
    <row r="274" spans="1:17" x14ac:dyDescent="0.25">
      <c r="A274" s="36"/>
      <c r="B274" s="409" t="str">
        <f t="shared" si="79"/>
        <v>SUBMINISTRAMENTS</v>
      </c>
      <c r="C274" s="656"/>
      <c r="D274" s="656"/>
      <c r="E274" s="656"/>
      <c r="F274" s="656"/>
      <c r="G274" s="656"/>
      <c r="H274" s="656"/>
      <c r="I274" s="656"/>
      <c r="J274" s="656"/>
      <c r="K274" s="656"/>
      <c r="L274" s="656"/>
      <c r="M274" s="656"/>
      <c r="N274" s="656"/>
      <c r="O274" s="37"/>
      <c r="P274" s="37"/>
      <c r="Q274" s="550"/>
    </row>
    <row r="275" spans="1:17" x14ac:dyDescent="0.25">
      <c r="A275" s="36"/>
      <c r="B275" s="411" t="str">
        <f t="shared" si="79"/>
        <v>Aigua</v>
      </c>
      <c r="C275" s="1733">
        <f t="shared" ref="C275:N275" si="84">C257</f>
        <v>0</v>
      </c>
      <c r="D275" s="1733">
        <f t="shared" si="84"/>
        <v>0</v>
      </c>
      <c r="E275" s="1733">
        <f t="shared" si="84"/>
        <v>0</v>
      </c>
      <c r="F275" s="1733">
        <f t="shared" si="84"/>
        <v>0</v>
      </c>
      <c r="G275" s="1733">
        <f t="shared" si="84"/>
        <v>0</v>
      </c>
      <c r="H275" s="1733">
        <f t="shared" si="84"/>
        <v>0</v>
      </c>
      <c r="I275" s="1733">
        <f t="shared" si="84"/>
        <v>0</v>
      </c>
      <c r="J275" s="1733">
        <f t="shared" si="84"/>
        <v>0</v>
      </c>
      <c r="K275" s="1733">
        <f t="shared" si="84"/>
        <v>0</v>
      </c>
      <c r="L275" s="1733">
        <f t="shared" si="84"/>
        <v>0</v>
      </c>
      <c r="M275" s="1733">
        <f t="shared" si="84"/>
        <v>0</v>
      </c>
      <c r="N275" s="1733">
        <f t="shared" si="84"/>
        <v>0</v>
      </c>
      <c r="O275" s="37"/>
      <c r="P275" s="37"/>
      <c r="Q275" s="550"/>
    </row>
    <row r="276" spans="1:17" x14ac:dyDescent="0.25">
      <c r="A276" s="36"/>
      <c r="B276" s="411" t="str">
        <f t="shared" si="79"/>
        <v>Gas</v>
      </c>
      <c r="C276" s="1733">
        <f t="shared" ref="C276:N276" si="85">C258</f>
        <v>0</v>
      </c>
      <c r="D276" s="1733">
        <f t="shared" si="85"/>
        <v>0</v>
      </c>
      <c r="E276" s="1733">
        <f t="shared" si="85"/>
        <v>0</v>
      </c>
      <c r="F276" s="1733">
        <f t="shared" si="85"/>
        <v>0</v>
      </c>
      <c r="G276" s="1733">
        <f t="shared" si="85"/>
        <v>0</v>
      </c>
      <c r="H276" s="1733">
        <f t="shared" si="85"/>
        <v>0</v>
      </c>
      <c r="I276" s="1733">
        <f t="shared" si="85"/>
        <v>0</v>
      </c>
      <c r="J276" s="1733">
        <f t="shared" si="85"/>
        <v>0</v>
      </c>
      <c r="K276" s="1733">
        <f t="shared" si="85"/>
        <v>0</v>
      </c>
      <c r="L276" s="1733">
        <f t="shared" si="85"/>
        <v>0</v>
      </c>
      <c r="M276" s="1733">
        <f t="shared" si="85"/>
        <v>0</v>
      </c>
      <c r="N276" s="1733">
        <f t="shared" si="85"/>
        <v>0</v>
      </c>
      <c r="O276" s="37"/>
      <c r="P276" s="37"/>
      <c r="Q276" s="550"/>
    </row>
    <row r="277" spans="1:17" x14ac:dyDescent="0.25">
      <c r="A277" s="36"/>
      <c r="B277" s="411" t="str">
        <f t="shared" si="79"/>
        <v>Electricitat</v>
      </c>
      <c r="C277" s="1733">
        <f t="shared" ref="C277:N277" si="86">C259</f>
        <v>0</v>
      </c>
      <c r="D277" s="1733">
        <f t="shared" si="86"/>
        <v>0</v>
      </c>
      <c r="E277" s="1733">
        <f t="shared" si="86"/>
        <v>0</v>
      </c>
      <c r="F277" s="1733">
        <f t="shared" si="86"/>
        <v>0</v>
      </c>
      <c r="G277" s="1733">
        <f t="shared" si="86"/>
        <v>0</v>
      </c>
      <c r="H277" s="1733">
        <f t="shared" si="86"/>
        <v>0</v>
      </c>
      <c r="I277" s="1733">
        <f t="shared" si="86"/>
        <v>0</v>
      </c>
      <c r="J277" s="1733">
        <f t="shared" si="86"/>
        <v>0</v>
      </c>
      <c r="K277" s="1733">
        <f t="shared" si="86"/>
        <v>0</v>
      </c>
      <c r="L277" s="1733">
        <f t="shared" si="86"/>
        <v>0</v>
      </c>
      <c r="M277" s="1733">
        <f t="shared" si="86"/>
        <v>0</v>
      </c>
      <c r="N277" s="1733">
        <f t="shared" si="86"/>
        <v>0</v>
      </c>
      <c r="O277" s="37"/>
      <c r="P277" s="37"/>
      <c r="Q277" s="550"/>
    </row>
    <row r="278" spans="1:17" x14ac:dyDescent="0.25">
      <c r="A278" s="36"/>
      <c r="B278" s="411" t="str">
        <f t="shared" si="79"/>
        <v>Combustible</v>
      </c>
      <c r="C278" s="1733">
        <f t="shared" ref="C278:N278" si="87">C260</f>
        <v>0</v>
      </c>
      <c r="D278" s="1733">
        <f t="shared" si="87"/>
        <v>0</v>
      </c>
      <c r="E278" s="1733">
        <f t="shared" si="87"/>
        <v>0</v>
      </c>
      <c r="F278" s="1733">
        <f t="shared" si="87"/>
        <v>0</v>
      </c>
      <c r="G278" s="1733">
        <f t="shared" si="87"/>
        <v>0</v>
      </c>
      <c r="H278" s="1733">
        <f t="shared" si="87"/>
        <v>0</v>
      </c>
      <c r="I278" s="1733">
        <f t="shared" si="87"/>
        <v>0</v>
      </c>
      <c r="J278" s="1733">
        <f t="shared" si="87"/>
        <v>0</v>
      </c>
      <c r="K278" s="1733">
        <f t="shared" si="87"/>
        <v>0</v>
      </c>
      <c r="L278" s="1733">
        <f t="shared" si="87"/>
        <v>0</v>
      </c>
      <c r="M278" s="1733">
        <f t="shared" si="87"/>
        <v>0</v>
      </c>
      <c r="N278" s="1733">
        <f t="shared" si="87"/>
        <v>0</v>
      </c>
      <c r="O278" s="37"/>
      <c r="P278" s="37"/>
      <c r="Q278" s="550"/>
    </row>
    <row r="279" spans="1:17" x14ac:dyDescent="0.25">
      <c r="A279" s="36"/>
      <c r="B279" s="411" t="str">
        <f t="shared" si="79"/>
        <v>Telèfon, fax i internet</v>
      </c>
      <c r="C279" s="1733">
        <f t="shared" ref="C279:N279" si="88">C261</f>
        <v>0</v>
      </c>
      <c r="D279" s="1733">
        <f t="shared" si="88"/>
        <v>0</v>
      </c>
      <c r="E279" s="1733">
        <f t="shared" si="88"/>
        <v>0</v>
      </c>
      <c r="F279" s="1733">
        <f t="shared" si="88"/>
        <v>0</v>
      </c>
      <c r="G279" s="1733">
        <f t="shared" si="88"/>
        <v>0</v>
      </c>
      <c r="H279" s="1733">
        <f t="shared" si="88"/>
        <v>0</v>
      </c>
      <c r="I279" s="1733">
        <f t="shared" si="88"/>
        <v>0</v>
      </c>
      <c r="J279" s="1733">
        <f t="shared" si="88"/>
        <v>0</v>
      </c>
      <c r="K279" s="1733">
        <f t="shared" si="88"/>
        <v>0</v>
      </c>
      <c r="L279" s="1733">
        <f t="shared" si="88"/>
        <v>0</v>
      </c>
      <c r="M279" s="1733">
        <f t="shared" si="88"/>
        <v>0</v>
      </c>
      <c r="N279" s="1733">
        <f t="shared" si="88"/>
        <v>0</v>
      </c>
      <c r="O279" s="37"/>
      <c r="P279" s="37"/>
      <c r="Q279" s="550"/>
    </row>
    <row r="280" spans="1:17" x14ac:dyDescent="0.25">
      <c r="A280" s="36"/>
      <c r="B280" s="409" t="str">
        <f t="shared" si="79"/>
        <v>DESPESES DIVERSES</v>
      </c>
      <c r="C280" s="656"/>
      <c r="D280" s="656"/>
      <c r="E280" s="656"/>
      <c r="F280" s="656"/>
      <c r="G280" s="656"/>
      <c r="H280" s="656"/>
      <c r="I280" s="656"/>
      <c r="J280" s="656"/>
      <c r="K280" s="656"/>
      <c r="L280" s="656"/>
      <c r="M280" s="656"/>
      <c r="N280" s="656"/>
      <c r="O280" s="37"/>
      <c r="P280" s="37"/>
      <c r="Q280" s="550"/>
    </row>
    <row r="281" spans="1:17" x14ac:dyDescent="0.25">
      <c r="A281" s="36"/>
      <c r="B281" s="411" t="str">
        <f t="shared" si="79"/>
        <v>Gestoria</v>
      </c>
      <c r="C281" s="1733">
        <f t="shared" ref="C281:N281" si="89">C263</f>
        <v>0</v>
      </c>
      <c r="D281" s="1733">
        <f t="shared" si="89"/>
        <v>0</v>
      </c>
      <c r="E281" s="1733">
        <f t="shared" si="89"/>
        <v>0</v>
      </c>
      <c r="F281" s="1733">
        <f t="shared" si="89"/>
        <v>0</v>
      </c>
      <c r="G281" s="1733">
        <f t="shared" si="89"/>
        <v>0</v>
      </c>
      <c r="H281" s="1733">
        <f t="shared" si="89"/>
        <v>0</v>
      </c>
      <c r="I281" s="1733">
        <f t="shared" si="89"/>
        <v>0</v>
      </c>
      <c r="J281" s="1733">
        <f t="shared" si="89"/>
        <v>0</v>
      </c>
      <c r="K281" s="1733">
        <f t="shared" si="89"/>
        <v>0</v>
      </c>
      <c r="L281" s="1733">
        <f t="shared" si="89"/>
        <v>0</v>
      </c>
      <c r="M281" s="1733">
        <f t="shared" si="89"/>
        <v>0</v>
      </c>
      <c r="N281" s="1733">
        <f t="shared" si="89"/>
        <v>0</v>
      </c>
      <c r="O281" s="37"/>
      <c r="P281" s="37"/>
      <c r="Q281" s="550"/>
    </row>
    <row r="282" spans="1:17" x14ac:dyDescent="0.25">
      <c r="A282" s="36"/>
      <c r="B282" s="411" t="str">
        <f t="shared" si="79"/>
        <v>Oficina</v>
      </c>
      <c r="C282" s="1733">
        <f t="shared" ref="C282:N282" si="90">C264</f>
        <v>0</v>
      </c>
      <c r="D282" s="1733">
        <f t="shared" si="90"/>
        <v>0</v>
      </c>
      <c r="E282" s="1733">
        <f t="shared" si="90"/>
        <v>0</v>
      </c>
      <c r="F282" s="1733">
        <f t="shared" si="90"/>
        <v>0</v>
      </c>
      <c r="G282" s="1733">
        <f t="shared" si="90"/>
        <v>0</v>
      </c>
      <c r="H282" s="1733">
        <f t="shared" si="90"/>
        <v>0</v>
      </c>
      <c r="I282" s="1733">
        <f t="shared" si="90"/>
        <v>0</v>
      </c>
      <c r="J282" s="1733">
        <f t="shared" si="90"/>
        <v>0</v>
      </c>
      <c r="K282" s="1733">
        <f t="shared" si="90"/>
        <v>0</v>
      </c>
      <c r="L282" s="1733">
        <f t="shared" si="90"/>
        <v>0</v>
      </c>
      <c r="M282" s="1733">
        <f t="shared" si="90"/>
        <v>0</v>
      </c>
      <c r="N282" s="1733">
        <f t="shared" si="90"/>
        <v>0</v>
      </c>
      <c r="O282" s="37"/>
      <c r="P282" s="37"/>
      <c r="Q282" s="550"/>
    </row>
    <row r="283" spans="1:17" x14ac:dyDescent="0.25">
      <c r="A283" s="36"/>
      <c r="B283" s="411" t="str">
        <f t="shared" si="79"/>
        <v>Manutenció</v>
      </c>
      <c r="C283" s="1733">
        <f t="shared" ref="C283:N283" si="91">C265</f>
        <v>0</v>
      </c>
      <c r="D283" s="1733">
        <f t="shared" si="91"/>
        <v>0</v>
      </c>
      <c r="E283" s="1733">
        <f t="shared" si="91"/>
        <v>0</v>
      </c>
      <c r="F283" s="1733">
        <f t="shared" si="91"/>
        <v>0</v>
      </c>
      <c r="G283" s="1733">
        <f t="shared" si="91"/>
        <v>0</v>
      </c>
      <c r="H283" s="1733">
        <f t="shared" si="91"/>
        <v>0</v>
      </c>
      <c r="I283" s="1733">
        <f t="shared" si="91"/>
        <v>0</v>
      </c>
      <c r="J283" s="1733">
        <f t="shared" si="91"/>
        <v>0</v>
      </c>
      <c r="K283" s="1733">
        <f t="shared" si="91"/>
        <v>0</v>
      </c>
      <c r="L283" s="1733">
        <f t="shared" si="91"/>
        <v>0</v>
      </c>
      <c r="M283" s="1733">
        <f t="shared" si="91"/>
        <v>0</v>
      </c>
      <c r="N283" s="1733">
        <f t="shared" si="91"/>
        <v>0</v>
      </c>
      <c r="O283" s="37"/>
      <c r="P283" s="37"/>
      <c r="Q283" s="550"/>
    </row>
    <row r="284" spans="1:17" x14ac:dyDescent="0.25">
      <c r="A284" s="36"/>
      <c r="B284" s="411" t="str">
        <f t="shared" si="79"/>
        <v>Varis</v>
      </c>
      <c r="C284" s="1733">
        <f t="shared" ref="C284:N284" si="92">C266</f>
        <v>0</v>
      </c>
      <c r="D284" s="1733">
        <f t="shared" si="92"/>
        <v>0</v>
      </c>
      <c r="E284" s="1733">
        <f t="shared" si="92"/>
        <v>0</v>
      </c>
      <c r="F284" s="1733">
        <f t="shared" si="92"/>
        <v>0</v>
      </c>
      <c r="G284" s="1733">
        <f t="shared" si="92"/>
        <v>0</v>
      </c>
      <c r="H284" s="1733">
        <f t="shared" si="92"/>
        <v>0</v>
      </c>
      <c r="I284" s="1733">
        <f t="shared" si="92"/>
        <v>0</v>
      </c>
      <c r="J284" s="1733">
        <f t="shared" si="92"/>
        <v>0</v>
      </c>
      <c r="K284" s="1733">
        <f t="shared" si="92"/>
        <v>0</v>
      </c>
      <c r="L284" s="1733">
        <f t="shared" si="92"/>
        <v>0</v>
      </c>
      <c r="M284" s="1733">
        <f t="shared" si="92"/>
        <v>0</v>
      </c>
      <c r="N284" s="1733">
        <f t="shared" si="92"/>
        <v>0</v>
      </c>
      <c r="O284" s="37"/>
      <c r="P284" s="37"/>
      <c r="Q284" s="550"/>
    </row>
    <row r="285" spans="1:17" x14ac:dyDescent="0.25">
      <c r="A285" s="36"/>
      <c r="B285" s="415"/>
      <c r="C285" s="404"/>
      <c r="D285" s="404"/>
      <c r="E285" s="404"/>
      <c r="F285" s="404"/>
      <c r="G285" s="404"/>
      <c r="H285" s="404"/>
      <c r="I285" s="404"/>
      <c r="J285" s="404"/>
      <c r="K285" s="404"/>
      <c r="L285" s="404"/>
      <c r="M285" s="404"/>
      <c r="N285" s="205"/>
      <c r="O285" s="37"/>
      <c r="P285" s="37"/>
      <c r="Q285" s="550"/>
    </row>
    <row r="286" spans="1:17" x14ac:dyDescent="0.25">
      <c r="A286" s="36"/>
      <c r="B286" s="37"/>
      <c r="C286" s="37"/>
      <c r="D286" s="37"/>
      <c r="E286" s="37"/>
      <c r="F286" s="37"/>
      <c r="G286" s="37"/>
      <c r="H286" s="37"/>
      <c r="I286" s="37"/>
      <c r="J286" s="37"/>
      <c r="K286" s="37"/>
      <c r="L286" s="37"/>
      <c r="M286" s="37"/>
      <c r="N286" s="37"/>
      <c r="O286" s="37"/>
      <c r="P286" s="37"/>
      <c r="Q286" s="550"/>
    </row>
    <row r="287" spans="1:17" ht="15.5" x14ac:dyDescent="0.35">
      <c r="A287" s="42">
        <v>5</v>
      </c>
      <c r="B287" s="43" t="s">
        <v>191</v>
      </c>
      <c r="C287" s="37"/>
      <c r="D287" s="37"/>
      <c r="E287" s="37"/>
      <c r="F287" s="37"/>
      <c r="G287" s="37"/>
      <c r="H287" s="37"/>
      <c r="I287" s="37"/>
      <c r="J287" s="37"/>
      <c r="K287" s="37"/>
      <c r="L287" s="37"/>
      <c r="M287" s="37"/>
      <c r="N287" s="37"/>
      <c r="O287" s="37"/>
      <c r="P287" s="37"/>
      <c r="Q287" s="550"/>
    </row>
    <row r="288" spans="1:17" ht="12.75" customHeight="1" x14ac:dyDescent="0.25">
      <c r="A288" s="36"/>
      <c r="B288" s="183"/>
      <c r="C288" s="46"/>
      <c r="D288" s="46"/>
      <c r="E288" s="46"/>
      <c r="F288" s="46"/>
      <c r="G288" s="46"/>
      <c r="H288" s="46"/>
      <c r="I288" s="46"/>
      <c r="J288" s="46"/>
      <c r="K288" s="46"/>
      <c r="L288" s="47"/>
      <c r="M288" s="37"/>
      <c r="N288" s="37"/>
      <c r="O288" s="37"/>
      <c r="P288" s="37"/>
      <c r="Q288" s="550"/>
    </row>
    <row r="289" spans="1:17" ht="13" x14ac:dyDescent="0.3">
      <c r="A289" s="36"/>
      <c r="B289" s="657" t="s">
        <v>17</v>
      </c>
      <c r="C289" s="658" t="s">
        <v>192</v>
      </c>
      <c r="D289" s="417" t="s">
        <v>193</v>
      </c>
      <c r="E289" s="417" t="s">
        <v>235</v>
      </c>
      <c r="F289" s="417" t="s">
        <v>236</v>
      </c>
      <c r="G289" s="417" t="s">
        <v>237</v>
      </c>
      <c r="H289" s="417" t="s">
        <v>238</v>
      </c>
      <c r="I289" s="417" t="s">
        <v>239</v>
      </c>
      <c r="J289" s="417" t="s">
        <v>240</v>
      </c>
      <c r="K289" s="417" t="s">
        <v>241</v>
      </c>
      <c r="L289" s="532" t="s">
        <v>242</v>
      </c>
      <c r="M289" s="478"/>
      <c r="N289" s="37"/>
      <c r="O289" s="37"/>
      <c r="P289" s="37"/>
      <c r="Q289" s="550"/>
    </row>
    <row r="290" spans="1:17" ht="13" x14ac:dyDescent="0.3">
      <c r="A290" s="36"/>
      <c r="B290" s="659" t="s">
        <v>194</v>
      </c>
      <c r="C290" s="1747" t="str">
        <f t="shared" ref="C290:L291" si="93">+$C$10</f>
        <v>GENER</v>
      </c>
      <c r="D290" s="1747" t="str">
        <f t="shared" si="93"/>
        <v>GENER</v>
      </c>
      <c r="E290" s="1747" t="str">
        <f t="shared" si="93"/>
        <v>GENER</v>
      </c>
      <c r="F290" s="1747" t="str">
        <f t="shared" si="93"/>
        <v>GENER</v>
      </c>
      <c r="G290" s="1747" t="str">
        <f t="shared" si="93"/>
        <v>GENER</v>
      </c>
      <c r="H290" s="1747" t="str">
        <f t="shared" si="93"/>
        <v>GENER</v>
      </c>
      <c r="I290" s="1747" t="str">
        <f t="shared" si="93"/>
        <v>GENER</v>
      </c>
      <c r="J290" s="1747" t="str">
        <f t="shared" si="93"/>
        <v>GENER</v>
      </c>
      <c r="K290" s="1747" t="str">
        <f t="shared" si="93"/>
        <v>GENER</v>
      </c>
      <c r="L290" s="1747" t="str">
        <f t="shared" si="93"/>
        <v>GENER</v>
      </c>
      <c r="M290" s="660"/>
      <c r="N290" s="661"/>
      <c r="O290" s="37"/>
      <c r="P290" s="37"/>
      <c r="Q290" s="550"/>
    </row>
    <row r="291" spans="1:17" ht="13" x14ac:dyDescent="0.3">
      <c r="A291" s="36"/>
      <c r="B291" s="481" t="s">
        <v>195</v>
      </c>
      <c r="C291" s="1747" t="str">
        <f t="shared" si="93"/>
        <v>GENER</v>
      </c>
      <c r="D291" s="1747" t="str">
        <f t="shared" si="93"/>
        <v>GENER</v>
      </c>
      <c r="E291" s="1747" t="str">
        <f t="shared" si="93"/>
        <v>GENER</v>
      </c>
      <c r="F291" s="1747" t="str">
        <f t="shared" si="93"/>
        <v>GENER</v>
      </c>
      <c r="G291" s="1747" t="str">
        <f t="shared" si="93"/>
        <v>GENER</v>
      </c>
      <c r="H291" s="1747" t="str">
        <f t="shared" si="93"/>
        <v>GENER</v>
      </c>
      <c r="I291" s="1747" t="str">
        <f t="shared" si="93"/>
        <v>GENER</v>
      </c>
      <c r="J291" s="1747" t="str">
        <f t="shared" si="93"/>
        <v>GENER</v>
      </c>
      <c r="K291" s="1747" t="str">
        <f t="shared" si="93"/>
        <v>GENER</v>
      </c>
      <c r="L291" s="1747" t="str">
        <f t="shared" si="93"/>
        <v>GENER</v>
      </c>
      <c r="M291" s="660"/>
      <c r="N291" s="661"/>
      <c r="O291" s="37"/>
      <c r="P291" s="37"/>
      <c r="Q291" s="550"/>
    </row>
    <row r="292" spans="1:17" ht="13" hidden="1" x14ac:dyDescent="0.3">
      <c r="A292" s="36"/>
      <c r="B292" s="76" t="s">
        <v>204</v>
      </c>
      <c r="C292" s="662"/>
      <c r="D292" s="662"/>
      <c r="E292" s="662"/>
      <c r="F292" s="662"/>
      <c r="G292" s="662"/>
      <c r="H292" s="662"/>
      <c r="I292" s="662"/>
      <c r="J292" s="662"/>
      <c r="K292" s="662"/>
      <c r="L292" s="663"/>
      <c r="M292" s="664"/>
      <c r="N292" s="661"/>
      <c r="O292" s="37"/>
      <c r="P292" s="37"/>
      <c r="Q292" s="550"/>
    </row>
    <row r="293" spans="1:17" ht="13" hidden="1" x14ac:dyDescent="0.3">
      <c r="A293" s="36"/>
      <c r="B293" s="76" t="s">
        <v>205</v>
      </c>
      <c r="C293" s="662"/>
      <c r="D293" s="662"/>
      <c r="E293" s="662"/>
      <c r="F293" s="662"/>
      <c r="G293" s="662"/>
      <c r="H293" s="662"/>
      <c r="I293" s="662"/>
      <c r="J293" s="662"/>
      <c r="K293" s="662"/>
      <c r="L293" s="663"/>
      <c r="M293" s="664"/>
      <c r="N293" s="661"/>
      <c r="O293" s="37"/>
      <c r="P293" s="37"/>
      <c r="Q293" s="550"/>
    </row>
    <row r="294" spans="1:17" ht="13" x14ac:dyDescent="0.3">
      <c r="A294" s="36"/>
      <c r="B294" s="73" t="s">
        <v>206</v>
      </c>
      <c r="C294" s="665"/>
      <c r="D294" s="665"/>
      <c r="E294" s="665"/>
      <c r="F294" s="665"/>
      <c r="G294" s="665"/>
      <c r="H294" s="665"/>
      <c r="I294" s="665"/>
      <c r="J294" s="665"/>
      <c r="K294" s="665"/>
      <c r="L294" s="666"/>
      <c r="M294" s="486"/>
      <c r="N294" s="667"/>
      <c r="O294" s="37"/>
      <c r="P294" s="37"/>
      <c r="Q294" s="550"/>
    </row>
    <row r="295" spans="1:17" ht="13" x14ac:dyDescent="0.3">
      <c r="A295" s="36"/>
      <c r="B295" s="73" t="s">
        <v>197</v>
      </c>
      <c r="C295" s="431">
        <v>0</v>
      </c>
      <c r="D295" s="431">
        <v>0</v>
      </c>
      <c r="E295" s="431">
        <v>0</v>
      </c>
      <c r="F295" s="431">
        <v>0</v>
      </c>
      <c r="G295" s="431">
        <v>0</v>
      </c>
      <c r="H295" s="431">
        <v>0</v>
      </c>
      <c r="I295" s="431">
        <v>0</v>
      </c>
      <c r="J295" s="431">
        <v>0</v>
      </c>
      <c r="K295" s="431">
        <v>0</v>
      </c>
      <c r="L295" s="668">
        <v>0</v>
      </c>
      <c r="M295" s="669"/>
      <c r="N295" s="670"/>
      <c r="O295" s="37"/>
      <c r="P295" s="37"/>
      <c r="Q295" s="550"/>
    </row>
    <row r="296" spans="1:17" x14ac:dyDescent="0.25">
      <c r="A296" s="36"/>
      <c r="B296" s="73" t="s">
        <v>198</v>
      </c>
      <c r="C296" s="671"/>
      <c r="D296" s="671"/>
      <c r="E296" s="671"/>
      <c r="F296" s="671"/>
      <c r="G296" s="671"/>
      <c r="H296" s="671"/>
      <c r="I296" s="671"/>
      <c r="J296" s="671"/>
      <c r="K296" s="671"/>
      <c r="L296" s="672"/>
      <c r="M296" s="673"/>
      <c r="N296" s="673"/>
      <c r="O296" s="37"/>
      <c r="P296" s="37"/>
      <c r="Q296" s="550"/>
    </row>
    <row r="297" spans="1:17" x14ac:dyDescent="0.25">
      <c r="A297" s="36"/>
      <c r="B297" s="674" t="s">
        <v>199</v>
      </c>
      <c r="C297" s="437">
        <v>0</v>
      </c>
      <c r="D297" s="437">
        <v>0</v>
      </c>
      <c r="E297" s="437">
        <v>0</v>
      </c>
      <c r="F297" s="437">
        <v>0</v>
      </c>
      <c r="G297" s="437">
        <v>0</v>
      </c>
      <c r="H297" s="437">
        <v>0</v>
      </c>
      <c r="I297" s="437">
        <v>0</v>
      </c>
      <c r="J297" s="437">
        <v>0</v>
      </c>
      <c r="K297" s="437">
        <v>0</v>
      </c>
      <c r="L297" s="675">
        <v>0</v>
      </c>
      <c r="M297" s="676"/>
      <c r="N297" s="489"/>
      <c r="O297" s="37"/>
      <c r="P297" s="37"/>
      <c r="Q297" s="550"/>
    </row>
    <row r="298" spans="1:17" x14ac:dyDescent="0.25">
      <c r="A298" s="36"/>
      <c r="B298" s="674" t="s">
        <v>200</v>
      </c>
      <c r="C298" s="441">
        <v>0</v>
      </c>
      <c r="D298" s="441">
        <v>0</v>
      </c>
      <c r="E298" s="441">
        <v>0</v>
      </c>
      <c r="F298" s="441">
        <v>0</v>
      </c>
      <c r="G298" s="441">
        <v>0</v>
      </c>
      <c r="H298" s="441">
        <v>0</v>
      </c>
      <c r="I298" s="441">
        <v>0</v>
      </c>
      <c r="J298" s="441">
        <v>0</v>
      </c>
      <c r="K298" s="441">
        <v>0</v>
      </c>
      <c r="L298" s="677">
        <v>0</v>
      </c>
      <c r="M298" s="676"/>
      <c r="N298" s="489"/>
      <c r="O298" s="37"/>
      <c r="P298" s="37"/>
      <c r="Q298" s="550"/>
    </row>
    <row r="299" spans="1:17" s="7" customFormat="1" ht="13" x14ac:dyDescent="0.3">
      <c r="A299" s="444"/>
      <c r="B299" s="73" t="s">
        <v>201</v>
      </c>
      <c r="C299" s="445">
        <v>0</v>
      </c>
      <c r="D299" s="445">
        <v>0</v>
      </c>
      <c r="E299" s="445">
        <v>0</v>
      </c>
      <c r="F299" s="445">
        <v>0</v>
      </c>
      <c r="G299" s="445">
        <v>0</v>
      </c>
      <c r="H299" s="445">
        <v>0</v>
      </c>
      <c r="I299" s="445">
        <v>0</v>
      </c>
      <c r="J299" s="445">
        <v>0</v>
      </c>
      <c r="K299" s="445">
        <v>0</v>
      </c>
      <c r="L299" s="678">
        <v>0</v>
      </c>
      <c r="M299" s="679"/>
      <c r="N299" s="661"/>
      <c r="O299" s="680"/>
      <c r="P299" s="680"/>
      <c r="Q299" s="681"/>
    </row>
    <row r="300" spans="1:17" s="7" customFormat="1" ht="13" x14ac:dyDescent="0.3">
      <c r="A300" s="444"/>
      <c r="B300" s="73" t="s">
        <v>202</v>
      </c>
      <c r="C300" s="682">
        <v>0.29799999999999999</v>
      </c>
      <c r="D300" s="682">
        <v>0.29799999999999999</v>
      </c>
      <c r="E300" s="448">
        <v>0.29799999999999999</v>
      </c>
      <c r="F300" s="448">
        <v>0.29799999999999999</v>
      </c>
      <c r="G300" s="448">
        <v>0.29799999999999999</v>
      </c>
      <c r="H300" s="448">
        <v>0.29799999999999999</v>
      </c>
      <c r="I300" s="448">
        <v>0.29799999999999999</v>
      </c>
      <c r="J300" s="448">
        <v>0.29799999999999999</v>
      </c>
      <c r="K300" s="448">
        <v>0.29799999999999999</v>
      </c>
      <c r="L300" s="448">
        <v>0.29799999999999999</v>
      </c>
      <c r="M300" s="683"/>
      <c r="N300" s="661"/>
      <c r="O300" s="680"/>
      <c r="P300" s="680"/>
      <c r="Q300" s="681"/>
    </row>
    <row r="301" spans="1:17" s="7" customFormat="1" ht="13" x14ac:dyDescent="0.3">
      <c r="A301" s="444"/>
      <c r="B301" s="684" t="s">
        <v>203</v>
      </c>
      <c r="C301" s="448">
        <v>0</v>
      </c>
      <c r="D301" s="448">
        <v>0</v>
      </c>
      <c r="E301" s="448">
        <v>0</v>
      </c>
      <c r="F301" s="448">
        <v>0</v>
      </c>
      <c r="G301" s="448">
        <v>0</v>
      </c>
      <c r="H301" s="448">
        <v>0</v>
      </c>
      <c r="I301" s="448">
        <v>0</v>
      </c>
      <c r="J301" s="448">
        <v>0</v>
      </c>
      <c r="K301" s="448">
        <v>0</v>
      </c>
      <c r="L301" s="685">
        <v>0</v>
      </c>
      <c r="M301" s="686"/>
      <c r="N301" s="502"/>
      <c r="O301" s="680"/>
      <c r="P301" s="680"/>
      <c r="Q301" s="681"/>
    </row>
    <row r="302" spans="1:17" ht="13" x14ac:dyDescent="0.3">
      <c r="A302" s="36"/>
      <c r="B302" s="657" t="s">
        <v>47</v>
      </c>
      <c r="C302" s="658" t="s">
        <v>192</v>
      </c>
      <c r="D302" s="417" t="s">
        <v>193</v>
      </c>
      <c r="E302" s="417" t="s">
        <v>235</v>
      </c>
      <c r="F302" s="417" t="s">
        <v>236</v>
      </c>
      <c r="G302" s="417" t="s">
        <v>237</v>
      </c>
      <c r="H302" s="417" t="s">
        <v>238</v>
      </c>
      <c r="I302" s="417" t="s">
        <v>239</v>
      </c>
      <c r="J302" s="417" t="s">
        <v>240</v>
      </c>
      <c r="K302" s="417" t="s">
        <v>241</v>
      </c>
      <c r="L302" s="532" t="s">
        <v>242</v>
      </c>
      <c r="M302" s="478"/>
      <c r="N302" s="37"/>
      <c r="O302" s="37"/>
      <c r="P302" s="37"/>
      <c r="Q302" s="550"/>
    </row>
    <row r="303" spans="1:17" ht="13" x14ac:dyDescent="0.3">
      <c r="A303" s="36"/>
      <c r="B303" s="659" t="s">
        <v>194</v>
      </c>
      <c r="C303" s="1747" t="str">
        <f>+$C$10</f>
        <v>GENER</v>
      </c>
      <c r="D303" s="1747" t="str">
        <f t="shared" ref="D303:L304" si="94">+$C$10</f>
        <v>GENER</v>
      </c>
      <c r="E303" s="1747" t="str">
        <f t="shared" si="94"/>
        <v>GENER</v>
      </c>
      <c r="F303" s="1747" t="str">
        <f t="shared" si="94"/>
        <v>GENER</v>
      </c>
      <c r="G303" s="1747" t="str">
        <f t="shared" si="94"/>
        <v>GENER</v>
      </c>
      <c r="H303" s="1747" t="str">
        <f t="shared" si="94"/>
        <v>GENER</v>
      </c>
      <c r="I303" s="1747" t="str">
        <f t="shared" si="94"/>
        <v>GENER</v>
      </c>
      <c r="J303" s="1747" t="str">
        <f t="shared" si="94"/>
        <v>GENER</v>
      </c>
      <c r="K303" s="1747" t="str">
        <f t="shared" si="94"/>
        <v>GENER</v>
      </c>
      <c r="L303" s="1747" t="str">
        <f t="shared" si="94"/>
        <v>GENER</v>
      </c>
      <c r="M303" s="660"/>
      <c r="N303" s="661"/>
      <c r="O303" s="37"/>
      <c r="P303" s="37"/>
      <c r="Q303" s="550"/>
    </row>
    <row r="304" spans="1:17" ht="13" x14ac:dyDescent="0.3">
      <c r="A304" s="36"/>
      <c r="B304" s="481" t="s">
        <v>195</v>
      </c>
      <c r="C304" s="1747" t="str">
        <f>+$C$10</f>
        <v>GENER</v>
      </c>
      <c r="D304" s="1747" t="str">
        <f t="shared" si="94"/>
        <v>GENER</v>
      </c>
      <c r="E304" s="1747" t="str">
        <f t="shared" si="94"/>
        <v>GENER</v>
      </c>
      <c r="F304" s="1747" t="str">
        <f t="shared" si="94"/>
        <v>GENER</v>
      </c>
      <c r="G304" s="1747" t="str">
        <f t="shared" si="94"/>
        <v>GENER</v>
      </c>
      <c r="H304" s="1747" t="str">
        <f t="shared" si="94"/>
        <v>GENER</v>
      </c>
      <c r="I304" s="1747" t="str">
        <f t="shared" si="94"/>
        <v>GENER</v>
      </c>
      <c r="J304" s="1747" t="str">
        <f t="shared" si="94"/>
        <v>GENER</v>
      </c>
      <c r="K304" s="1747" t="str">
        <f t="shared" si="94"/>
        <v>GENER</v>
      </c>
      <c r="L304" s="1747" t="str">
        <f t="shared" si="94"/>
        <v>GENER</v>
      </c>
      <c r="M304" s="660"/>
      <c r="N304" s="661"/>
      <c r="O304" s="37"/>
      <c r="P304" s="37"/>
      <c r="Q304" s="550"/>
    </row>
    <row r="305" spans="1:17" ht="13" hidden="1" x14ac:dyDescent="0.3">
      <c r="A305" s="36"/>
      <c r="B305" s="76" t="s">
        <v>204</v>
      </c>
      <c r="C305" s="687"/>
      <c r="D305" s="687"/>
      <c r="E305" s="687"/>
      <c r="F305" s="687"/>
      <c r="G305" s="687"/>
      <c r="H305" s="687"/>
      <c r="I305" s="687"/>
      <c r="J305" s="687"/>
      <c r="K305" s="687"/>
      <c r="L305" s="688"/>
      <c r="M305" s="664"/>
      <c r="N305" s="661"/>
      <c r="O305" s="37"/>
      <c r="P305" s="37"/>
      <c r="Q305" s="550"/>
    </row>
    <row r="306" spans="1:17" ht="13" hidden="1" x14ac:dyDescent="0.3">
      <c r="A306" s="36"/>
      <c r="B306" s="76" t="s">
        <v>205</v>
      </c>
      <c r="C306" s="687"/>
      <c r="D306" s="687"/>
      <c r="E306" s="687"/>
      <c r="F306" s="687"/>
      <c r="G306" s="687"/>
      <c r="H306" s="687"/>
      <c r="I306" s="687"/>
      <c r="J306" s="687"/>
      <c r="K306" s="687"/>
      <c r="L306" s="688"/>
      <c r="M306" s="664"/>
      <c r="N306" s="661"/>
      <c r="O306" s="37"/>
      <c r="P306" s="37"/>
      <c r="Q306" s="550"/>
    </row>
    <row r="307" spans="1:17" ht="13" x14ac:dyDescent="0.3">
      <c r="A307" s="36"/>
      <c r="B307" s="73" t="s">
        <v>206</v>
      </c>
      <c r="C307" s="689"/>
      <c r="D307" s="689"/>
      <c r="E307" s="689"/>
      <c r="F307" s="689"/>
      <c r="G307" s="689"/>
      <c r="H307" s="689"/>
      <c r="I307" s="689"/>
      <c r="J307" s="689"/>
      <c r="K307" s="689"/>
      <c r="L307" s="690"/>
      <c r="M307" s="486"/>
      <c r="N307" s="667"/>
      <c r="O307" s="37"/>
      <c r="P307" s="37"/>
      <c r="Q307" s="550"/>
    </row>
    <row r="308" spans="1:17" ht="13" x14ac:dyDescent="0.3">
      <c r="A308" s="36"/>
      <c r="B308" s="73" t="s">
        <v>197</v>
      </c>
      <c r="C308" s="1748">
        <f>C295</f>
        <v>0</v>
      </c>
      <c r="D308" s="1748">
        <f>+D295</f>
        <v>0</v>
      </c>
      <c r="E308" s="1748">
        <f t="shared" ref="E308:L308" si="95">E295</f>
        <v>0</v>
      </c>
      <c r="F308" s="1748">
        <f t="shared" si="95"/>
        <v>0</v>
      </c>
      <c r="G308" s="1748">
        <f t="shared" si="95"/>
        <v>0</v>
      </c>
      <c r="H308" s="1748">
        <f t="shared" si="95"/>
        <v>0</v>
      </c>
      <c r="I308" s="1748">
        <f t="shared" si="95"/>
        <v>0</v>
      </c>
      <c r="J308" s="1748">
        <f t="shared" si="95"/>
        <v>0</v>
      </c>
      <c r="K308" s="1748">
        <f t="shared" si="95"/>
        <v>0</v>
      </c>
      <c r="L308" s="1749">
        <f t="shared" si="95"/>
        <v>0</v>
      </c>
      <c r="M308" s="669"/>
      <c r="N308" s="670"/>
      <c r="O308" s="37"/>
      <c r="P308" s="37"/>
      <c r="Q308" s="550"/>
    </row>
    <row r="309" spans="1:17" x14ac:dyDescent="0.25">
      <c r="A309" s="36"/>
      <c r="B309" s="73" t="s">
        <v>198</v>
      </c>
      <c r="C309" s="691"/>
      <c r="D309" s="691"/>
      <c r="E309" s="691"/>
      <c r="F309" s="691"/>
      <c r="G309" s="691"/>
      <c r="H309" s="691"/>
      <c r="I309" s="691"/>
      <c r="J309" s="691"/>
      <c r="K309" s="691"/>
      <c r="L309" s="692"/>
      <c r="M309" s="673"/>
      <c r="N309" s="673"/>
      <c r="O309" s="37"/>
      <c r="P309" s="37"/>
      <c r="Q309" s="550"/>
    </row>
    <row r="310" spans="1:17" x14ac:dyDescent="0.25">
      <c r="A310" s="36"/>
      <c r="B310" s="674" t="s">
        <v>199</v>
      </c>
      <c r="C310" s="1750">
        <f>C297</f>
        <v>0</v>
      </c>
      <c r="D310" s="1750">
        <f t="shared" ref="D310:L310" si="96">D297</f>
        <v>0</v>
      </c>
      <c r="E310" s="1750">
        <f t="shared" si="96"/>
        <v>0</v>
      </c>
      <c r="F310" s="1750">
        <f t="shared" si="96"/>
        <v>0</v>
      </c>
      <c r="G310" s="1750">
        <f t="shared" si="96"/>
        <v>0</v>
      </c>
      <c r="H310" s="1750">
        <f t="shared" si="96"/>
        <v>0</v>
      </c>
      <c r="I310" s="1750">
        <f t="shared" si="96"/>
        <v>0</v>
      </c>
      <c r="J310" s="1750">
        <f t="shared" si="96"/>
        <v>0</v>
      </c>
      <c r="K310" s="1750">
        <f t="shared" si="96"/>
        <v>0</v>
      </c>
      <c r="L310" s="1751">
        <f t="shared" si="96"/>
        <v>0</v>
      </c>
      <c r="M310" s="676"/>
      <c r="N310" s="489"/>
      <c r="O310" s="37"/>
      <c r="P310" s="37"/>
      <c r="Q310" s="550"/>
    </row>
    <row r="311" spans="1:17" x14ac:dyDescent="0.25">
      <c r="A311" s="36"/>
      <c r="B311" s="674" t="s">
        <v>200</v>
      </c>
      <c r="C311" s="1752">
        <f>C298</f>
        <v>0</v>
      </c>
      <c r="D311" s="1752">
        <f t="shared" ref="D311:L311" si="97">D298</f>
        <v>0</v>
      </c>
      <c r="E311" s="1752">
        <f t="shared" si="97"/>
        <v>0</v>
      </c>
      <c r="F311" s="1752">
        <f t="shared" si="97"/>
        <v>0</v>
      </c>
      <c r="G311" s="1752">
        <f t="shared" si="97"/>
        <v>0</v>
      </c>
      <c r="H311" s="1752">
        <f t="shared" si="97"/>
        <v>0</v>
      </c>
      <c r="I311" s="1752">
        <f t="shared" si="97"/>
        <v>0</v>
      </c>
      <c r="J311" s="1752">
        <f t="shared" si="97"/>
        <v>0</v>
      </c>
      <c r="K311" s="1752">
        <f t="shared" si="97"/>
        <v>0</v>
      </c>
      <c r="L311" s="1753">
        <f t="shared" si="97"/>
        <v>0</v>
      </c>
      <c r="M311" s="676"/>
      <c r="N311" s="489"/>
      <c r="O311" s="37"/>
      <c r="P311" s="37"/>
      <c r="Q311" s="550"/>
    </row>
    <row r="312" spans="1:17" s="7" customFormat="1" ht="13" x14ac:dyDescent="0.3">
      <c r="A312" s="444"/>
      <c r="B312" s="73" t="s">
        <v>201</v>
      </c>
      <c r="C312" s="1754">
        <f>+C299</f>
        <v>0</v>
      </c>
      <c r="D312" s="1754">
        <f>+D299</f>
        <v>0</v>
      </c>
      <c r="E312" s="1754">
        <f t="shared" ref="E312:L312" si="98">E299</f>
        <v>0</v>
      </c>
      <c r="F312" s="1754">
        <f t="shared" si="98"/>
        <v>0</v>
      </c>
      <c r="G312" s="1754">
        <f t="shared" si="98"/>
        <v>0</v>
      </c>
      <c r="H312" s="1754">
        <f t="shared" si="98"/>
        <v>0</v>
      </c>
      <c r="I312" s="1754">
        <f t="shared" si="98"/>
        <v>0</v>
      </c>
      <c r="J312" s="1754">
        <f t="shared" si="98"/>
        <v>0</v>
      </c>
      <c r="K312" s="1754">
        <f t="shared" si="98"/>
        <v>0</v>
      </c>
      <c r="L312" s="1755">
        <f t="shared" si="98"/>
        <v>0</v>
      </c>
      <c r="M312" s="679"/>
      <c r="N312" s="661"/>
      <c r="O312" s="680"/>
      <c r="P312" s="680"/>
      <c r="Q312" s="681"/>
    </row>
    <row r="313" spans="1:17" s="7" customFormat="1" ht="13" x14ac:dyDescent="0.3">
      <c r="A313" s="444"/>
      <c r="B313" s="73" t="s">
        <v>202</v>
      </c>
      <c r="C313" s="1756">
        <f>C300</f>
        <v>0.29799999999999999</v>
      </c>
      <c r="D313" s="1756">
        <f t="shared" ref="D313:L313" si="99">D300</f>
        <v>0.29799999999999999</v>
      </c>
      <c r="E313" s="1756">
        <f t="shared" si="99"/>
        <v>0.29799999999999999</v>
      </c>
      <c r="F313" s="1756">
        <f t="shared" si="99"/>
        <v>0.29799999999999999</v>
      </c>
      <c r="G313" s="1756">
        <f t="shared" si="99"/>
        <v>0.29799999999999999</v>
      </c>
      <c r="H313" s="1756">
        <f t="shared" si="99"/>
        <v>0.29799999999999999</v>
      </c>
      <c r="I313" s="1756">
        <f t="shared" si="99"/>
        <v>0.29799999999999999</v>
      </c>
      <c r="J313" s="1756">
        <f t="shared" si="99"/>
        <v>0.29799999999999999</v>
      </c>
      <c r="K313" s="1756">
        <f t="shared" si="99"/>
        <v>0.29799999999999999</v>
      </c>
      <c r="L313" s="1757">
        <f t="shared" si="99"/>
        <v>0.29799999999999999</v>
      </c>
      <c r="M313" s="683"/>
      <c r="N313" s="661"/>
      <c r="O313" s="680"/>
      <c r="P313" s="680"/>
      <c r="Q313" s="681"/>
    </row>
    <row r="314" spans="1:17" s="7" customFormat="1" ht="13" x14ac:dyDescent="0.3">
      <c r="A314" s="444"/>
      <c r="B314" s="684" t="s">
        <v>203</v>
      </c>
      <c r="C314" s="1756">
        <v>0.1</v>
      </c>
      <c r="D314" s="1756">
        <f t="shared" ref="D314:L314" si="100">D301</f>
        <v>0</v>
      </c>
      <c r="E314" s="1756">
        <f t="shared" si="100"/>
        <v>0</v>
      </c>
      <c r="F314" s="1756">
        <f t="shared" si="100"/>
        <v>0</v>
      </c>
      <c r="G314" s="1756">
        <f t="shared" si="100"/>
        <v>0</v>
      </c>
      <c r="H314" s="1756">
        <f t="shared" si="100"/>
        <v>0</v>
      </c>
      <c r="I314" s="1756">
        <f t="shared" si="100"/>
        <v>0</v>
      </c>
      <c r="J314" s="1756">
        <f t="shared" si="100"/>
        <v>0</v>
      </c>
      <c r="K314" s="1756">
        <f t="shared" si="100"/>
        <v>0</v>
      </c>
      <c r="L314" s="1757">
        <f t="shared" si="100"/>
        <v>0</v>
      </c>
      <c r="M314" s="686"/>
      <c r="N314" s="502"/>
      <c r="O314" s="680"/>
      <c r="P314" s="680"/>
      <c r="Q314" s="681"/>
    </row>
    <row r="315" spans="1:17" ht="13" x14ac:dyDescent="0.3">
      <c r="A315" s="472"/>
      <c r="B315" s="657" t="s">
        <v>57</v>
      </c>
      <c r="C315" s="658" t="s">
        <v>192</v>
      </c>
      <c r="D315" s="417" t="s">
        <v>193</v>
      </c>
      <c r="E315" s="417" t="s">
        <v>235</v>
      </c>
      <c r="F315" s="417" t="s">
        <v>236</v>
      </c>
      <c r="G315" s="417" t="s">
        <v>237</v>
      </c>
      <c r="H315" s="417" t="s">
        <v>238</v>
      </c>
      <c r="I315" s="417" t="s">
        <v>239</v>
      </c>
      <c r="J315" s="417" t="s">
        <v>240</v>
      </c>
      <c r="K315" s="417" t="s">
        <v>241</v>
      </c>
      <c r="L315" s="532" t="s">
        <v>242</v>
      </c>
      <c r="M315" s="478"/>
      <c r="N315" s="37"/>
      <c r="O315" s="37"/>
      <c r="P315" s="37"/>
      <c r="Q315" s="550"/>
    </row>
    <row r="316" spans="1:17" ht="13" x14ac:dyDescent="0.3">
      <c r="A316" s="36"/>
      <c r="B316" s="659" t="s">
        <v>194</v>
      </c>
      <c r="C316" s="1747" t="str">
        <f>+$C$10</f>
        <v>GENER</v>
      </c>
      <c r="D316" s="1747" t="str">
        <f t="shared" ref="D316:L317" si="101">+$C$10</f>
        <v>GENER</v>
      </c>
      <c r="E316" s="1747" t="str">
        <f t="shared" si="101"/>
        <v>GENER</v>
      </c>
      <c r="F316" s="1747" t="str">
        <f t="shared" si="101"/>
        <v>GENER</v>
      </c>
      <c r="G316" s="1747" t="str">
        <f t="shared" si="101"/>
        <v>GENER</v>
      </c>
      <c r="H316" s="1747" t="str">
        <f t="shared" si="101"/>
        <v>GENER</v>
      </c>
      <c r="I316" s="1747" t="str">
        <f t="shared" si="101"/>
        <v>GENER</v>
      </c>
      <c r="J316" s="1747" t="str">
        <f t="shared" si="101"/>
        <v>GENER</v>
      </c>
      <c r="K316" s="1747" t="str">
        <f t="shared" si="101"/>
        <v>GENER</v>
      </c>
      <c r="L316" s="1747" t="str">
        <f t="shared" si="101"/>
        <v>GENER</v>
      </c>
      <c r="M316" s="660"/>
      <c r="N316" s="661"/>
      <c r="O316" s="37"/>
      <c r="P316" s="37"/>
      <c r="Q316" s="550"/>
    </row>
    <row r="317" spans="1:17" ht="13" x14ac:dyDescent="0.3">
      <c r="A317" s="36"/>
      <c r="B317" s="481" t="s">
        <v>195</v>
      </c>
      <c r="C317" s="1747" t="str">
        <f>+$C$10</f>
        <v>GENER</v>
      </c>
      <c r="D317" s="1747" t="str">
        <f t="shared" si="101"/>
        <v>GENER</v>
      </c>
      <c r="E317" s="1747" t="str">
        <f t="shared" si="101"/>
        <v>GENER</v>
      </c>
      <c r="F317" s="1747" t="str">
        <f t="shared" si="101"/>
        <v>GENER</v>
      </c>
      <c r="G317" s="1747" t="str">
        <f t="shared" si="101"/>
        <v>GENER</v>
      </c>
      <c r="H317" s="1747" t="str">
        <f t="shared" si="101"/>
        <v>GENER</v>
      </c>
      <c r="I317" s="1747" t="str">
        <f t="shared" si="101"/>
        <v>GENER</v>
      </c>
      <c r="J317" s="1747" t="str">
        <f t="shared" si="101"/>
        <v>GENER</v>
      </c>
      <c r="K317" s="1747" t="str">
        <f t="shared" si="101"/>
        <v>GENER</v>
      </c>
      <c r="L317" s="1747" t="str">
        <f t="shared" si="101"/>
        <v>GENER</v>
      </c>
      <c r="M317" s="660"/>
      <c r="N317" s="661"/>
      <c r="O317" s="37"/>
      <c r="P317" s="37"/>
      <c r="Q317" s="550"/>
    </row>
    <row r="318" spans="1:17" ht="13" hidden="1" x14ac:dyDescent="0.3">
      <c r="A318" s="36"/>
      <c r="B318" s="76" t="s">
        <v>204</v>
      </c>
      <c r="C318" s="687"/>
      <c r="D318" s="687"/>
      <c r="E318" s="687"/>
      <c r="F318" s="687"/>
      <c r="G318" s="687"/>
      <c r="H318" s="687"/>
      <c r="I318" s="687"/>
      <c r="J318" s="687"/>
      <c r="K318" s="687"/>
      <c r="L318" s="688"/>
      <c r="M318" s="664"/>
      <c r="N318" s="661"/>
      <c r="O318" s="37"/>
      <c r="P318" s="37"/>
      <c r="Q318" s="550"/>
    </row>
    <row r="319" spans="1:17" ht="13" hidden="1" x14ac:dyDescent="0.3">
      <c r="A319" s="36"/>
      <c r="B319" s="76" t="s">
        <v>205</v>
      </c>
      <c r="C319" s="687"/>
      <c r="D319" s="687"/>
      <c r="E319" s="687"/>
      <c r="F319" s="687"/>
      <c r="G319" s="687"/>
      <c r="H319" s="687"/>
      <c r="I319" s="687"/>
      <c r="J319" s="687"/>
      <c r="K319" s="687"/>
      <c r="L319" s="688"/>
      <c r="M319" s="664"/>
      <c r="N319" s="661"/>
      <c r="O319" s="37"/>
      <c r="P319" s="37"/>
      <c r="Q319" s="550"/>
    </row>
    <row r="320" spans="1:17" ht="13" x14ac:dyDescent="0.3">
      <c r="A320" s="36"/>
      <c r="B320" s="73" t="s">
        <v>206</v>
      </c>
      <c r="C320" s="689"/>
      <c r="D320" s="689"/>
      <c r="E320" s="689"/>
      <c r="F320" s="689"/>
      <c r="G320" s="689"/>
      <c r="H320" s="689"/>
      <c r="I320" s="689"/>
      <c r="J320" s="689"/>
      <c r="K320" s="689"/>
      <c r="L320" s="690"/>
      <c r="M320" s="486"/>
      <c r="N320" s="667"/>
      <c r="O320" s="37"/>
      <c r="P320" s="37"/>
      <c r="Q320" s="550"/>
    </row>
    <row r="321" spans="1:17" ht="13" x14ac:dyDescent="0.3">
      <c r="A321" s="36"/>
      <c r="B321" s="73" t="s">
        <v>197</v>
      </c>
      <c r="C321" s="1748">
        <f>C308</f>
        <v>0</v>
      </c>
      <c r="D321" s="1748">
        <f>+D308</f>
        <v>0</v>
      </c>
      <c r="E321" s="1748">
        <f t="shared" ref="E321:L321" si="102">E308</f>
        <v>0</v>
      </c>
      <c r="F321" s="1748">
        <f t="shared" si="102"/>
        <v>0</v>
      </c>
      <c r="G321" s="1748">
        <f t="shared" si="102"/>
        <v>0</v>
      </c>
      <c r="H321" s="1748">
        <f t="shared" si="102"/>
        <v>0</v>
      </c>
      <c r="I321" s="1748">
        <f t="shared" si="102"/>
        <v>0</v>
      </c>
      <c r="J321" s="1748">
        <f t="shared" si="102"/>
        <v>0</v>
      </c>
      <c r="K321" s="1748">
        <f t="shared" si="102"/>
        <v>0</v>
      </c>
      <c r="L321" s="1749">
        <f t="shared" si="102"/>
        <v>0</v>
      </c>
      <c r="M321" s="669"/>
      <c r="N321" s="670"/>
      <c r="O321" s="37"/>
      <c r="P321" s="37"/>
      <c r="Q321" s="550"/>
    </row>
    <row r="322" spans="1:17" x14ac:dyDescent="0.25">
      <c r="A322" s="36"/>
      <c r="B322" s="73" t="s">
        <v>198</v>
      </c>
      <c r="C322" s="691"/>
      <c r="D322" s="691"/>
      <c r="E322" s="691"/>
      <c r="F322" s="691"/>
      <c r="G322" s="691"/>
      <c r="H322" s="691"/>
      <c r="I322" s="691"/>
      <c r="J322" s="691"/>
      <c r="K322" s="691"/>
      <c r="L322" s="692"/>
      <c r="M322" s="673"/>
      <c r="N322" s="673"/>
      <c r="O322" s="37"/>
      <c r="P322" s="37"/>
      <c r="Q322" s="550"/>
    </row>
    <row r="323" spans="1:17" x14ac:dyDescent="0.25">
      <c r="A323" s="36"/>
      <c r="B323" s="674" t="s">
        <v>199</v>
      </c>
      <c r="C323" s="1750">
        <f>C310</f>
        <v>0</v>
      </c>
      <c r="D323" s="1750">
        <f t="shared" ref="D323:L323" si="103">D310</f>
        <v>0</v>
      </c>
      <c r="E323" s="1750">
        <f t="shared" si="103"/>
        <v>0</v>
      </c>
      <c r="F323" s="1750">
        <f t="shared" si="103"/>
        <v>0</v>
      </c>
      <c r="G323" s="1750">
        <f t="shared" si="103"/>
        <v>0</v>
      </c>
      <c r="H323" s="1750">
        <f t="shared" si="103"/>
        <v>0</v>
      </c>
      <c r="I323" s="1750">
        <f t="shared" si="103"/>
        <v>0</v>
      </c>
      <c r="J323" s="1750">
        <f t="shared" si="103"/>
        <v>0</v>
      </c>
      <c r="K323" s="1750">
        <f t="shared" si="103"/>
        <v>0</v>
      </c>
      <c r="L323" s="1751">
        <f t="shared" si="103"/>
        <v>0</v>
      </c>
      <c r="M323" s="676"/>
      <c r="N323" s="489"/>
      <c r="O323" s="37"/>
      <c r="P323" s="37"/>
      <c r="Q323" s="550"/>
    </row>
    <row r="324" spans="1:17" x14ac:dyDescent="0.25">
      <c r="A324" s="36"/>
      <c r="B324" s="674" t="s">
        <v>200</v>
      </c>
      <c r="C324" s="1752">
        <f>C311</f>
        <v>0</v>
      </c>
      <c r="D324" s="1752">
        <f t="shared" ref="D324:L324" si="104">D311</f>
        <v>0</v>
      </c>
      <c r="E324" s="1752">
        <f t="shared" si="104"/>
        <v>0</v>
      </c>
      <c r="F324" s="1752">
        <f t="shared" si="104"/>
        <v>0</v>
      </c>
      <c r="G324" s="1752">
        <f t="shared" si="104"/>
        <v>0</v>
      </c>
      <c r="H324" s="1752">
        <f t="shared" si="104"/>
        <v>0</v>
      </c>
      <c r="I324" s="1752">
        <f t="shared" si="104"/>
        <v>0</v>
      </c>
      <c r="J324" s="1752">
        <f t="shared" si="104"/>
        <v>0</v>
      </c>
      <c r="K324" s="1752">
        <f t="shared" si="104"/>
        <v>0</v>
      </c>
      <c r="L324" s="1753">
        <f t="shared" si="104"/>
        <v>0</v>
      </c>
      <c r="M324" s="676"/>
      <c r="N324" s="489"/>
      <c r="O324" s="37"/>
      <c r="P324" s="37"/>
      <c r="Q324" s="550"/>
    </row>
    <row r="325" spans="1:17" s="7" customFormat="1" ht="13" x14ac:dyDescent="0.3">
      <c r="A325" s="444"/>
      <c r="B325" s="73" t="s">
        <v>201</v>
      </c>
      <c r="C325" s="1754">
        <f>+C312</f>
        <v>0</v>
      </c>
      <c r="D325" s="1754">
        <f>+D312</f>
        <v>0</v>
      </c>
      <c r="E325" s="1754">
        <f t="shared" ref="E325:L325" si="105">E312</f>
        <v>0</v>
      </c>
      <c r="F325" s="1754">
        <f t="shared" si="105"/>
        <v>0</v>
      </c>
      <c r="G325" s="1754">
        <f t="shared" si="105"/>
        <v>0</v>
      </c>
      <c r="H325" s="1754">
        <f t="shared" si="105"/>
        <v>0</v>
      </c>
      <c r="I325" s="1754">
        <f t="shared" si="105"/>
        <v>0</v>
      </c>
      <c r="J325" s="1754">
        <f t="shared" si="105"/>
        <v>0</v>
      </c>
      <c r="K325" s="1754">
        <f t="shared" si="105"/>
        <v>0</v>
      </c>
      <c r="L325" s="1755">
        <f t="shared" si="105"/>
        <v>0</v>
      </c>
      <c r="M325" s="679"/>
      <c r="N325" s="661"/>
      <c r="O325" s="680"/>
      <c r="P325" s="680"/>
      <c r="Q325" s="681"/>
    </row>
    <row r="326" spans="1:17" s="7" customFormat="1" ht="13" x14ac:dyDescent="0.3">
      <c r="A326" s="444"/>
      <c r="B326" s="73" t="s">
        <v>202</v>
      </c>
      <c r="C326" s="1756">
        <f t="shared" ref="C326:L326" si="106">C313</f>
        <v>0.29799999999999999</v>
      </c>
      <c r="D326" s="1756">
        <f t="shared" si="106"/>
        <v>0.29799999999999999</v>
      </c>
      <c r="E326" s="1756">
        <f t="shared" si="106"/>
        <v>0.29799999999999999</v>
      </c>
      <c r="F326" s="1756">
        <f t="shared" si="106"/>
        <v>0.29799999999999999</v>
      </c>
      <c r="G326" s="1756">
        <f t="shared" si="106"/>
        <v>0.29799999999999999</v>
      </c>
      <c r="H326" s="1756">
        <f t="shared" si="106"/>
        <v>0.29799999999999999</v>
      </c>
      <c r="I326" s="1756">
        <f t="shared" si="106"/>
        <v>0.29799999999999999</v>
      </c>
      <c r="J326" s="1756">
        <f t="shared" si="106"/>
        <v>0.29799999999999999</v>
      </c>
      <c r="K326" s="1756">
        <f t="shared" si="106"/>
        <v>0.29799999999999999</v>
      </c>
      <c r="L326" s="1756">
        <f t="shared" si="106"/>
        <v>0.29799999999999999</v>
      </c>
      <c r="M326" s="683"/>
      <c r="N326" s="661"/>
      <c r="O326" s="680"/>
      <c r="P326" s="680"/>
      <c r="Q326" s="681"/>
    </row>
    <row r="327" spans="1:17" s="7" customFormat="1" ht="13" x14ac:dyDescent="0.3">
      <c r="A327" s="444"/>
      <c r="B327" s="73" t="s">
        <v>203</v>
      </c>
      <c r="C327" s="1756">
        <f>+C314</f>
        <v>0.1</v>
      </c>
      <c r="D327" s="1756">
        <f>D314</f>
        <v>0</v>
      </c>
      <c r="E327" s="1756">
        <f t="shared" ref="E327:L327" si="107">E314</f>
        <v>0</v>
      </c>
      <c r="F327" s="1756">
        <f t="shared" si="107"/>
        <v>0</v>
      </c>
      <c r="G327" s="1756">
        <f t="shared" si="107"/>
        <v>0</v>
      </c>
      <c r="H327" s="1756">
        <f t="shared" si="107"/>
        <v>0</v>
      </c>
      <c r="I327" s="1756">
        <f t="shared" si="107"/>
        <v>0</v>
      </c>
      <c r="J327" s="1756">
        <f t="shared" si="107"/>
        <v>0</v>
      </c>
      <c r="K327" s="1756">
        <f t="shared" si="107"/>
        <v>0</v>
      </c>
      <c r="L327" s="1756">
        <f t="shared" si="107"/>
        <v>0</v>
      </c>
      <c r="M327" s="686"/>
      <c r="N327" s="502"/>
      <c r="O327" s="680"/>
      <c r="P327" s="680"/>
      <c r="Q327" s="681"/>
    </row>
    <row r="328" spans="1:17" ht="13" thickBot="1" x14ac:dyDescent="0.3">
      <c r="A328" s="36"/>
      <c r="B328" s="477"/>
      <c r="C328" s="404"/>
      <c r="D328" s="404"/>
      <c r="E328" s="404"/>
      <c r="F328" s="404"/>
      <c r="G328" s="404"/>
      <c r="H328" s="404"/>
      <c r="I328" s="404"/>
      <c r="J328" s="404"/>
      <c r="K328" s="404"/>
      <c r="L328" s="205"/>
      <c r="M328" s="37"/>
      <c r="N328" s="37"/>
      <c r="O328" s="37"/>
      <c r="P328" s="37"/>
      <c r="Q328" s="550"/>
    </row>
    <row r="329" spans="1:17" hidden="1" x14ac:dyDescent="0.25">
      <c r="A329" s="181"/>
      <c r="B329" s="182"/>
      <c r="C329" s="182"/>
      <c r="D329" s="182"/>
      <c r="E329" s="182"/>
      <c r="F329" s="182"/>
      <c r="G329" s="182"/>
      <c r="H329" s="182"/>
      <c r="I329" s="182"/>
      <c r="J329" s="182"/>
      <c r="K329" s="182"/>
      <c r="L329" s="182"/>
      <c r="M329" s="37"/>
      <c r="N329" s="37"/>
      <c r="O329" s="37"/>
      <c r="P329" s="37"/>
      <c r="Q329" s="550"/>
    </row>
    <row r="330" spans="1:17" ht="13" thickBot="1" x14ac:dyDescent="0.3">
      <c r="A330" s="36"/>
      <c r="B330" s="37"/>
      <c r="C330" s="37"/>
      <c r="D330" s="37"/>
      <c r="E330" s="37"/>
      <c r="F330" s="37"/>
      <c r="G330" s="37"/>
      <c r="H330" s="37"/>
      <c r="I330" s="37"/>
      <c r="J330" s="37"/>
      <c r="K330" s="37"/>
      <c r="L330" s="37"/>
      <c r="M330" s="37"/>
      <c r="N330" s="37"/>
      <c r="O330" s="37"/>
      <c r="P330" s="37"/>
      <c r="Q330" s="550"/>
    </row>
    <row r="331" spans="1:17" ht="16" thickBot="1" x14ac:dyDescent="0.4">
      <c r="A331" s="42">
        <v>6</v>
      </c>
      <c r="B331" s="43" t="s">
        <v>207</v>
      </c>
      <c r="C331" s="37"/>
      <c r="D331" s="37"/>
      <c r="E331" s="37"/>
      <c r="F331" s="37"/>
      <c r="G331" s="37"/>
      <c r="H331" s="37"/>
      <c r="I331" s="37"/>
      <c r="J331" s="37"/>
      <c r="K331" s="37"/>
      <c r="L331" s="37"/>
      <c r="M331" s="37"/>
      <c r="N331" s="37"/>
      <c r="O331" s="37"/>
      <c r="P331" s="37"/>
      <c r="Q331" s="550"/>
    </row>
    <row r="332" spans="1:17" x14ac:dyDescent="0.25">
      <c r="A332" s="36"/>
      <c r="B332" s="183"/>
      <c r="C332" s="46"/>
      <c r="D332" s="46"/>
      <c r="E332" s="46"/>
      <c r="F332" s="46"/>
      <c r="G332" s="47"/>
      <c r="H332" s="37"/>
      <c r="I332" s="37"/>
      <c r="J332" s="37"/>
      <c r="K332" s="37"/>
      <c r="L332" s="37"/>
      <c r="M332" s="37"/>
      <c r="N332" s="37"/>
      <c r="O332" s="37"/>
      <c r="P332" s="37"/>
      <c r="Q332" s="550"/>
    </row>
    <row r="333" spans="1:17" ht="13" x14ac:dyDescent="0.3">
      <c r="A333" s="36"/>
      <c r="B333" s="514" t="s">
        <v>17</v>
      </c>
      <c r="C333" s="417" t="s">
        <v>208</v>
      </c>
      <c r="D333" s="417" t="s">
        <v>209</v>
      </c>
      <c r="E333" s="417" t="s">
        <v>219</v>
      </c>
      <c r="F333" s="417" t="s">
        <v>220</v>
      </c>
      <c r="G333" s="532" t="s">
        <v>221</v>
      </c>
      <c r="H333" s="478"/>
      <c r="I333" s="37"/>
      <c r="J333" s="37"/>
      <c r="K333" s="37"/>
      <c r="L333" s="37"/>
      <c r="M333" s="37"/>
      <c r="N333" s="37"/>
      <c r="O333" s="37"/>
      <c r="P333" s="37"/>
      <c r="Q333" s="550"/>
    </row>
    <row r="334" spans="1:17" ht="13" x14ac:dyDescent="0.3">
      <c r="A334" s="36"/>
      <c r="B334" s="481" t="s">
        <v>210</v>
      </c>
      <c r="C334" s="49">
        <v>0</v>
      </c>
      <c r="D334" s="49">
        <v>0</v>
      </c>
      <c r="E334" s="49">
        <v>0</v>
      </c>
      <c r="F334" s="49">
        <v>0</v>
      </c>
      <c r="G334" s="693">
        <v>0</v>
      </c>
      <c r="H334" s="478"/>
      <c r="I334" s="37"/>
      <c r="J334" s="37"/>
      <c r="K334" s="37"/>
      <c r="L334" s="37"/>
      <c r="M334" s="37"/>
      <c r="N334" s="37"/>
      <c r="O334" s="37"/>
      <c r="P334" s="37"/>
      <c r="Q334" s="550"/>
    </row>
    <row r="335" spans="1:17" ht="13" x14ac:dyDescent="0.3">
      <c r="A335" s="36"/>
      <c r="B335" s="481" t="s">
        <v>194</v>
      </c>
      <c r="C335" s="1747" t="str">
        <f t="shared" ref="C335:G336" si="108">+$C$10</f>
        <v>GENER</v>
      </c>
      <c r="D335" s="1747" t="str">
        <f t="shared" si="108"/>
        <v>GENER</v>
      </c>
      <c r="E335" s="1747" t="str">
        <f t="shared" si="108"/>
        <v>GENER</v>
      </c>
      <c r="F335" s="1747" t="str">
        <f t="shared" si="108"/>
        <v>GENER</v>
      </c>
      <c r="G335" s="1747" t="str">
        <f t="shared" si="108"/>
        <v>GENER</v>
      </c>
      <c r="H335" s="478"/>
      <c r="I335" s="37"/>
      <c r="J335" s="37"/>
      <c r="K335" s="37"/>
      <c r="L335" s="37"/>
      <c r="M335" s="37"/>
      <c r="N335" s="37"/>
      <c r="O335" s="37"/>
      <c r="P335" s="37"/>
      <c r="Q335" s="550"/>
    </row>
    <row r="336" spans="1:17" ht="13" x14ac:dyDescent="0.3">
      <c r="A336" s="36"/>
      <c r="B336" s="481" t="s">
        <v>195</v>
      </c>
      <c r="C336" s="1747" t="str">
        <f t="shared" si="108"/>
        <v>GENER</v>
      </c>
      <c r="D336" s="1747" t="str">
        <f t="shared" si="108"/>
        <v>GENER</v>
      </c>
      <c r="E336" s="1747" t="str">
        <f t="shared" si="108"/>
        <v>GENER</v>
      </c>
      <c r="F336" s="1747" t="str">
        <f t="shared" si="108"/>
        <v>GENER</v>
      </c>
      <c r="G336" s="1747" t="str">
        <f t="shared" si="108"/>
        <v>GENER</v>
      </c>
      <c r="H336" s="478"/>
      <c r="I336" s="37"/>
      <c r="J336" s="37"/>
      <c r="K336" s="37"/>
      <c r="L336" s="37"/>
      <c r="M336" s="37"/>
      <c r="N336" s="37"/>
      <c r="O336" s="37"/>
      <c r="P336" s="37"/>
      <c r="Q336" s="550"/>
    </row>
    <row r="337" spans="1:17" ht="13" x14ac:dyDescent="0.3">
      <c r="A337" s="36"/>
      <c r="B337" s="481" t="s">
        <v>211</v>
      </c>
      <c r="C337" s="517"/>
      <c r="D337" s="517"/>
      <c r="E337" s="517"/>
      <c r="F337" s="517"/>
      <c r="G337" s="518"/>
      <c r="H337" s="478"/>
      <c r="I337" s="37"/>
      <c r="J337" s="37"/>
      <c r="K337" s="37"/>
      <c r="L337" s="37"/>
      <c r="M337" s="37"/>
      <c r="N337" s="37"/>
      <c r="O337" s="37"/>
      <c r="P337" s="37"/>
      <c r="Q337" s="550"/>
    </row>
    <row r="338" spans="1:17" ht="13" x14ac:dyDescent="0.3">
      <c r="A338" s="36"/>
      <c r="B338" s="481" t="s">
        <v>212</v>
      </c>
      <c r="C338" s="192">
        <v>0</v>
      </c>
      <c r="D338" s="192">
        <v>0</v>
      </c>
      <c r="E338" s="192">
        <v>0</v>
      </c>
      <c r="F338" s="192">
        <v>0</v>
      </c>
      <c r="G338" s="602">
        <v>0</v>
      </c>
      <c r="H338" s="484"/>
      <c r="I338" s="37"/>
      <c r="J338" s="37"/>
      <c r="K338" s="37"/>
      <c r="L338" s="37"/>
      <c r="M338" s="37"/>
      <c r="N338" s="37"/>
      <c r="O338" s="37"/>
      <c r="P338" s="37"/>
      <c r="Q338" s="550"/>
    </row>
    <row r="339" spans="1:17" x14ac:dyDescent="0.25">
      <c r="A339" s="36"/>
      <c r="B339" s="73" t="s">
        <v>198</v>
      </c>
      <c r="C339" s="517"/>
      <c r="D339" s="517"/>
      <c r="E339" s="517"/>
      <c r="F339" s="517"/>
      <c r="G339" s="518"/>
      <c r="H339" s="486"/>
      <c r="I339" s="37"/>
      <c r="J339" s="37"/>
      <c r="K339" s="37"/>
      <c r="L339" s="37"/>
      <c r="M339" s="37"/>
      <c r="N339" s="37"/>
      <c r="O339" s="37"/>
      <c r="P339" s="37"/>
      <c r="Q339" s="550"/>
    </row>
    <row r="340" spans="1:17" x14ac:dyDescent="0.25">
      <c r="A340" s="36"/>
      <c r="B340" s="490" t="s">
        <v>213</v>
      </c>
      <c r="C340" s="694">
        <v>0</v>
      </c>
      <c r="D340" s="694">
        <v>0</v>
      </c>
      <c r="E340" s="694">
        <v>0</v>
      </c>
      <c r="F340" s="694">
        <v>0</v>
      </c>
      <c r="G340" s="695">
        <v>0</v>
      </c>
      <c r="H340" s="489"/>
      <c r="I340" s="37"/>
      <c r="J340" s="37"/>
      <c r="K340" s="37"/>
      <c r="L340" s="37"/>
      <c r="M340" s="37"/>
      <c r="N340" s="37"/>
      <c r="O340" s="37"/>
      <c r="P340" s="37"/>
      <c r="Q340" s="550"/>
    </row>
    <row r="341" spans="1:17" x14ac:dyDescent="0.25">
      <c r="A341" s="36"/>
      <c r="B341" s="490" t="s">
        <v>200</v>
      </c>
      <c r="C341" s="696">
        <v>0</v>
      </c>
      <c r="D341" s="696">
        <v>0</v>
      </c>
      <c r="E341" s="696">
        <v>0</v>
      </c>
      <c r="F341" s="696">
        <v>0</v>
      </c>
      <c r="G341" s="697">
        <v>0</v>
      </c>
      <c r="H341" s="489"/>
      <c r="I341" s="37"/>
      <c r="J341" s="37"/>
      <c r="K341" s="37"/>
      <c r="L341" s="37"/>
      <c r="M341" s="37"/>
      <c r="N341" s="37"/>
      <c r="O341" s="37"/>
      <c r="P341" s="37"/>
      <c r="Q341" s="550"/>
    </row>
    <row r="342" spans="1:17" ht="13" x14ac:dyDescent="0.3">
      <c r="A342" s="36"/>
      <c r="B342" s="481" t="s">
        <v>215</v>
      </c>
      <c r="C342" s="496">
        <v>12</v>
      </c>
      <c r="D342" s="496">
        <v>12</v>
      </c>
      <c r="E342" s="496">
        <f>+D342</f>
        <v>12</v>
      </c>
      <c r="F342" s="496">
        <f>+E342</f>
        <v>12</v>
      </c>
      <c r="G342" s="698">
        <f>+F342</f>
        <v>12</v>
      </c>
      <c r="H342" s="489"/>
      <c r="I342" s="37"/>
      <c r="J342" s="37"/>
      <c r="K342" s="37"/>
      <c r="L342" s="37"/>
      <c r="M342" s="37"/>
      <c r="N342" s="37"/>
      <c r="O342" s="37"/>
      <c r="P342" s="37"/>
      <c r="Q342" s="550"/>
    </row>
    <row r="343" spans="1:17" x14ac:dyDescent="0.25">
      <c r="A343" s="36"/>
      <c r="B343" s="73" t="s">
        <v>202</v>
      </c>
      <c r="C343" s="517"/>
      <c r="D343" s="517"/>
      <c r="E343" s="517"/>
      <c r="F343" s="517"/>
      <c r="G343" s="518"/>
      <c r="H343" s="37"/>
      <c r="I343" s="37"/>
      <c r="J343" s="37"/>
      <c r="K343" s="37"/>
      <c r="L343" s="37"/>
      <c r="M343" s="37"/>
      <c r="N343" s="37"/>
      <c r="O343" s="37"/>
      <c r="P343" s="37"/>
      <c r="Q343" s="550"/>
    </row>
    <row r="344" spans="1:17" ht="13" x14ac:dyDescent="0.3">
      <c r="A344" s="36"/>
      <c r="B344" s="73" t="s">
        <v>216</v>
      </c>
      <c r="C344" s="1758">
        <v>0.33</v>
      </c>
      <c r="D344" s="1758">
        <v>0.33</v>
      </c>
      <c r="E344" s="1758">
        <v>0.33</v>
      </c>
      <c r="F344" s="1758">
        <v>0.33</v>
      </c>
      <c r="G344" s="1758">
        <v>0.33</v>
      </c>
      <c r="H344" s="37"/>
      <c r="I344" s="37"/>
      <c r="J344" s="37"/>
      <c r="K344" s="37"/>
      <c r="L344" s="37"/>
      <c r="M344" s="37"/>
      <c r="N344" s="37"/>
      <c r="O344" s="37"/>
      <c r="P344" s="37"/>
      <c r="Q344" s="550"/>
    </row>
    <row r="345" spans="1:17" ht="13" x14ac:dyDescent="0.3">
      <c r="A345" s="36"/>
      <c r="B345" s="73" t="s">
        <v>217</v>
      </c>
      <c r="C345" s="1758">
        <f>DADES!C399</f>
        <v>6.3500000000000001E-2</v>
      </c>
      <c r="D345" s="1758">
        <f>DADES!D399</f>
        <v>6.3500000000000001E-2</v>
      </c>
      <c r="E345" s="1758">
        <f>D345</f>
        <v>6.3500000000000001E-2</v>
      </c>
      <c r="F345" s="1758">
        <f>E345</f>
        <v>6.3500000000000001E-2</v>
      </c>
      <c r="G345" s="1758">
        <f>F345</f>
        <v>6.3500000000000001E-2</v>
      </c>
      <c r="H345" s="478"/>
      <c r="I345" s="37"/>
      <c r="J345" s="37"/>
      <c r="K345" s="37"/>
      <c r="L345" s="37"/>
      <c r="M345" s="37"/>
      <c r="N345" s="37"/>
      <c r="O345" s="37"/>
      <c r="P345" s="37"/>
      <c r="Q345" s="550"/>
    </row>
    <row r="346" spans="1:17" ht="13" x14ac:dyDescent="0.3">
      <c r="A346" s="36"/>
      <c r="B346" s="73" t="s">
        <v>203</v>
      </c>
      <c r="C346" s="1759">
        <v>0</v>
      </c>
      <c r="D346" s="503">
        <v>0</v>
      </c>
      <c r="E346" s="503">
        <v>0</v>
      </c>
      <c r="F346" s="503">
        <v>0</v>
      </c>
      <c r="G346" s="699">
        <v>0</v>
      </c>
      <c r="H346" s="502"/>
      <c r="I346" s="37"/>
      <c r="J346" s="37"/>
      <c r="K346" s="37"/>
      <c r="L346" s="37"/>
      <c r="M346" s="37"/>
      <c r="N346" s="37"/>
      <c r="O346" s="37"/>
      <c r="P346" s="37"/>
      <c r="Q346" s="550"/>
    </row>
    <row r="347" spans="1:17" ht="13" x14ac:dyDescent="0.3">
      <c r="A347" s="36"/>
      <c r="B347" s="232"/>
      <c r="C347" s="424"/>
      <c r="D347" s="700"/>
      <c r="E347" s="700"/>
      <c r="F347" s="700"/>
      <c r="G347" s="701"/>
      <c r="H347" s="686"/>
      <c r="I347" s="502"/>
      <c r="J347" s="37"/>
      <c r="K347" s="37"/>
      <c r="L347" s="37"/>
      <c r="M347" s="37"/>
      <c r="N347" s="37"/>
      <c r="O347" s="37"/>
      <c r="P347" s="37"/>
      <c r="Q347" s="550"/>
    </row>
    <row r="348" spans="1:17" ht="13" x14ac:dyDescent="0.3">
      <c r="A348" s="36"/>
      <c r="B348" s="73" t="s">
        <v>218</v>
      </c>
      <c r="C348" s="424"/>
      <c r="D348" s="700"/>
      <c r="E348" s="700"/>
      <c r="F348" s="700"/>
      <c r="G348" s="701"/>
      <c r="H348" s="686"/>
      <c r="I348" s="502"/>
      <c r="J348" s="37"/>
      <c r="K348" s="37"/>
      <c r="L348" s="37"/>
      <c r="M348" s="37"/>
      <c r="N348" s="37"/>
      <c r="O348" s="37"/>
      <c r="P348" s="37"/>
      <c r="Q348" s="550"/>
    </row>
    <row r="349" spans="1:17" ht="13" x14ac:dyDescent="0.3">
      <c r="A349" s="36"/>
      <c r="B349" s="62"/>
      <c r="C349" s="702" t="s">
        <v>10</v>
      </c>
      <c r="D349" s="702" t="s">
        <v>16</v>
      </c>
      <c r="E349" s="531"/>
      <c r="F349" s="700"/>
      <c r="G349" s="701"/>
      <c r="H349" s="686"/>
      <c r="I349" s="502"/>
      <c r="J349" s="37"/>
      <c r="K349" s="37"/>
      <c r="L349" s="37"/>
      <c r="M349" s="37"/>
      <c r="N349" s="37"/>
      <c r="O349" s="37"/>
      <c r="P349" s="37"/>
      <c r="Q349" s="550"/>
    </row>
    <row r="350" spans="1:17" x14ac:dyDescent="0.25">
      <c r="A350" s="36"/>
      <c r="B350" s="62"/>
      <c r="C350" s="51"/>
      <c r="D350" s="51"/>
      <c r="E350" s="51"/>
      <c r="F350" s="51"/>
      <c r="G350" s="52"/>
      <c r="H350" s="37"/>
      <c r="I350" s="37"/>
      <c r="J350" s="37"/>
      <c r="K350" s="37"/>
      <c r="L350" s="37"/>
      <c r="M350" s="37"/>
      <c r="N350" s="37"/>
      <c r="O350" s="37"/>
      <c r="P350" s="37"/>
      <c r="Q350" s="550"/>
    </row>
    <row r="351" spans="1:17" ht="13" x14ac:dyDescent="0.3">
      <c r="A351" s="36"/>
      <c r="B351" s="514" t="s">
        <v>47</v>
      </c>
      <c r="C351" s="417" t="s">
        <v>208</v>
      </c>
      <c r="D351" s="417" t="s">
        <v>209</v>
      </c>
      <c r="E351" s="417" t="s">
        <v>219</v>
      </c>
      <c r="F351" s="417" t="s">
        <v>220</v>
      </c>
      <c r="G351" s="417" t="s">
        <v>221</v>
      </c>
      <c r="H351" s="37"/>
      <c r="I351" s="37"/>
      <c r="J351" s="37"/>
      <c r="K351" s="37"/>
      <c r="L351" s="37"/>
      <c r="M351" s="37"/>
      <c r="N351" s="37"/>
      <c r="O351" s="37"/>
      <c r="P351" s="37"/>
      <c r="Q351" s="550"/>
    </row>
    <row r="352" spans="1:17" ht="13" x14ac:dyDescent="0.3">
      <c r="A352" s="36"/>
      <c r="B352" s="481" t="s">
        <v>210</v>
      </c>
      <c r="C352" s="1747">
        <f>+C334</f>
        <v>0</v>
      </c>
      <c r="D352" s="1747">
        <f>D334</f>
        <v>0</v>
      </c>
      <c r="E352" s="1747">
        <f>E334</f>
        <v>0</v>
      </c>
      <c r="F352" s="1747">
        <f>F334</f>
        <v>0</v>
      </c>
      <c r="G352" s="1760">
        <f>+G334</f>
        <v>0</v>
      </c>
      <c r="H352" s="37"/>
      <c r="I352" s="37"/>
      <c r="J352" s="37"/>
      <c r="K352" s="37"/>
      <c r="L352" s="37"/>
      <c r="M352" s="37"/>
      <c r="N352" s="37"/>
      <c r="O352" s="37"/>
      <c r="P352" s="37"/>
      <c r="Q352" s="550"/>
    </row>
    <row r="353" spans="1:17" ht="13" x14ac:dyDescent="0.3">
      <c r="A353" s="36"/>
      <c r="B353" s="481" t="s">
        <v>194</v>
      </c>
      <c r="C353" s="1747" t="str">
        <f t="shared" ref="C353:G354" si="109">+$C$10</f>
        <v>GENER</v>
      </c>
      <c r="D353" s="1747" t="str">
        <f t="shared" si="109"/>
        <v>GENER</v>
      </c>
      <c r="E353" s="1747" t="str">
        <f t="shared" si="109"/>
        <v>GENER</v>
      </c>
      <c r="F353" s="1747" t="str">
        <f t="shared" si="109"/>
        <v>GENER</v>
      </c>
      <c r="G353" s="1747" t="str">
        <f t="shared" si="109"/>
        <v>GENER</v>
      </c>
      <c r="H353" s="37"/>
      <c r="I353" s="37"/>
      <c r="J353" s="37"/>
      <c r="K353" s="37"/>
      <c r="L353" s="37"/>
      <c r="M353" s="37"/>
      <c r="N353" s="37"/>
      <c r="O353" s="37"/>
      <c r="P353" s="37"/>
      <c r="Q353" s="550"/>
    </row>
    <row r="354" spans="1:17" ht="13" x14ac:dyDescent="0.3">
      <c r="A354" s="36"/>
      <c r="B354" s="481" t="s">
        <v>195</v>
      </c>
      <c r="C354" s="1747" t="str">
        <f t="shared" si="109"/>
        <v>GENER</v>
      </c>
      <c r="D354" s="1747" t="str">
        <f t="shared" si="109"/>
        <v>GENER</v>
      </c>
      <c r="E354" s="1747" t="str">
        <f t="shared" si="109"/>
        <v>GENER</v>
      </c>
      <c r="F354" s="1747" t="str">
        <f t="shared" si="109"/>
        <v>GENER</v>
      </c>
      <c r="G354" s="1747" t="str">
        <f t="shared" si="109"/>
        <v>GENER</v>
      </c>
      <c r="H354" s="37"/>
      <c r="I354" s="37"/>
      <c r="J354" s="37"/>
      <c r="K354" s="37"/>
      <c r="L354" s="37"/>
      <c r="M354" s="37"/>
      <c r="N354" s="37"/>
      <c r="O354" s="37"/>
      <c r="P354" s="37"/>
      <c r="Q354" s="550"/>
    </row>
    <row r="355" spans="1:17" ht="13" x14ac:dyDescent="0.3">
      <c r="A355" s="36"/>
      <c r="B355" s="481" t="s">
        <v>211</v>
      </c>
      <c r="C355" s="517"/>
      <c r="D355" s="517"/>
      <c r="E355" s="517"/>
      <c r="F355" s="517"/>
      <c r="G355" s="518"/>
      <c r="H355" s="37"/>
      <c r="I355" s="37"/>
      <c r="J355" s="37"/>
      <c r="K355" s="37"/>
      <c r="L355" s="37"/>
      <c r="M355" s="37"/>
      <c r="N355" s="37"/>
      <c r="O355" s="37"/>
      <c r="P355" s="37"/>
      <c r="Q355" s="550"/>
    </row>
    <row r="356" spans="1:17" ht="13" x14ac:dyDescent="0.3">
      <c r="A356" s="36"/>
      <c r="B356" s="481" t="s">
        <v>212</v>
      </c>
      <c r="C356" s="1761">
        <f>C338</f>
        <v>0</v>
      </c>
      <c r="D356" s="1761">
        <f>D338</f>
        <v>0</v>
      </c>
      <c r="E356" s="1761">
        <f>E338</f>
        <v>0</v>
      </c>
      <c r="F356" s="1761">
        <f>F338</f>
        <v>0</v>
      </c>
      <c r="G356" s="1762">
        <f>G338</f>
        <v>0</v>
      </c>
      <c r="H356" s="37"/>
      <c r="I356" s="37"/>
      <c r="J356" s="37"/>
      <c r="K356" s="37"/>
      <c r="L356" s="37"/>
      <c r="M356" s="37"/>
      <c r="N356" s="37"/>
      <c r="O356" s="37"/>
      <c r="P356" s="37"/>
      <c r="Q356" s="550"/>
    </row>
    <row r="357" spans="1:17" x14ac:dyDescent="0.25">
      <c r="A357" s="36"/>
      <c r="B357" s="73" t="s">
        <v>198</v>
      </c>
      <c r="C357" s="517"/>
      <c r="D357" s="517"/>
      <c r="E357" s="517"/>
      <c r="F357" s="517"/>
      <c r="G357" s="518"/>
      <c r="H357" s="37"/>
      <c r="I357" s="37"/>
      <c r="J357" s="37"/>
      <c r="K357" s="37"/>
      <c r="L357" s="37"/>
      <c r="M357" s="37"/>
      <c r="N357" s="37"/>
      <c r="O357" s="37"/>
      <c r="P357" s="37"/>
      <c r="Q357" s="550"/>
    </row>
    <row r="358" spans="1:17" x14ac:dyDescent="0.25">
      <c r="A358" s="36"/>
      <c r="B358" s="490" t="s">
        <v>213</v>
      </c>
      <c r="C358" s="1763">
        <f t="shared" ref="C358:G360" si="110">C340</f>
        <v>0</v>
      </c>
      <c r="D358" s="1763">
        <f t="shared" si="110"/>
        <v>0</v>
      </c>
      <c r="E358" s="1763">
        <f t="shared" si="110"/>
        <v>0</v>
      </c>
      <c r="F358" s="1763">
        <f t="shared" si="110"/>
        <v>0</v>
      </c>
      <c r="G358" s="1764">
        <f t="shared" si="110"/>
        <v>0</v>
      </c>
      <c r="H358" s="37"/>
      <c r="I358" s="37"/>
      <c r="J358" s="37"/>
      <c r="K358" s="37"/>
      <c r="L358" s="37"/>
      <c r="M358" s="37"/>
      <c r="N358" s="37"/>
      <c r="O358" s="37"/>
      <c r="P358" s="37"/>
      <c r="Q358" s="550"/>
    </row>
    <row r="359" spans="1:17" x14ac:dyDescent="0.25">
      <c r="A359" s="36"/>
      <c r="B359" s="490" t="s">
        <v>200</v>
      </c>
      <c r="C359" s="1765">
        <f t="shared" si="110"/>
        <v>0</v>
      </c>
      <c r="D359" s="1765">
        <f t="shared" si="110"/>
        <v>0</v>
      </c>
      <c r="E359" s="1765">
        <f t="shared" si="110"/>
        <v>0</v>
      </c>
      <c r="F359" s="1765">
        <f t="shared" si="110"/>
        <v>0</v>
      </c>
      <c r="G359" s="1766">
        <f t="shared" si="110"/>
        <v>0</v>
      </c>
      <c r="H359" s="37"/>
      <c r="I359" s="37"/>
      <c r="J359" s="37"/>
      <c r="K359" s="37"/>
      <c r="L359" s="37"/>
      <c r="M359" s="37"/>
      <c r="N359" s="37"/>
      <c r="O359" s="37"/>
      <c r="P359" s="37"/>
      <c r="Q359" s="550"/>
    </row>
    <row r="360" spans="1:17" ht="13" x14ac:dyDescent="0.3">
      <c r="A360" s="36"/>
      <c r="B360" s="481" t="s">
        <v>222</v>
      </c>
      <c r="C360" s="1767">
        <f>+C342</f>
        <v>12</v>
      </c>
      <c r="D360" s="1767">
        <f t="shared" si="110"/>
        <v>12</v>
      </c>
      <c r="E360" s="1767">
        <f t="shared" si="110"/>
        <v>12</v>
      </c>
      <c r="F360" s="1767">
        <f t="shared" si="110"/>
        <v>12</v>
      </c>
      <c r="G360" s="1768">
        <f t="shared" si="110"/>
        <v>12</v>
      </c>
      <c r="H360" s="37"/>
      <c r="I360" s="37"/>
      <c r="J360" s="37"/>
      <c r="K360" s="37"/>
      <c r="L360" s="37"/>
      <c r="M360" s="37"/>
      <c r="N360" s="37"/>
      <c r="O360" s="37"/>
      <c r="P360" s="37"/>
      <c r="Q360" s="550"/>
    </row>
    <row r="361" spans="1:17" x14ac:dyDescent="0.25">
      <c r="A361" s="36"/>
      <c r="B361" s="73" t="s">
        <v>202</v>
      </c>
      <c r="C361" s="517"/>
      <c r="D361" s="517"/>
      <c r="E361" s="517"/>
      <c r="F361" s="517"/>
      <c r="G361" s="518"/>
      <c r="H361" s="37"/>
      <c r="I361" s="37"/>
      <c r="J361" s="37"/>
      <c r="K361" s="37"/>
      <c r="L361" s="37"/>
      <c r="M361" s="37"/>
      <c r="N361" s="37"/>
      <c r="O361" s="37"/>
      <c r="P361" s="37"/>
      <c r="Q361" s="550"/>
    </row>
    <row r="362" spans="1:17" ht="13" x14ac:dyDescent="0.3">
      <c r="A362" s="36"/>
      <c r="B362" s="73" t="s">
        <v>216</v>
      </c>
      <c r="C362" s="1758">
        <f t="shared" ref="C362:G364" si="111">C344</f>
        <v>0.33</v>
      </c>
      <c r="D362" s="1758">
        <f t="shared" si="111"/>
        <v>0.33</v>
      </c>
      <c r="E362" s="1758">
        <f t="shared" si="111"/>
        <v>0.33</v>
      </c>
      <c r="F362" s="1758">
        <f t="shared" si="111"/>
        <v>0.33</v>
      </c>
      <c r="G362" s="1769">
        <f t="shared" si="111"/>
        <v>0.33</v>
      </c>
      <c r="H362" s="37"/>
      <c r="I362" s="37"/>
      <c r="J362" s="37"/>
      <c r="K362" s="37"/>
      <c r="L362" s="37"/>
      <c r="M362" s="37"/>
      <c r="N362" s="37"/>
      <c r="O362" s="37"/>
      <c r="P362" s="37"/>
      <c r="Q362" s="550"/>
    </row>
    <row r="363" spans="1:17" ht="13" x14ac:dyDescent="0.3">
      <c r="A363" s="36"/>
      <c r="B363" s="73" t="s">
        <v>217</v>
      </c>
      <c r="C363" s="1758">
        <f>C345</f>
        <v>6.3500000000000001E-2</v>
      </c>
      <c r="D363" s="1758">
        <f>D345</f>
        <v>6.3500000000000001E-2</v>
      </c>
      <c r="E363" s="1758">
        <f>E345</f>
        <v>6.3500000000000001E-2</v>
      </c>
      <c r="F363" s="1758">
        <f>F345</f>
        <v>6.3500000000000001E-2</v>
      </c>
      <c r="G363" s="1758">
        <f>G345</f>
        <v>6.3500000000000001E-2</v>
      </c>
      <c r="H363" s="37"/>
      <c r="I363" s="37"/>
      <c r="J363" s="37"/>
      <c r="K363" s="37"/>
      <c r="L363" s="37"/>
      <c r="M363" s="37"/>
      <c r="N363" s="37"/>
      <c r="O363" s="37"/>
      <c r="P363" s="37"/>
      <c r="Q363" s="550"/>
    </row>
    <row r="364" spans="1:17" ht="13" x14ac:dyDescent="0.3">
      <c r="A364" s="36"/>
      <c r="B364" s="73" t="s">
        <v>203</v>
      </c>
      <c r="C364" s="1759">
        <f>C346</f>
        <v>0</v>
      </c>
      <c r="D364" s="1759">
        <f t="shared" si="111"/>
        <v>0</v>
      </c>
      <c r="E364" s="1759">
        <f t="shared" si="111"/>
        <v>0</v>
      </c>
      <c r="F364" s="1759">
        <f t="shared" si="111"/>
        <v>0</v>
      </c>
      <c r="G364" s="1770">
        <f t="shared" si="111"/>
        <v>0</v>
      </c>
      <c r="H364" s="37"/>
      <c r="I364" s="37"/>
      <c r="J364" s="37"/>
      <c r="K364" s="37"/>
      <c r="L364" s="37"/>
      <c r="M364" s="37"/>
      <c r="N364" s="37"/>
      <c r="O364" s="37"/>
      <c r="P364" s="37"/>
      <c r="Q364" s="550"/>
    </row>
    <row r="365" spans="1:17" ht="13" x14ac:dyDescent="0.3">
      <c r="A365" s="36"/>
      <c r="B365" s="232"/>
      <c r="C365" s="424"/>
      <c r="D365" s="700"/>
      <c r="E365" s="700"/>
      <c r="F365" s="700"/>
      <c r="G365" s="701"/>
      <c r="H365" s="37"/>
      <c r="I365" s="37"/>
      <c r="J365" s="37"/>
      <c r="K365" s="37"/>
      <c r="L365" s="37"/>
      <c r="M365" s="37"/>
      <c r="N365" s="37"/>
      <c r="O365" s="37"/>
      <c r="P365" s="37"/>
      <c r="Q365" s="550"/>
    </row>
    <row r="366" spans="1:17" ht="13" x14ac:dyDescent="0.3">
      <c r="A366" s="36"/>
      <c r="B366" s="73" t="s">
        <v>218</v>
      </c>
      <c r="C366" s="424"/>
      <c r="D366" s="700"/>
      <c r="E366" s="700"/>
      <c r="F366" s="700"/>
      <c r="G366" s="701"/>
      <c r="H366" s="37"/>
      <c r="I366" s="37"/>
      <c r="J366" s="37"/>
      <c r="K366" s="37"/>
      <c r="L366" s="37"/>
      <c r="M366" s="37"/>
      <c r="N366" s="37"/>
      <c r="O366" s="37"/>
      <c r="P366" s="37"/>
      <c r="Q366" s="550"/>
    </row>
    <row r="367" spans="1:17" ht="13" x14ac:dyDescent="0.3">
      <c r="A367" s="36"/>
      <c r="B367" s="62"/>
      <c r="C367" s="702" t="s">
        <v>10</v>
      </c>
      <c r="D367" s="702" t="s">
        <v>16</v>
      </c>
      <c r="E367" s="531"/>
      <c r="F367" s="700"/>
      <c r="G367" s="701"/>
      <c r="H367" s="37"/>
      <c r="I367" s="37"/>
      <c r="J367" s="37"/>
      <c r="K367" s="37"/>
      <c r="L367" s="37"/>
      <c r="M367" s="37"/>
      <c r="N367" s="37"/>
      <c r="O367" s="37"/>
      <c r="P367" s="37"/>
      <c r="Q367" s="550"/>
    </row>
    <row r="368" spans="1:17" x14ac:dyDescent="0.25">
      <c r="A368" s="36"/>
      <c r="B368" s="62"/>
      <c r="C368" s="51"/>
      <c r="D368" s="51"/>
      <c r="E368" s="51"/>
      <c r="F368" s="51"/>
      <c r="G368" s="52"/>
      <c r="H368" s="37"/>
      <c r="I368" s="37"/>
      <c r="J368" s="37"/>
      <c r="K368" s="37"/>
      <c r="L368" s="37"/>
      <c r="M368" s="37"/>
      <c r="N368" s="37"/>
      <c r="O368" s="37"/>
      <c r="P368" s="37"/>
      <c r="Q368" s="550"/>
    </row>
    <row r="369" spans="1:17" ht="13" x14ac:dyDescent="0.3">
      <c r="A369" s="36"/>
      <c r="B369" s="514" t="s">
        <v>57</v>
      </c>
      <c r="C369" s="417" t="s">
        <v>208</v>
      </c>
      <c r="D369" s="417" t="s">
        <v>209</v>
      </c>
      <c r="E369" s="417" t="s">
        <v>219</v>
      </c>
      <c r="F369" s="417" t="s">
        <v>220</v>
      </c>
      <c r="G369" s="532" t="s">
        <v>221</v>
      </c>
      <c r="H369" s="37"/>
      <c r="I369" s="37"/>
      <c r="J369" s="37"/>
      <c r="K369" s="37"/>
      <c r="L369" s="37"/>
      <c r="M369" s="37"/>
      <c r="N369" s="37"/>
      <c r="O369" s="37"/>
      <c r="P369" s="37"/>
      <c r="Q369" s="550"/>
    </row>
    <row r="370" spans="1:17" ht="13" x14ac:dyDescent="0.3">
      <c r="A370" s="36"/>
      <c r="B370" s="481" t="s">
        <v>210</v>
      </c>
      <c r="C370" s="1747">
        <f>+C352</f>
        <v>0</v>
      </c>
      <c r="D370" s="1747">
        <f>+D352</f>
        <v>0</v>
      </c>
      <c r="E370" s="1747">
        <f>+E352</f>
        <v>0</v>
      </c>
      <c r="F370" s="1747">
        <f>+F352</f>
        <v>0</v>
      </c>
      <c r="G370" s="1747">
        <f>+G352</f>
        <v>0</v>
      </c>
      <c r="H370" s="37"/>
      <c r="I370" s="37"/>
      <c r="J370" s="37"/>
      <c r="K370" s="37"/>
      <c r="L370" s="37"/>
      <c r="M370" s="37"/>
      <c r="N370" s="37"/>
      <c r="O370" s="37"/>
      <c r="P370" s="37"/>
      <c r="Q370" s="550"/>
    </row>
    <row r="371" spans="1:17" ht="13" x14ac:dyDescent="0.3">
      <c r="A371" s="36"/>
      <c r="B371" s="481" t="s">
        <v>194</v>
      </c>
      <c r="C371" s="1747" t="str">
        <f t="shared" ref="C371:G372" si="112">+$C$10</f>
        <v>GENER</v>
      </c>
      <c r="D371" s="1747" t="str">
        <f t="shared" si="112"/>
        <v>GENER</v>
      </c>
      <c r="E371" s="1747" t="str">
        <f t="shared" si="112"/>
        <v>GENER</v>
      </c>
      <c r="F371" s="1747" t="str">
        <f t="shared" si="112"/>
        <v>GENER</v>
      </c>
      <c r="G371" s="1747" t="str">
        <f t="shared" si="112"/>
        <v>GENER</v>
      </c>
      <c r="H371" s="37"/>
      <c r="I371" s="37"/>
      <c r="J371" s="37"/>
      <c r="K371" s="37"/>
      <c r="L371" s="37"/>
      <c r="M371" s="37"/>
      <c r="N371" s="37"/>
      <c r="O371" s="37"/>
      <c r="P371" s="37"/>
      <c r="Q371" s="550"/>
    </row>
    <row r="372" spans="1:17" ht="13" x14ac:dyDescent="0.3">
      <c r="A372" s="36"/>
      <c r="B372" s="481" t="s">
        <v>195</v>
      </c>
      <c r="C372" s="1747" t="str">
        <f t="shared" si="112"/>
        <v>GENER</v>
      </c>
      <c r="D372" s="1747" t="str">
        <f t="shared" si="112"/>
        <v>GENER</v>
      </c>
      <c r="E372" s="1747" t="str">
        <f t="shared" si="112"/>
        <v>GENER</v>
      </c>
      <c r="F372" s="1747" t="str">
        <f t="shared" si="112"/>
        <v>GENER</v>
      </c>
      <c r="G372" s="1747" t="str">
        <f t="shared" si="112"/>
        <v>GENER</v>
      </c>
      <c r="H372" s="37"/>
      <c r="I372" s="37"/>
      <c r="J372" s="37"/>
      <c r="K372" s="37"/>
      <c r="L372" s="37"/>
      <c r="M372" s="37"/>
      <c r="N372" s="37"/>
      <c r="O372" s="37"/>
      <c r="P372" s="37"/>
      <c r="Q372" s="550"/>
    </row>
    <row r="373" spans="1:17" ht="13" x14ac:dyDescent="0.3">
      <c r="A373" s="36"/>
      <c r="B373" s="481" t="s">
        <v>211</v>
      </c>
      <c r="C373" s="517"/>
      <c r="D373" s="517"/>
      <c r="E373" s="517"/>
      <c r="F373" s="517"/>
      <c r="G373" s="518"/>
      <c r="H373" s="37"/>
      <c r="I373" s="37"/>
      <c r="J373" s="37"/>
      <c r="K373" s="37"/>
      <c r="L373" s="37"/>
      <c r="M373" s="37"/>
      <c r="N373" s="37"/>
      <c r="O373" s="37"/>
      <c r="P373" s="37"/>
      <c r="Q373" s="550"/>
    </row>
    <row r="374" spans="1:17" ht="13" x14ac:dyDescent="0.3">
      <c r="A374" s="36"/>
      <c r="B374" s="481" t="s">
        <v>212</v>
      </c>
      <c r="C374" s="1761">
        <f>+C356</f>
        <v>0</v>
      </c>
      <c r="D374" s="1761">
        <f>D356</f>
        <v>0</v>
      </c>
      <c r="E374" s="1761">
        <f>E356</f>
        <v>0</v>
      </c>
      <c r="F374" s="1761">
        <f>F356</f>
        <v>0</v>
      </c>
      <c r="G374" s="1762">
        <f>G356</f>
        <v>0</v>
      </c>
      <c r="H374" s="37"/>
      <c r="I374" s="37"/>
      <c r="J374" s="37"/>
      <c r="K374" s="37"/>
      <c r="L374" s="37"/>
      <c r="M374" s="37"/>
      <c r="N374" s="37"/>
      <c r="O374" s="37"/>
      <c r="P374" s="37"/>
      <c r="Q374" s="550"/>
    </row>
    <row r="375" spans="1:17" x14ac:dyDescent="0.25">
      <c r="A375" s="36"/>
      <c r="B375" s="73" t="s">
        <v>198</v>
      </c>
      <c r="C375" s="517"/>
      <c r="D375" s="517"/>
      <c r="E375" s="517"/>
      <c r="F375" s="517"/>
      <c r="G375" s="518"/>
      <c r="H375" s="37"/>
      <c r="I375" s="37"/>
      <c r="J375" s="37"/>
      <c r="K375" s="37"/>
      <c r="L375" s="37"/>
      <c r="M375" s="37"/>
      <c r="N375" s="37"/>
      <c r="O375" s="37"/>
      <c r="P375" s="37"/>
      <c r="Q375" s="550"/>
    </row>
    <row r="376" spans="1:17" x14ac:dyDescent="0.25">
      <c r="A376" s="36"/>
      <c r="B376" s="490" t="s">
        <v>213</v>
      </c>
      <c r="C376" s="1763">
        <f t="shared" ref="C376:G378" si="113">C358</f>
        <v>0</v>
      </c>
      <c r="D376" s="1763">
        <f t="shared" si="113"/>
        <v>0</v>
      </c>
      <c r="E376" s="1763">
        <f t="shared" si="113"/>
        <v>0</v>
      </c>
      <c r="F376" s="1763">
        <f t="shared" si="113"/>
        <v>0</v>
      </c>
      <c r="G376" s="1764">
        <f t="shared" si="113"/>
        <v>0</v>
      </c>
      <c r="H376" s="37"/>
      <c r="I376" s="37"/>
      <c r="J376" s="37"/>
      <c r="K376" s="37"/>
      <c r="L376" s="37"/>
      <c r="M376" s="37"/>
      <c r="N376" s="37"/>
      <c r="O376" s="37"/>
      <c r="P376" s="37"/>
      <c r="Q376" s="550"/>
    </row>
    <row r="377" spans="1:17" x14ac:dyDescent="0.25">
      <c r="A377" s="36"/>
      <c r="B377" s="490" t="s">
        <v>200</v>
      </c>
      <c r="C377" s="1765">
        <f t="shared" si="113"/>
        <v>0</v>
      </c>
      <c r="D377" s="1765">
        <f t="shared" si="113"/>
        <v>0</v>
      </c>
      <c r="E377" s="1765">
        <f t="shared" si="113"/>
        <v>0</v>
      </c>
      <c r="F377" s="1765">
        <f t="shared" si="113"/>
        <v>0</v>
      </c>
      <c r="G377" s="1766">
        <f t="shared" si="113"/>
        <v>0</v>
      </c>
      <c r="H377" s="37"/>
      <c r="I377" s="37"/>
      <c r="J377" s="37"/>
      <c r="K377" s="37"/>
      <c r="L377" s="37"/>
      <c r="M377" s="37"/>
      <c r="N377" s="37"/>
      <c r="O377" s="37"/>
      <c r="P377" s="37"/>
      <c r="Q377" s="550"/>
    </row>
    <row r="378" spans="1:17" ht="13" x14ac:dyDescent="0.3">
      <c r="A378" s="36"/>
      <c r="B378" s="481" t="s">
        <v>222</v>
      </c>
      <c r="C378" s="1767">
        <v>12</v>
      </c>
      <c r="D378" s="1767">
        <f t="shared" si="113"/>
        <v>12</v>
      </c>
      <c r="E378" s="1767">
        <f t="shared" si="113"/>
        <v>12</v>
      </c>
      <c r="F378" s="1767">
        <f t="shared" si="113"/>
        <v>12</v>
      </c>
      <c r="G378" s="1768">
        <f t="shared" si="113"/>
        <v>12</v>
      </c>
      <c r="H378" s="37"/>
      <c r="I378" s="37"/>
      <c r="J378" s="37"/>
      <c r="K378" s="37"/>
      <c r="L378" s="37"/>
      <c r="M378" s="37"/>
      <c r="N378" s="37"/>
      <c r="O378" s="37"/>
      <c r="P378" s="37"/>
      <c r="Q378" s="550"/>
    </row>
    <row r="379" spans="1:17" x14ac:dyDescent="0.25">
      <c r="A379" s="36"/>
      <c r="B379" s="73" t="s">
        <v>202</v>
      </c>
      <c r="C379" s="517"/>
      <c r="D379" s="517"/>
      <c r="E379" s="517"/>
      <c r="F379" s="517"/>
      <c r="G379" s="518"/>
      <c r="H379" s="37"/>
      <c r="I379" s="37"/>
      <c r="J379" s="37"/>
      <c r="K379" s="37"/>
      <c r="L379" s="37"/>
      <c r="M379" s="37"/>
      <c r="N379" s="37"/>
      <c r="O379" s="37"/>
      <c r="P379" s="37"/>
      <c r="Q379" s="550"/>
    </row>
    <row r="380" spans="1:17" ht="13" x14ac:dyDescent="0.3">
      <c r="A380" s="36"/>
      <c r="B380" s="73" t="s">
        <v>216</v>
      </c>
      <c r="C380" s="1758">
        <f t="shared" ref="C380:G382" si="114">C362</f>
        <v>0.33</v>
      </c>
      <c r="D380" s="1758">
        <f t="shared" si="114"/>
        <v>0.33</v>
      </c>
      <c r="E380" s="1758">
        <f t="shared" si="114"/>
        <v>0.33</v>
      </c>
      <c r="F380" s="1758">
        <f t="shared" si="114"/>
        <v>0.33</v>
      </c>
      <c r="G380" s="1769">
        <f t="shared" si="114"/>
        <v>0.33</v>
      </c>
      <c r="H380" s="37"/>
      <c r="I380" s="37"/>
      <c r="J380" s="37"/>
      <c r="K380" s="37"/>
      <c r="L380" s="37"/>
      <c r="M380" s="37"/>
      <c r="N380" s="37"/>
      <c r="O380" s="37"/>
      <c r="P380" s="37"/>
      <c r="Q380" s="550"/>
    </row>
    <row r="381" spans="1:17" ht="13" x14ac:dyDescent="0.3">
      <c r="A381" s="36"/>
      <c r="B381" s="73" t="s">
        <v>217</v>
      </c>
      <c r="C381" s="1758">
        <f t="shared" si="114"/>
        <v>6.3500000000000001E-2</v>
      </c>
      <c r="D381" s="1758">
        <f t="shared" si="114"/>
        <v>6.3500000000000001E-2</v>
      </c>
      <c r="E381" s="1758">
        <f t="shared" si="114"/>
        <v>6.3500000000000001E-2</v>
      </c>
      <c r="F381" s="1758">
        <f t="shared" si="114"/>
        <v>6.3500000000000001E-2</v>
      </c>
      <c r="G381" s="1769">
        <f t="shared" si="114"/>
        <v>6.3500000000000001E-2</v>
      </c>
      <c r="H381" s="37"/>
      <c r="I381" s="37"/>
      <c r="J381" s="37"/>
      <c r="K381" s="37"/>
      <c r="L381" s="37"/>
      <c r="M381" s="37"/>
      <c r="N381" s="37"/>
      <c r="O381" s="37"/>
      <c r="P381" s="37"/>
      <c r="Q381" s="550"/>
    </row>
    <row r="382" spans="1:17" ht="13" x14ac:dyDescent="0.3">
      <c r="A382" s="36"/>
      <c r="B382" s="73" t="s">
        <v>203</v>
      </c>
      <c r="C382" s="1759">
        <f>+C364</f>
        <v>0</v>
      </c>
      <c r="D382" s="1759">
        <f t="shared" si="114"/>
        <v>0</v>
      </c>
      <c r="E382" s="1759">
        <f t="shared" si="114"/>
        <v>0</v>
      </c>
      <c r="F382" s="1759">
        <f t="shared" si="114"/>
        <v>0</v>
      </c>
      <c r="G382" s="1770">
        <f t="shared" si="114"/>
        <v>0</v>
      </c>
      <c r="H382" s="37"/>
      <c r="I382" s="37"/>
      <c r="J382" s="37"/>
      <c r="K382" s="37"/>
      <c r="L382" s="37"/>
      <c r="M382" s="37"/>
      <c r="N382" s="37"/>
      <c r="O382" s="37"/>
      <c r="P382" s="37"/>
      <c r="Q382" s="550"/>
    </row>
    <row r="383" spans="1:17" ht="13" x14ac:dyDescent="0.3">
      <c r="A383" s="36"/>
      <c r="B383" s="533"/>
      <c r="C383" s="424"/>
      <c r="D383" s="700"/>
      <c r="E383" s="700"/>
      <c r="F383" s="700"/>
      <c r="G383" s="701"/>
      <c r="H383" s="37"/>
      <c r="I383" s="37"/>
      <c r="J383" s="37"/>
      <c r="K383" s="37"/>
      <c r="L383" s="37"/>
      <c r="M383" s="37"/>
      <c r="N383" s="37"/>
      <c r="O383" s="37"/>
      <c r="P383" s="37"/>
      <c r="Q383" s="550"/>
    </row>
    <row r="384" spans="1:17" ht="13" x14ac:dyDescent="0.3">
      <c r="A384" s="36"/>
      <c r="B384" s="73" t="s">
        <v>218</v>
      </c>
      <c r="C384" s="424"/>
      <c r="D384" s="700"/>
      <c r="E384" s="700"/>
      <c r="F384" s="700"/>
      <c r="G384" s="701"/>
      <c r="H384" s="37"/>
      <c r="I384" s="37"/>
      <c r="J384" s="37"/>
      <c r="K384" s="37"/>
      <c r="L384" s="37"/>
      <c r="M384" s="37"/>
      <c r="N384" s="37"/>
      <c r="O384" s="37"/>
      <c r="P384" s="37"/>
      <c r="Q384" s="550"/>
    </row>
    <row r="385" spans="1:17" ht="13" x14ac:dyDescent="0.3">
      <c r="A385" s="36"/>
      <c r="B385" s="535"/>
      <c r="C385" s="703" t="s">
        <v>10</v>
      </c>
      <c r="D385" s="702" t="s">
        <v>16</v>
      </c>
      <c r="E385" s="531"/>
      <c r="F385" s="700"/>
      <c r="G385" s="701"/>
      <c r="H385" s="37"/>
      <c r="I385" s="37"/>
      <c r="J385" s="37"/>
      <c r="K385" s="37"/>
      <c r="L385" s="37"/>
      <c r="M385" s="37"/>
      <c r="N385" s="37"/>
      <c r="O385" s="37"/>
      <c r="P385" s="37"/>
      <c r="Q385" s="550"/>
    </row>
    <row r="386" spans="1:17" x14ac:dyDescent="0.25">
      <c r="A386" s="36"/>
      <c r="B386" s="415"/>
      <c r="C386" s="404"/>
      <c r="D386" s="404"/>
      <c r="E386" s="404"/>
      <c r="F386" s="404"/>
      <c r="G386" s="205"/>
      <c r="H386" s="37"/>
      <c r="I386" s="37"/>
      <c r="J386" s="37"/>
      <c r="K386" s="37"/>
      <c r="L386" s="37"/>
      <c r="M386" s="37"/>
      <c r="N386" s="37"/>
      <c r="O386" s="37"/>
      <c r="P386" s="37"/>
      <c r="Q386" s="550"/>
    </row>
    <row r="387" spans="1:17" x14ac:dyDescent="0.25">
      <c r="A387" s="36"/>
      <c r="B387" s="37"/>
      <c r="C387" s="37"/>
      <c r="D387" s="37"/>
      <c r="E387" s="37"/>
      <c r="F387" s="37"/>
      <c r="G387" s="37"/>
      <c r="H387" s="37"/>
      <c r="I387" s="37"/>
      <c r="J387" s="37"/>
      <c r="K387" s="37"/>
      <c r="L387" s="37"/>
      <c r="M387" s="37"/>
      <c r="N387" s="37"/>
      <c r="O387" s="37"/>
      <c r="P387" s="37"/>
      <c r="Q387" s="550"/>
    </row>
    <row r="388" spans="1:17" ht="15.5" x14ac:dyDescent="0.35">
      <c r="A388" s="42">
        <v>8</v>
      </c>
      <c r="B388" s="43" t="s">
        <v>155</v>
      </c>
      <c r="C388" s="37"/>
      <c r="D388" s="37"/>
      <c r="E388" s="37"/>
      <c r="F388" s="37"/>
      <c r="G388" s="37"/>
      <c r="H388" s="37"/>
      <c r="I388" s="37"/>
      <c r="J388" s="37"/>
      <c r="K388" s="37"/>
      <c r="L388" s="37"/>
      <c r="M388" s="37"/>
      <c r="N388" s="37"/>
      <c r="O388" s="37"/>
      <c r="P388" s="37"/>
      <c r="Q388" s="550"/>
    </row>
    <row r="389" spans="1:17" x14ac:dyDescent="0.25">
      <c r="A389" s="36"/>
      <c r="B389" s="183"/>
      <c r="C389" s="46"/>
      <c r="D389" s="46"/>
      <c r="E389" s="46"/>
      <c r="F389" s="46"/>
      <c r="G389" s="46"/>
      <c r="H389" s="46"/>
      <c r="I389" s="46"/>
      <c r="J389" s="46"/>
      <c r="K389" s="46"/>
      <c r="L389" s="46"/>
      <c r="M389" s="46"/>
      <c r="N389" s="46"/>
      <c r="O389" s="46"/>
      <c r="P389" s="47"/>
      <c r="Q389" s="550"/>
    </row>
    <row r="390" spans="1:17" ht="13" x14ac:dyDescent="0.25">
      <c r="A390" s="36"/>
      <c r="B390" s="1790" t="s">
        <v>17</v>
      </c>
      <c r="C390" s="1786" t="s">
        <v>156</v>
      </c>
      <c r="D390" s="1786"/>
      <c r="E390" s="320" t="s">
        <v>157</v>
      </c>
      <c r="F390" s="321">
        <v>30</v>
      </c>
      <c r="G390" s="321">
        <f>F390+30</f>
        <v>60</v>
      </c>
      <c r="H390" s="321">
        <f t="shared" ref="H390:P390" si="115">G390+30</f>
        <v>90</v>
      </c>
      <c r="I390" s="321">
        <f t="shared" si="115"/>
        <v>120</v>
      </c>
      <c r="J390" s="321">
        <f t="shared" si="115"/>
        <v>150</v>
      </c>
      <c r="K390" s="321">
        <f t="shared" si="115"/>
        <v>180</v>
      </c>
      <c r="L390" s="321">
        <f t="shared" si="115"/>
        <v>210</v>
      </c>
      <c r="M390" s="321">
        <f t="shared" si="115"/>
        <v>240</v>
      </c>
      <c r="N390" s="321">
        <f t="shared" si="115"/>
        <v>270</v>
      </c>
      <c r="O390" s="321">
        <f t="shared" si="115"/>
        <v>300</v>
      </c>
      <c r="P390" s="322">
        <f t="shared" si="115"/>
        <v>330</v>
      </c>
      <c r="Q390" s="550"/>
    </row>
    <row r="391" spans="1:17" ht="13" x14ac:dyDescent="0.25">
      <c r="A391" s="36"/>
      <c r="B391" s="1790"/>
      <c r="C391" s="324" t="s">
        <v>158</v>
      </c>
      <c r="D391" s="325">
        <f>SUM(E391:P391)</f>
        <v>1</v>
      </c>
      <c r="E391" s="326">
        <v>1</v>
      </c>
      <c r="F391" s="326">
        <v>0</v>
      </c>
      <c r="G391" s="326">
        <v>0</v>
      </c>
      <c r="H391" s="1736">
        <v>0</v>
      </c>
      <c r="I391" s="1736">
        <v>0</v>
      </c>
      <c r="J391" s="1736">
        <v>0</v>
      </c>
      <c r="K391" s="1736">
        <v>0</v>
      </c>
      <c r="L391" s="1736">
        <v>0</v>
      </c>
      <c r="M391" s="1736">
        <v>0</v>
      </c>
      <c r="N391" s="1736">
        <v>0</v>
      </c>
      <c r="O391" s="1736">
        <v>0</v>
      </c>
      <c r="P391" s="1771">
        <v>0</v>
      </c>
      <c r="Q391" s="550"/>
    </row>
    <row r="392" spans="1:17" ht="13" x14ac:dyDescent="0.25">
      <c r="A392" s="36"/>
      <c r="B392" s="1790"/>
      <c r="C392" s="324" t="s">
        <v>159</v>
      </c>
      <c r="D392" s="330">
        <f>SUM(E392:P392)</f>
        <v>1</v>
      </c>
      <c r="E392" s="326">
        <v>1</v>
      </c>
      <c r="F392" s="326">
        <v>0</v>
      </c>
      <c r="G392" s="326">
        <v>0</v>
      </c>
      <c r="H392" s="1737">
        <v>0</v>
      </c>
      <c r="I392" s="1737">
        <v>0</v>
      </c>
      <c r="J392" s="1737">
        <v>0</v>
      </c>
      <c r="K392" s="1737">
        <v>0</v>
      </c>
      <c r="L392" s="1737">
        <v>0</v>
      </c>
      <c r="M392" s="1737">
        <v>0</v>
      </c>
      <c r="N392" s="1737">
        <v>0</v>
      </c>
      <c r="O392" s="1737">
        <v>0</v>
      </c>
      <c r="P392" s="1772">
        <v>0</v>
      </c>
      <c r="Q392" s="550"/>
    </row>
    <row r="393" spans="1:17" x14ac:dyDescent="0.25">
      <c r="A393" s="36"/>
      <c r="B393" s="541"/>
      <c r="C393" s="337"/>
      <c r="D393" s="337"/>
      <c r="E393" s="337"/>
      <c r="F393" s="337"/>
      <c r="G393" s="337"/>
      <c r="H393" s="337"/>
      <c r="I393" s="337"/>
      <c r="J393" s="337"/>
      <c r="K393" s="337"/>
      <c r="L393" s="337"/>
      <c r="M393" s="337"/>
      <c r="N393" s="337"/>
      <c r="O393" s="337"/>
      <c r="P393" s="704"/>
      <c r="Q393" s="550"/>
    </row>
    <row r="394" spans="1:17" ht="13" x14ac:dyDescent="0.25">
      <c r="A394" s="36"/>
      <c r="B394" s="1790" t="s">
        <v>47</v>
      </c>
      <c r="C394" s="1786" t="s">
        <v>156</v>
      </c>
      <c r="D394" s="1786"/>
      <c r="E394" s="339" t="s">
        <v>157</v>
      </c>
      <c r="F394" s="340">
        <v>30</v>
      </c>
      <c r="G394" s="340">
        <f>F394+30</f>
        <v>60</v>
      </c>
      <c r="H394" s="340">
        <f t="shared" ref="H394:P394" si="116">G394+30</f>
        <v>90</v>
      </c>
      <c r="I394" s="340">
        <f t="shared" si="116"/>
        <v>120</v>
      </c>
      <c r="J394" s="340">
        <f t="shared" si="116"/>
        <v>150</v>
      </c>
      <c r="K394" s="340">
        <f t="shared" si="116"/>
        <v>180</v>
      </c>
      <c r="L394" s="340">
        <f t="shared" si="116"/>
        <v>210</v>
      </c>
      <c r="M394" s="340">
        <f t="shared" si="116"/>
        <v>240</v>
      </c>
      <c r="N394" s="340">
        <f t="shared" si="116"/>
        <v>270</v>
      </c>
      <c r="O394" s="340">
        <f t="shared" si="116"/>
        <v>300</v>
      </c>
      <c r="P394" s="705">
        <f t="shared" si="116"/>
        <v>330</v>
      </c>
      <c r="Q394" s="550"/>
    </row>
    <row r="395" spans="1:17" ht="13" x14ac:dyDescent="0.25">
      <c r="A395" s="36"/>
      <c r="B395" s="1790"/>
      <c r="C395" s="324" t="s">
        <v>158</v>
      </c>
      <c r="D395" s="325">
        <f>SUM(E395:P395)</f>
        <v>1</v>
      </c>
      <c r="E395" s="1736">
        <f>E391</f>
        <v>1</v>
      </c>
      <c r="F395" s="1736">
        <f t="shared" ref="F395:P395" si="117">F391</f>
        <v>0</v>
      </c>
      <c r="G395" s="1736">
        <f t="shared" si="117"/>
        <v>0</v>
      </c>
      <c r="H395" s="1736">
        <f t="shared" si="117"/>
        <v>0</v>
      </c>
      <c r="I395" s="1736">
        <f t="shared" si="117"/>
        <v>0</v>
      </c>
      <c r="J395" s="1736">
        <f t="shared" si="117"/>
        <v>0</v>
      </c>
      <c r="K395" s="1736">
        <f t="shared" si="117"/>
        <v>0</v>
      </c>
      <c r="L395" s="1736">
        <f t="shared" si="117"/>
        <v>0</v>
      </c>
      <c r="M395" s="1736">
        <f t="shared" si="117"/>
        <v>0</v>
      </c>
      <c r="N395" s="1736">
        <f t="shared" si="117"/>
        <v>0</v>
      </c>
      <c r="O395" s="1736">
        <f t="shared" si="117"/>
        <v>0</v>
      </c>
      <c r="P395" s="1771">
        <f t="shared" si="117"/>
        <v>0</v>
      </c>
      <c r="Q395" s="550"/>
    </row>
    <row r="396" spans="1:17" ht="13" x14ac:dyDescent="0.25">
      <c r="A396" s="36"/>
      <c r="B396" s="1790"/>
      <c r="C396" s="324" t="s">
        <v>159</v>
      </c>
      <c r="D396" s="330">
        <f>SUM(E396:P396)</f>
        <v>1</v>
      </c>
      <c r="E396" s="1737">
        <f>E392</f>
        <v>1</v>
      </c>
      <c r="F396" s="1737">
        <f t="shared" ref="F396:P396" si="118">F392</f>
        <v>0</v>
      </c>
      <c r="G396" s="1737">
        <f t="shared" si="118"/>
        <v>0</v>
      </c>
      <c r="H396" s="1737">
        <f>H392</f>
        <v>0</v>
      </c>
      <c r="I396" s="1737">
        <f>I392</f>
        <v>0</v>
      </c>
      <c r="J396" s="1737">
        <f t="shared" si="118"/>
        <v>0</v>
      </c>
      <c r="K396" s="1737">
        <f t="shared" si="118"/>
        <v>0</v>
      </c>
      <c r="L396" s="1737">
        <f t="shared" si="118"/>
        <v>0</v>
      </c>
      <c r="M396" s="1737">
        <f t="shared" si="118"/>
        <v>0</v>
      </c>
      <c r="N396" s="1737">
        <f t="shared" si="118"/>
        <v>0</v>
      </c>
      <c r="O396" s="1737">
        <f t="shared" si="118"/>
        <v>0</v>
      </c>
      <c r="P396" s="1772">
        <f t="shared" si="118"/>
        <v>0</v>
      </c>
      <c r="Q396" s="550"/>
    </row>
    <row r="397" spans="1:17" x14ac:dyDescent="0.25">
      <c r="A397" s="36"/>
      <c r="B397" s="346"/>
      <c r="C397" s="337"/>
      <c r="D397" s="337"/>
      <c r="E397" s="337"/>
      <c r="F397" s="337"/>
      <c r="G397" s="337"/>
      <c r="H397" s="337"/>
      <c r="I397" s="337"/>
      <c r="J397" s="337"/>
      <c r="K397" s="337"/>
      <c r="L397" s="337"/>
      <c r="M397" s="337"/>
      <c r="N397" s="337"/>
      <c r="O397" s="337"/>
      <c r="P397" s="704"/>
      <c r="Q397" s="550"/>
    </row>
    <row r="398" spans="1:17" ht="13" x14ac:dyDescent="0.25">
      <c r="A398" s="36"/>
      <c r="B398" s="1790" t="s">
        <v>57</v>
      </c>
      <c r="C398" s="1786" t="s">
        <v>156</v>
      </c>
      <c r="D398" s="1786"/>
      <c r="E398" s="339" t="s">
        <v>157</v>
      </c>
      <c r="F398" s="340">
        <v>30</v>
      </c>
      <c r="G398" s="340">
        <f>F398+30</f>
        <v>60</v>
      </c>
      <c r="H398" s="340">
        <f t="shared" ref="H398:P398" si="119">G398+30</f>
        <v>90</v>
      </c>
      <c r="I398" s="340">
        <f t="shared" si="119"/>
        <v>120</v>
      </c>
      <c r="J398" s="340">
        <f t="shared" si="119"/>
        <v>150</v>
      </c>
      <c r="K398" s="340">
        <f t="shared" si="119"/>
        <v>180</v>
      </c>
      <c r="L398" s="340">
        <f t="shared" si="119"/>
        <v>210</v>
      </c>
      <c r="M398" s="340">
        <f t="shared" si="119"/>
        <v>240</v>
      </c>
      <c r="N398" s="340">
        <f t="shared" si="119"/>
        <v>270</v>
      </c>
      <c r="O398" s="340">
        <f t="shared" si="119"/>
        <v>300</v>
      </c>
      <c r="P398" s="705">
        <f t="shared" si="119"/>
        <v>330</v>
      </c>
      <c r="Q398" s="550"/>
    </row>
    <row r="399" spans="1:17" ht="13" x14ac:dyDescent="0.25">
      <c r="A399" s="36"/>
      <c r="B399" s="1790"/>
      <c r="C399" s="324" t="s">
        <v>158</v>
      </c>
      <c r="D399" s="325">
        <f>SUM(E399:P399)</f>
        <v>1</v>
      </c>
      <c r="E399" s="1736">
        <f>E395</f>
        <v>1</v>
      </c>
      <c r="F399" s="1736">
        <f t="shared" ref="F399:P399" si="120">F395</f>
        <v>0</v>
      </c>
      <c r="G399" s="1736">
        <f t="shared" si="120"/>
        <v>0</v>
      </c>
      <c r="H399" s="1736">
        <f t="shared" si="120"/>
        <v>0</v>
      </c>
      <c r="I399" s="1736">
        <f t="shared" si="120"/>
        <v>0</v>
      </c>
      <c r="J399" s="1736">
        <f t="shared" si="120"/>
        <v>0</v>
      </c>
      <c r="K399" s="1736">
        <f t="shared" si="120"/>
        <v>0</v>
      </c>
      <c r="L399" s="1736">
        <f t="shared" si="120"/>
        <v>0</v>
      </c>
      <c r="M399" s="1736">
        <f t="shared" si="120"/>
        <v>0</v>
      </c>
      <c r="N399" s="1736">
        <f t="shared" si="120"/>
        <v>0</v>
      </c>
      <c r="O399" s="1736">
        <f t="shared" si="120"/>
        <v>0</v>
      </c>
      <c r="P399" s="1771">
        <f t="shared" si="120"/>
        <v>0</v>
      </c>
      <c r="Q399" s="550"/>
    </row>
    <row r="400" spans="1:17" ht="13" x14ac:dyDescent="0.25">
      <c r="A400" s="36"/>
      <c r="B400" s="1790"/>
      <c r="C400" s="324" t="s">
        <v>159</v>
      </c>
      <c r="D400" s="325">
        <f>SUM(E400:P400)</f>
        <v>1</v>
      </c>
      <c r="E400" s="1736">
        <f>E396</f>
        <v>1</v>
      </c>
      <c r="F400" s="1736">
        <f t="shared" ref="F400:P400" si="121">F396</f>
        <v>0</v>
      </c>
      <c r="G400" s="1736">
        <f t="shared" si="121"/>
        <v>0</v>
      </c>
      <c r="H400" s="1736">
        <f t="shared" si="121"/>
        <v>0</v>
      </c>
      <c r="I400" s="1736">
        <f t="shared" si="121"/>
        <v>0</v>
      </c>
      <c r="J400" s="1736">
        <f t="shared" si="121"/>
        <v>0</v>
      </c>
      <c r="K400" s="1736">
        <f t="shared" si="121"/>
        <v>0</v>
      </c>
      <c r="L400" s="1736">
        <f t="shared" si="121"/>
        <v>0</v>
      </c>
      <c r="M400" s="1736">
        <f t="shared" si="121"/>
        <v>0</v>
      </c>
      <c r="N400" s="1736">
        <f t="shared" si="121"/>
        <v>0</v>
      </c>
      <c r="O400" s="1736">
        <f t="shared" si="121"/>
        <v>0</v>
      </c>
      <c r="P400" s="1771">
        <f t="shared" si="121"/>
        <v>0</v>
      </c>
      <c r="Q400" s="550"/>
    </row>
    <row r="401" spans="1:17" x14ac:dyDescent="0.25">
      <c r="A401" s="36"/>
      <c r="B401" s="62"/>
      <c r="C401" s="51"/>
      <c r="D401" s="51"/>
      <c r="E401" s="51"/>
      <c r="F401" s="51"/>
      <c r="G401" s="51"/>
      <c r="H401" s="51"/>
      <c r="I401" s="51"/>
      <c r="J401" s="51"/>
      <c r="K401" s="51"/>
      <c r="L401" s="51"/>
      <c r="M401" s="51"/>
      <c r="N401" s="51"/>
      <c r="O401" s="51"/>
      <c r="P401" s="52"/>
      <c r="Q401" s="550"/>
    </row>
    <row r="402" spans="1:17" ht="13" x14ac:dyDescent="0.3">
      <c r="A402" s="36"/>
      <c r="B402" s="542" t="s">
        <v>223</v>
      </c>
      <c r="C402" s="355" t="s">
        <v>167</v>
      </c>
      <c r="D402" s="355" t="s">
        <v>168</v>
      </c>
      <c r="E402" s="51"/>
      <c r="F402" s="51"/>
      <c r="G402" s="51"/>
      <c r="H402" s="51"/>
      <c r="I402" s="51"/>
      <c r="J402" s="51"/>
      <c r="K402" s="51"/>
      <c r="L402" s="51"/>
      <c r="M402" s="51"/>
      <c r="N402" s="51"/>
      <c r="O402" s="51"/>
      <c r="P402" s="52"/>
      <c r="Q402" s="550"/>
    </row>
    <row r="403" spans="1:17" ht="13" x14ac:dyDescent="0.3">
      <c r="A403" s="36"/>
      <c r="B403" s="544" t="s">
        <v>17</v>
      </c>
      <c r="C403" s="706">
        <v>0</v>
      </c>
      <c r="D403" s="642">
        <v>0</v>
      </c>
      <c r="E403" s="51"/>
      <c r="F403" s="51"/>
      <c r="G403" s="51"/>
      <c r="H403" s="51"/>
      <c r="I403" s="51"/>
      <c r="J403" s="51"/>
      <c r="K403" s="51"/>
      <c r="L403" s="51"/>
      <c r="M403" s="51"/>
      <c r="N403" s="51"/>
      <c r="O403" s="51"/>
      <c r="P403" s="52"/>
      <c r="Q403" s="550"/>
    </row>
    <row r="404" spans="1:17" ht="13" x14ac:dyDescent="0.3">
      <c r="A404" s="36"/>
      <c r="B404" s="547" t="s">
        <v>47</v>
      </c>
      <c r="C404" s="1773">
        <v>0</v>
      </c>
      <c r="D404" s="1774">
        <v>0</v>
      </c>
      <c r="E404" s="51"/>
      <c r="F404" s="51"/>
      <c r="G404" s="51"/>
      <c r="H404" s="51"/>
      <c r="I404" s="51"/>
      <c r="J404" s="51"/>
      <c r="K404" s="51"/>
      <c r="L404" s="51"/>
      <c r="M404" s="51"/>
      <c r="N404" s="51"/>
      <c r="O404" s="51"/>
      <c r="P404" s="52"/>
      <c r="Q404" s="550"/>
    </row>
    <row r="405" spans="1:17" ht="13" x14ac:dyDescent="0.3">
      <c r="A405" s="36"/>
      <c r="B405" s="547" t="s">
        <v>57</v>
      </c>
      <c r="C405" s="1773">
        <f>+C404</f>
        <v>0</v>
      </c>
      <c r="D405" s="1774">
        <f>+D404</f>
        <v>0</v>
      </c>
      <c r="E405" s="51"/>
      <c r="F405" s="51"/>
      <c r="G405" s="51"/>
      <c r="H405" s="51"/>
      <c r="I405" s="51"/>
      <c r="J405" s="51"/>
      <c r="K405" s="51"/>
      <c r="L405" s="51"/>
      <c r="M405" s="51"/>
      <c r="N405" s="51"/>
      <c r="O405" s="51"/>
      <c r="P405" s="52"/>
      <c r="Q405" s="550"/>
    </row>
    <row r="406" spans="1:17" x14ac:dyDescent="0.25">
      <c r="A406" s="36"/>
      <c r="B406" s="415"/>
      <c r="C406" s="404"/>
      <c r="D406" s="404"/>
      <c r="E406" s="404"/>
      <c r="F406" s="404"/>
      <c r="G406" s="404"/>
      <c r="H406" s="404"/>
      <c r="I406" s="404"/>
      <c r="J406" s="404"/>
      <c r="K406" s="404"/>
      <c r="L406" s="404"/>
      <c r="M406" s="404"/>
      <c r="N406" s="404"/>
      <c r="O406" s="404"/>
      <c r="P406" s="205"/>
      <c r="Q406" s="550"/>
    </row>
    <row r="407" spans="1:17" x14ac:dyDescent="0.25">
      <c r="A407" s="181"/>
      <c r="B407" s="548"/>
      <c r="C407" s="548"/>
      <c r="D407" s="548"/>
      <c r="E407" s="548"/>
      <c r="F407" s="548"/>
      <c r="G407" s="548"/>
      <c r="H407" s="548"/>
      <c r="I407" s="548"/>
      <c r="J407" s="548"/>
      <c r="K407" s="548"/>
      <c r="L407" s="548"/>
      <c r="M407" s="548"/>
      <c r="N407" s="548"/>
      <c r="O407" s="548"/>
      <c r="P407" s="548"/>
      <c r="Q407" s="707"/>
    </row>
  </sheetData>
  <sheetProtection password="CC2F" sheet="1" objects="1" scenarios="1"/>
  <mergeCells count="17">
    <mergeCell ref="B394:B396"/>
    <mergeCell ref="C394:D394"/>
    <mergeCell ref="B398:B400"/>
    <mergeCell ref="C398:D398"/>
    <mergeCell ref="B199:B201"/>
    <mergeCell ref="C199:N199"/>
    <mergeCell ref="C224:D224"/>
    <mergeCell ref="E224:F224"/>
    <mergeCell ref="G224:H224"/>
    <mergeCell ref="B390:B392"/>
    <mergeCell ref="C390:D390"/>
    <mergeCell ref="B151:F151"/>
    <mergeCell ref="B152:F152"/>
    <mergeCell ref="B167:B169"/>
    <mergeCell ref="C167:N167"/>
    <mergeCell ref="B183:B185"/>
    <mergeCell ref="C183:N183"/>
  </mergeCells>
  <phoneticPr fontId="22" type="noConversion"/>
  <conditionalFormatting sqref="H340">
    <cfRule type="cellIs" dxfId="37" priority="1" stopIfTrue="1" operator="greaterThan">
      <formula>1</formula>
    </cfRule>
  </conditionalFormatting>
  <conditionalFormatting sqref="D391:D392 D395:D396 D399:D400">
    <cfRule type="cellIs" dxfId="36" priority="2" stopIfTrue="1" operator="notEqual">
      <formula>1</formula>
    </cfRule>
  </conditionalFormatting>
  <dataValidations count="5">
    <dataValidation type="list" allowBlank="1" showErrorMessage="1" sqref="C290:L291 C303:L304 C316:L317 C335:G336 C349:D349 C353:G354 C367:D367 C371:G372 C385:D385 C136:E136" xr:uid="{00000000-0002-0000-0500-000000000000}">
      <formula1>$S$2:$S$13</formula1>
      <formula2>0</formula2>
    </dataValidation>
    <dataValidation type="list" allowBlank="1" showErrorMessage="1" sqref="C146:E146" xr:uid="{00000000-0002-0000-0500-000001000000}">
      <formula1>$U$2:$U$4</formula1>
      <formula2>0</formula2>
    </dataValidation>
    <dataValidation type="list" allowBlank="1" showErrorMessage="1" sqref="E349 E367 E385" xr:uid="{00000000-0002-0000-0500-000002000000}">
      <formula1>$S$1:$S$13</formula1>
      <formula2>0</formula2>
    </dataValidation>
    <dataValidation type="list" allowBlank="1" showErrorMessage="1" sqref="C141:E141 T67:T73" xr:uid="{00000000-0002-0000-0500-000003000000}">
      <formula1>$T$67:$T$73</formula1>
      <formula2>0</formula2>
    </dataValidation>
    <dataValidation type="list" allowBlank="1" showErrorMessage="1" sqref="C142:E142" xr:uid="{00000000-0002-0000-0500-000004000000}">
      <formula1>$T$2:$T$3</formula1>
      <formula2>0</formula2>
    </dataValidation>
  </dataValidations>
  <hyperlinks>
    <hyperlink ref="D5" location="INDICE!A1" display="ÍNDEX!A1" xr:uid="{00000000-0004-0000-0500-000000000000}"/>
  </hyperlinks>
  <pageMargins left="0.45" right="0.34" top="0.48" bottom="0.98402777777777783" header="0.51180555555555562" footer="0.51180555555555562"/>
  <pageSetup paperSize="9" scale="61" firstPageNumber="0" orientation="landscape" horizontalDpi="300" verticalDpi="300" r:id="rId1"/>
  <headerFooter alignWithMargins="0"/>
  <rowBreaks count="7" manualBreakCount="7">
    <brk id="52" max="16383" man="1"/>
    <brk id="123" max="16383" man="1"/>
    <brk id="148" max="16383" man="1"/>
    <brk id="214" max="16383" man="1"/>
    <brk id="285" max="16383" man="1"/>
    <brk id="328" max="16383" man="1"/>
    <brk id="38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6226" r:id="rId4" name="Button 82">
              <controlPr defaultSize="0" autoFill="0" autoLine="0" autoPict="0">
                <anchor moveWithCells="1" sizeWithCells="1">
                  <from>
                    <xdr:col>2</xdr:col>
                    <xdr:colOff>1041400</xdr:colOff>
                    <xdr:row>3</xdr:row>
                    <xdr:rowOff>152400</xdr:rowOff>
                  </from>
                  <to>
                    <xdr:col>3</xdr:col>
                    <xdr:colOff>1028700</xdr:colOff>
                    <xdr:row>5</xdr:row>
                    <xdr:rowOff>0</xdr:rowOff>
                  </to>
                </anchor>
              </controlPr>
            </control>
          </mc:Choice>
        </mc:AlternateContent>
        <mc:AlternateContent xmlns:mc="http://schemas.openxmlformats.org/markup-compatibility/2006">
          <mc:Choice Requires="x14">
            <control shapeId="6227" r:id="rId5" name="Button 83">
              <controlPr defaultSize="0" autoFill="0" autoLine="0" autoPict="0">
                <anchor moveWithCells="1" sizeWithCells="1">
                  <from>
                    <xdr:col>3</xdr:col>
                    <xdr:colOff>0</xdr:colOff>
                    <xdr:row>123</xdr:row>
                    <xdr:rowOff>165100</xdr:rowOff>
                  </from>
                  <to>
                    <xdr:col>3</xdr:col>
                    <xdr:colOff>1041400</xdr:colOff>
                    <xdr:row>125</xdr:row>
                    <xdr:rowOff>0</xdr:rowOff>
                  </to>
                </anchor>
              </controlPr>
            </control>
          </mc:Choice>
        </mc:AlternateContent>
        <mc:AlternateContent xmlns:mc="http://schemas.openxmlformats.org/markup-compatibility/2006">
          <mc:Choice Requires="x14">
            <control shapeId="6228" r:id="rId6" name="Button 84">
              <controlPr defaultSize="0" autoFill="0" autoLine="0" autoPict="0">
                <anchor moveWithCells="1" sizeWithCells="1">
                  <from>
                    <xdr:col>3</xdr:col>
                    <xdr:colOff>0</xdr:colOff>
                    <xdr:row>148</xdr:row>
                    <xdr:rowOff>152400</xdr:rowOff>
                  </from>
                  <to>
                    <xdr:col>3</xdr:col>
                    <xdr:colOff>1041400</xdr:colOff>
                    <xdr:row>150</xdr:row>
                    <xdr:rowOff>0</xdr:rowOff>
                  </to>
                </anchor>
              </controlPr>
            </control>
          </mc:Choice>
        </mc:AlternateContent>
        <mc:AlternateContent xmlns:mc="http://schemas.openxmlformats.org/markup-compatibility/2006">
          <mc:Choice Requires="x14">
            <control shapeId="6229" r:id="rId7" name="Button 85">
              <controlPr defaultSize="0" autoFill="0" autoLine="0" autoPict="0">
                <anchor moveWithCells="1" sizeWithCells="1">
                  <from>
                    <xdr:col>5</xdr:col>
                    <xdr:colOff>12700</xdr:colOff>
                    <xdr:row>214</xdr:row>
                    <xdr:rowOff>152400</xdr:rowOff>
                  </from>
                  <to>
                    <xdr:col>6</xdr:col>
                    <xdr:colOff>0</xdr:colOff>
                    <xdr:row>216</xdr:row>
                    <xdr:rowOff>0</xdr:rowOff>
                  </to>
                </anchor>
              </controlPr>
            </control>
          </mc:Choice>
        </mc:AlternateContent>
        <mc:AlternateContent xmlns:mc="http://schemas.openxmlformats.org/markup-compatibility/2006">
          <mc:Choice Requires="x14">
            <control shapeId="6230" r:id="rId8" name="Button 86">
              <controlPr defaultSize="0" autoFill="0" autoLine="0" autoPict="0">
                <anchor moveWithCells="1" sizeWithCells="1">
                  <from>
                    <xdr:col>3</xdr:col>
                    <xdr:colOff>0</xdr:colOff>
                    <xdr:row>285</xdr:row>
                    <xdr:rowOff>152400</xdr:rowOff>
                  </from>
                  <to>
                    <xdr:col>3</xdr:col>
                    <xdr:colOff>1041400</xdr:colOff>
                    <xdr:row>287</xdr:row>
                    <xdr:rowOff>0</xdr:rowOff>
                  </to>
                </anchor>
              </controlPr>
            </control>
          </mc:Choice>
        </mc:AlternateContent>
        <mc:AlternateContent xmlns:mc="http://schemas.openxmlformats.org/markup-compatibility/2006">
          <mc:Choice Requires="x14">
            <control shapeId="6231" r:id="rId9" name="Button 87">
              <controlPr defaultSize="0" autoFill="0" autoLine="0" autoPict="0">
                <anchor moveWithCells="1" sizeWithCells="1">
                  <from>
                    <xdr:col>3</xdr:col>
                    <xdr:colOff>0</xdr:colOff>
                    <xdr:row>329</xdr:row>
                    <xdr:rowOff>165100</xdr:rowOff>
                  </from>
                  <to>
                    <xdr:col>3</xdr:col>
                    <xdr:colOff>1041400</xdr:colOff>
                    <xdr:row>331</xdr:row>
                    <xdr:rowOff>0</xdr:rowOff>
                  </to>
                </anchor>
              </controlPr>
            </control>
          </mc:Choice>
        </mc:AlternateContent>
        <mc:AlternateContent xmlns:mc="http://schemas.openxmlformats.org/markup-compatibility/2006">
          <mc:Choice Requires="x14">
            <control shapeId="6232" r:id="rId10" name="Button 88">
              <controlPr defaultSize="0" autoFill="0" autoLine="0" autoPict="0">
                <anchor moveWithCells="1" sizeWithCells="1">
                  <from>
                    <xdr:col>3</xdr:col>
                    <xdr:colOff>0</xdr:colOff>
                    <xdr:row>386</xdr:row>
                    <xdr:rowOff>133350</xdr:rowOff>
                  </from>
                  <to>
                    <xdr:col>3</xdr:col>
                    <xdr:colOff>1041400</xdr:colOff>
                    <xdr:row>388</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
    <pageSetUpPr fitToPage="1"/>
  </sheetPr>
  <dimension ref="A1:AD176"/>
  <sheetViews>
    <sheetView workbookViewId="0">
      <selection activeCell="E8" sqref="E8"/>
    </sheetView>
  </sheetViews>
  <sheetFormatPr defaultColWidth="11.453125" defaultRowHeight="12.5" x14ac:dyDescent="0.25"/>
  <cols>
    <col min="1" max="1" width="33.7265625" style="21" customWidth="1"/>
    <col min="2" max="25" width="12.7265625" style="21" customWidth="1"/>
    <col min="26" max="27" width="12.7265625" style="708" customWidth="1"/>
    <col min="28" max="74" width="12.7265625" style="21" customWidth="1"/>
    <col min="75" max="16384" width="11.453125" style="21"/>
  </cols>
  <sheetData>
    <row r="1" spans="1:9" ht="13" x14ac:dyDescent="0.3">
      <c r="A1" s="709" t="s">
        <v>243</v>
      </c>
      <c r="B1" s="710"/>
      <c r="C1" s="710"/>
      <c r="H1"/>
      <c r="I1"/>
    </row>
    <row r="2" spans="1:9" ht="13" x14ac:dyDescent="0.3">
      <c r="A2" s="710"/>
      <c r="B2" s="710"/>
      <c r="C2" s="710"/>
      <c r="D2"/>
      <c r="E2"/>
      <c r="H2"/>
      <c r="I2"/>
    </row>
    <row r="3" spans="1:9" ht="13" x14ac:dyDescent="0.3">
      <c r="A3" s="417" t="s">
        <v>88</v>
      </c>
      <c r="B3" s="417" t="s">
        <v>244</v>
      </c>
      <c r="C3" s="71" t="s">
        <v>89</v>
      </c>
      <c r="H3"/>
      <c r="I3"/>
    </row>
    <row r="4" spans="1:9" ht="13" hidden="1" x14ac:dyDescent="0.3">
      <c r="A4" s="417" t="s">
        <v>90</v>
      </c>
      <c r="B4" s="711"/>
      <c r="C4" s="72"/>
    </row>
    <row r="5" spans="1:9" ht="13" hidden="1" x14ac:dyDescent="0.3">
      <c r="A5" s="712" t="s">
        <v>91</v>
      </c>
      <c r="B5" s="713">
        <v>0.5</v>
      </c>
      <c r="C5" s="714">
        <f>'Introducció dades'!C15</f>
        <v>0.16</v>
      </c>
    </row>
    <row r="6" spans="1:9" ht="13" hidden="1" x14ac:dyDescent="0.3">
      <c r="A6" s="712" t="s">
        <v>92</v>
      </c>
      <c r="B6" s="713">
        <v>0.5</v>
      </c>
      <c r="C6" s="714">
        <f>'Introducció dades'!C16</f>
        <v>0.16</v>
      </c>
      <c r="H6"/>
      <c r="I6"/>
    </row>
    <row r="7" spans="1:9" ht="13" hidden="1" x14ac:dyDescent="0.3">
      <c r="A7" s="712" t="s">
        <v>93</v>
      </c>
      <c r="B7" s="713">
        <v>0.5</v>
      </c>
      <c r="C7" s="714">
        <f>'Introducció dades'!C17</f>
        <v>0.16</v>
      </c>
    </row>
    <row r="8" spans="1:9" ht="13" x14ac:dyDescent="0.3">
      <c r="A8" s="417" t="s">
        <v>94</v>
      </c>
      <c r="B8" s="715"/>
      <c r="C8" s="714"/>
      <c r="E8" s="1654"/>
      <c r="F8" s="1654" t="s">
        <v>17</v>
      </c>
      <c r="G8" s="1654"/>
      <c r="H8" s="1654"/>
    </row>
    <row r="9" spans="1:9" ht="13" x14ac:dyDescent="0.3">
      <c r="A9" s="716" t="s">
        <v>95</v>
      </c>
      <c r="B9" s="713">
        <v>0.25</v>
      </c>
      <c r="C9" s="714">
        <v>0.21</v>
      </c>
      <c r="E9" s="1657"/>
      <c r="F9" s="1655" t="s">
        <v>719</v>
      </c>
      <c r="G9" s="1657"/>
      <c r="H9" s="1655"/>
    </row>
    <row r="10" spans="1:9" ht="13" x14ac:dyDescent="0.3">
      <c r="A10" s="716" t="s">
        <v>96</v>
      </c>
      <c r="B10" s="713">
        <v>0.25</v>
      </c>
      <c r="C10" s="714">
        <v>0.21</v>
      </c>
      <c r="E10" s="1657"/>
      <c r="F10" s="1655" t="s">
        <v>720</v>
      </c>
      <c r="G10" s="1657"/>
      <c r="H10" s="1656">
        <f>+'Introducció dades'!K220</f>
        <v>0</v>
      </c>
    </row>
    <row r="11" spans="1:9" ht="13" x14ac:dyDescent="0.3">
      <c r="A11" s="716" t="s">
        <v>97</v>
      </c>
      <c r="B11" s="713">
        <v>0.25</v>
      </c>
      <c r="C11" s="714">
        <v>0.21</v>
      </c>
    </row>
    <row r="12" spans="1:9" ht="13" x14ac:dyDescent="0.3">
      <c r="A12" s="716" t="s">
        <v>98</v>
      </c>
      <c r="B12" s="713">
        <v>0.25</v>
      </c>
      <c r="C12" s="714">
        <f>'Introducció dades'!C22</f>
        <v>0</v>
      </c>
    </row>
    <row r="13" spans="1:9" ht="13" x14ac:dyDescent="0.3">
      <c r="A13" s="417" t="s">
        <v>99</v>
      </c>
      <c r="B13" s="713"/>
      <c r="C13" s="714"/>
    </row>
    <row r="14" spans="1:9" ht="13" x14ac:dyDescent="0.3">
      <c r="A14" s="716" t="s">
        <v>100</v>
      </c>
      <c r="B14" s="713">
        <v>0</v>
      </c>
      <c r="C14" s="714">
        <v>0.1</v>
      </c>
    </row>
    <row r="15" spans="1:9" ht="13" x14ac:dyDescent="0.3">
      <c r="A15" s="716" t="s">
        <v>101</v>
      </c>
      <c r="B15" s="713">
        <v>0.05</v>
      </c>
      <c r="C15" s="714">
        <v>0.1</v>
      </c>
    </row>
    <row r="16" spans="1:9" ht="13" x14ac:dyDescent="0.3">
      <c r="A16" s="716" t="s">
        <v>102</v>
      </c>
      <c r="B16" s="713">
        <v>0.1</v>
      </c>
      <c r="C16" s="714">
        <v>0.21</v>
      </c>
    </row>
    <row r="17" spans="1:28" ht="13" x14ac:dyDescent="0.3">
      <c r="A17" s="716" t="s">
        <v>103</v>
      </c>
      <c r="B17" s="713">
        <v>0.2</v>
      </c>
      <c r="C17" s="714">
        <v>0.21</v>
      </c>
    </row>
    <row r="18" spans="1:28" ht="13" x14ac:dyDescent="0.3">
      <c r="A18" s="716" t="s">
        <v>104</v>
      </c>
      <c r="B18" s="713">
        <v>0.2</v>
      </c>
      <c r="C18" s="714">
        <v>0.21</v>
      </c>
    </row>
    <row r="19" spans="1:28" ht="13" x14ac:dyDescent="0.3">
      <c r="A19" s="716" t="s">
        <v>105</v>
      </c>
      <c r="B19" s="713">
        <v>0.2</v>
      </c>
      <c r="C19" s="714">
        <v>0.21</v>
      </c>
    </row>
    <row r="20" spans="1:28" ht="13" x14ac:dyDescent="0.3">
      <c r="A20" s="716" t="s">
        <v>106</v>
      </c>
      <c r="B20" s="713">
        <v>0.2</v>
      </c>
      <c r="C20" s="714">
        <v>0.21</v>
      </c>
    </row>
    <row r="21" spans="1:28" ht="13" x14ac:dyDescent="0.3">
      <c r="A21" s="716" t="s">
        <v>107</v>
      </c>
      <c r="B21" s="713">
        <v>0.2</v>
      </c>
      <c r="C21" s="714">
        <v>0.21</v>
      </c>
    </row>
    <row r="23" spans="1:28" ht="13" x14ac:dyDescent="0.3">
      <c r="A23" s="717" t="s">
        <v>17</v>
      </c>
      <c r="B23"/>
    </row>
    <row r="24" spans="1:28" ht="13" x14ac:dyDescent="0.3">
      <c r="A24" s="710"/>
      <c r="B24" s="710"/>
      <c r="C24" s="710"/>
    </row>
    <row r="25" spans="1:28" ht="13" x14ac:dyDescent="0.3">
      <c r="B25" s="1796" t="str">
        <f>ÍNDEX!D6</f>
        <v>GENER</v>
      </c>
      <c r="C25" s="1796"/>
      <c r="D25" s="1796" t="str">
        <f>ÍNDEX!E7</f>
        <v>FEBRER</v>
      </c>
      <c r="E25" s="1796"/>
      <c r="F25" s="1796" t="str">
        <f>ÍNDEX!F7</f>
        <v>MARÇ</v>
      </c>
      <c r="G25" s="1796"/>
      <c r="H25" s="1796" t="str">
        <f>ÍNDEX!G7</f>
        <v>ABRIL</v>
      </c>
      <c r="I25" s="1796"/>
      <c r="J25" s="1796" t="str">
        <f>ÍNDEX!H7</f>
        <v>MAIG</v>
      </c>
      <c r="K25" s="1796"/>
      <c r="L25" s="1796" t="str">
        <f>ÍNDEX!I7</f>
        <v>JUNY</v>
      </c>
      <c r="M25" s="1796"/>
      <c r="N25" s="1796" t="str">
        <f>ÍNDEX!J7</f>
        <v>JULIOL</v>
      </c>
      <c r="O25" s="1796"/>
      <c r="P25" s="1796" t="str">
        <f>ÍNDEX!K7</f>
        <v>AGOST</v>
      </c>
      <c r="Q25" s="1796"/>
      <c r="R25" s="1796" t="str">
        <f>ÍNDEX!L7</f>
        <v>SETEMBRE</v>
      </c>
      <c r="S25" s="1796"/>
      <c r="T25" s="1796" t="str">
        <f>ÍNDEX!M7</f>
        <v>OCTUBRE</v>
      </c>
      <c r="U25" s="1796"/>
      <c r="V25" s="1796" t="str">
        <f>ÍNDEX!N7</f>
        <v>NOVEMBRE</v>
      </c>
      <c r="W25" s="1796"/>
      <c r="X25" s="1796" t="str">
        <f>ÍNDEX!O7</f>
        <v>DESEMBRE</v>
      </c>
      <c r="Y25" s="1796"/>
      <c r="Z25" s="1797" t="s">
        <v>245</v>
      </c>
      <c r="AA25" s="1797"/>
    </row>
    <row r="26" spans="1:28" ht="13" x14ac:dyDescent="0.3">
      <c r="A26" s="718" t="s">
        <v>84</v>
      </c>
      <c r="B26" s="719" t="s">
        <v>245</v>
      </c>
      <c r="C26" s="720" t="s">
        <v>246</v>
      </c>
      <c r="D26" s="719" t="s">
        <v>245</v>
      </c>
      <c r="E26" s="720" t="s">
        <v>246</v>
      </c>
      <c r="F26" s="719" t="s">
        <v>245</v>
      </c>
      <c r="G26" s="720" t="s">
        <v>246</v>
      </c>
      <c r="H26" s="719" t="s">
        <v>245</v>
      </c>
      <c r="I26" s="720" t="s">
        <v>246</v>
      </c>
      <c r="J26" s="719" t="s">
        <v>245</v>
      </c>
      <c r="K26" s="720" t="s">
        <v>246</v>
      </c>
      <c r="L26" s="719" t="s">
        <v>245</v>
      </c>
      <c r="M26" s="720" t="s">
        <v>246</v>
      </c>
      <c r="N26" s="719" t="s">
        <v>245</v>
      </c>
      <c r="O26" s="720" t="s">
        <v>246</v>
      </c>
      <c r="P26" s="719" t="s">
        <v>245</v>
      </c>
      <c r="Q26" s="720" t="s">
        <v>246</v>
      </c>
      <c r="R26" s="719" t="s">
        <v>245</v>
      </c>
      <c r="S26" s="720" t="s">
        <v>246</v>
      </c>
      <c r="T26" s="719" t="s">
        <v>245</v>
      </c>
      <c r="U26" s="720" t="s">
        <v>246</v>
      </c>
      <c r="V26" s="719" t="s">
        <v>245</v>
      </c>
      <c r="W26" s="720" t="s">
        <v>246</v>
      </c>
      <c r="X26" s="719" t="s">
        <v>245</v>
      </c>
      <c r="Y26" s="720" t="s">
        <v>246</v>
      </c>
      <c r="Z26" s="721" t="s">
        <v>245</v>
      </c>
      <c r="AA26" s="722" t="s">
        <v>246</v>
      </c>
    </row>
    <row r="27" spans="1:28" s="9" customFormat="1" ht="13" x14ac:dyDescent="0.3">
      <c r="A27" s="153" t="str">
        <f>A8</f>
        <v>INVERSIONS IMMATERIALS</v>
      </c>
      <c r="B27" s="723">
        <f t="shared" ref="B27:AA27" si="0">SUM(B28:B30)</f>
        <v>0</v>
      </c>
      <c r="C27" s="724">
        <f t="shared" si="0"/>
        <v>0</v>
      </c>
      <c r="D27" s="723">
        <f t="shared" si="0"/>
        <v>0</v>
      </c>
      <c r="E27" s="724">
        <f t="shared" si="0"/>
        <v>0</v>
      </c>
      <c r="F27" s="723">
        <f t="shared" si="0"/>
        <v>0</v>
      </c>
      <c r="G27" s="724">
        <f t="shared" si="0"/>
        <v>0</v>
      </c>
      <c r="H27" s="723">
        <f t="shared" si="0"/>
        <v>0</v>
      </c>
      <c r="I27" s="724">
        <f t="shared" si="0"/>
        <v>0</v>
      </c>
      <c r="J27" s="723">
        <f t="shared" si="0"/>
        <v>0</v>
      </c>
      <c r="K27" s="724">
        <f t="shared" si="0"/>
        <v>0</v>
      </c>
      <c r="L27" s="723">
        <f t="shared" si="0"/>
        <v>0</v>
      </c>
      <c r="M27" s="724">
        <f t="shared" si="0"/>
        <v>0</v>
      </c>
      <c r="N27" s="723">
        <f t="shared" si="0"/>
        <v>0</v>
      </c>
      <c r="O27" s="724">
        <f t="shared" si="0"/>
        <v>0</v>
      </c>
      <c r="P27" s="723">
        <f t="shared" si="0"/>
        <v>0</v>
      </c>
      <c r="Q27" s="724">
        <f t="shared" si="0"/>
        <v>0</v>
      </c>
      <c r="R27" s="723">
        <f t="shared" si="0"/>
        <v>0</v>
      </c>
      <c r="S27" s="724">
        <f t="shared" si="0"/>
        <v>0</v>
      </c>
      <c r="T27" s="723">
        <f t="shared" si="0"/>
        <v>0</v>
      </c>
      <c r="U27" s="724">
        <f t="shared" si="0"/>
        <v>0</v>
      </c>
      <c r="V27" s="723">
        <f t="shared" si="0"/>
        <v>0</v>
      </c>
      <c r="W27" s="724">
        <f t="shared" si="0"/>
        <v>0</v>
      </c>
      <c r="X27" s="723">
        <f t="shared" si="0"/>
        <v>0</v>
      </c>
      <c r="Y27" s="724">
        <f t="shared" si="0"/>
        <v>0</v>
      </c>
      <c r="Z27" s="725">
        <f t="shared" si="0"/>
        <v>0</v>
      </c>
      <c r="AA27" s="726">
        <f t="shared" si="0"/>
        <v>0</v>
      </c>
      <c r="AB27" s="18"/>
    </row>
    <row r="28" spans="1:28" ht="13" x14ac:dyDescent="0.3">
      <c r="A28" s="727" t="str">
        <f>A9</f>
        <v>Propietat industrial (patents i marques)</v>
      </c>
      <c r="B28" s="728">
        <f>'Introducció dades'!C35</f>
        <v>0</v>
      </c>
      <c r="C28" s="738">
        <f>B28/(1+$C9)</f>
        <v>0</v>
      </c>
      <c r="D28" s="728">
        <f>'Introducció dades'!D35</f>
        <v>0</v>
      </c>
      <c r="E28" s="738">
        <f>D28/(1+$C9)</f>
        <v>0</v>
      </c>
      <c r="F28" s="728">
        <f>'Introducció dades'!E35</f>
        <v>0</v>
      </c>
      <c r="G28" s="738">
        <f>F28/(1+$C9)</f>
        <v>0</v>
      </c>
      <c r="H28" s="728">
        <f>'Introducció dades'!F35</f>
        <v>0</v>
      </c>
      <c r="I28" s="738">
        <f>H28/(1+$C9)</f>
        <v>0</v>
      </c>
      <c r="J28" s="728">
        <f>'Introducció dades'!G35</f>
        <v>0</v>
      </c>
      <c r="K28" s="738">
        <f>J28/(1+$C9)</f>
        <v>0</v>
      </c>
      <c r="L28" s="728">
        <f>'Introducció dades'!H35</f>
        <v>0</v>
      </c>
      <c r="M28" s="738">
        <f>L28/(1+$C9)</f>
        <v>0</v>
      </c>
      <c r="N28" s="728">
        <f>'Introducció dades'!I35</f>
        <v>0</v>
      </c>
      <c r="O28" s="738">
        <f>N28/(1+$C9)</f>
        <v>0</v>
      </c>
      <c r="P28" s="728">
        <f>'Introducció dades'!J35</f>
        <v>0</v>
      </c>
      <c r="Q28" s="738">
        <f>P28/(1+$C9)</f>
        <v>0</v>
      </c>
      <c r="R28" s="728">
        <f>'Introducció dades'!K35</f>
        <v>0</v>
      </c>
      <c r="S28" s="738">
        <f>R28/(1+$C9)</f>
        <v>0</v>
      </c>
      <c r="T28" s="728">
        <f>'Introducció dades'!L35</f>
        <v>0</v>
      </c>
      <c r="U28" s="738">
        <f>T28/(1+$C9)</f>
        <v>0</v>
      </c>
      <c r="V28" s="728">
        <f>'Introducció dades'!M35</f>
        <v>0</v>
      </c>
      <c r="W28" s="738">
        <f>V28/(1+$C9)</f>
        <v>0</v>
      </c>
      <c r="X28" s="728">
        <f>'Introducció dades'!N35</f>
        <v>0</v>
      </c>
      <c r="Y28" s="738">
        <f>X28/(1+$C9)</f>
        <v>0</v>
      </c>
      <c r="Z28" s="729">
        <f t="shared" ref="Z28:AA30" si="1">X28+V28+T28+R28+P28+N28+L28+J28+H28+F28+D28+B28</f>
        <v>0</v>
      </c>
      <c r="AA28" s="730">
        <f t="shared" si="1"/>
        <v>0</v>
      </c>
      <c r="AB28" s="12"/>
    </row>
    <row r="29" spans="1:28" ht="13" x14ac:dyDescent="0.3">
      <c r="A29" s="731" t="str">
        <f>A10</f>
        <v>Drets de traspàs</v>
      </c>
      <c r="B29" s="728">
        <f>'Introducció dades'!C36</f>
        <v>0</v>
      </c>
      <c r="C29" s="739">
        <f>B29/(1+$C10)</f>
        <v>0</v>
      </c>
      <c r="D29" s="728">
        <f>'Introducció dades'!D36</f>
        <v>0</v>
      </c>
      <c r="E29" s="739">
        <f>D29/(1+$C10)</f>
        <v>0</v>
      </c>
      <c r="F29" s="728">
        <f>'Introducció dades'!E36</f>
        <v>0</v>
      </c>
      <c r="G29" s="739">
        <f>F29/(1+$C10)</f>
        <v>0</v>
      </c>
      <c r="H29" s="728">
        <f>'Introducció dades'!F36</f>
        <v>0</v>
      </c>
      <c r="I29" s="739">
        <f>H29/(1+$C10)</f>
        <v>0</v>
      </c>
      <c r="J29" s="728">
        <f>'Introducció dades'!G36</f>
        <v>0</v>
      </c>
      <c r="K29" s="739">
        <f>J29/(1+$C10)</f>
        <v>0</v>
      </c>
      <c r="L29" s="728">
        <f>'Introducció dades'!H36</f>
        <v>0</v>
      </c>
      <c r="M29" s="739">
        <f>L29/(1+$C10)</f>
        <v>0</v>
      </c>
      <c r="N29" s="728">
        <f>'Introducció dades'!I36</f>
        <v>0</v>
      </c>
      <c r="O29" s="739">
        <f>N29/(1+$C10)</f>
        <v>0</v>
      </c>
      <c r="P29" s="728">
        <f>'Introducció dades'!J36</f>
        <v>0</v>
      </c>
      <c r="Q29" s="739">
        <f>P29/(1+$C10)</f>
        <v>0</v>
      </c>
      <c r="R29" s="728">
        <f>'Introducció dades'!K36</f>
        <v>0</v>
      </c>
      <c r="S29" s="739">
        <f>R29/(1+$C10)</f>
        <v>0</v>
      </c>
      <c r="T29" s="728">
        <f>'Introducció dades'!L36</f>
        <v>0</v>
      </c>
      <c r="U29" s="739">
        <f>T29/(1+$C10)</f>
        <v>0</v>
      </c>
      <c r="V29" s="728">
        <f>'Introducció dades'!M36</f>
        <v>0</v>
      </c>
      <c r="W29" s="739">
        <f>V29/(1+$C10)</f>
        <v>0</v>
      </c>
      <c r="X29" s="728">
        <f>'Introducció dades'!N36</f>
        <v>0</v>
      </c>
      <c r="Y29" s="739">
        <f>X29/(1+$C10)</f>
        <v>0</v>
      </c>
      <c r="Z29" s="732">
        <f t="shared" si="1"/>
        <v>0</v>
      </c>
      <c r="AA29" s="733">
        <f t="shared" si="1"/>
        <v>0</v>
      </c>
      <c r="AB29" s="12"/>
    </row>
    <row r="30" spans="1:28" ht="13" x14ac:dyDescent="0.3">
      <c r="A30" s="731" t="str">
        <f>A11</f>
        <v>Aplicacions informàtiques</v>
      </c>
      <c r="B30" s="728">
        <f>'Introducció dades'!C37</f>
        <v>0</v>
      </c>
      <c r="C30" s="739">
        <f>B30/(1+$C11)</f>
        <v>0</v>
      </c>
      <c r="D30" s="728">
        <f>'Introducció dades'!D37</f>
        <v>0</v>
      </c>
      <c r="E30" s="739">
        <f>D30/(1+$C11)</f>
        <v>0</v>
      </c>
      <c r="F30" s="728">
        <f>'Introducció dades'!E37</f>
        <v>0</v>
      </c>
      <c r="G30" s="739">
        <f>F30/(1+$C11)</f>
        <v>0</v>
      </c>
      <c r="H30" s="728">
        <f>'Introducció dades'!F37</f>
        <v>0</v>
      </c>
      <c r="I30" s="739">
        <f>H30/(1+$C11)</f>
        <v>0</v>
      </c>
      <c r="J30" s="728">
        <f>'Introducció dades'!G37</f>
        <v>0</v>
      </c>
      <c r="K30" s="739">
        <f>J30/(1+$C11)</f>
        <v>0</v>
      </c>
      <c r="L30" s="728">
        <f>'Introducció dades'!H37</f>
        <v>0</v>
      </c>
      <c r="M30" s="739">
        <f>L30/(1+$C11)</f>
        <v>0</v>
      </c>
      <c r="N30" s="728">
        <f>'Introducció dades'!I37</f>
        <v>0</v>
      </c>
      <c r="O30" s="739">
        <f>N30/(1+$C11)</f>
        <v>0</v>
      </c>
      <c r="P30" s="728">
        <f>'Introducció dades'!J37</f>
        <v>0</v>
      </c>
      <c r="Q30" s="739">
        <f>P30/(1+$C11)</f>
        <v>0</v>
      </c>
      <c r="R30" s="728">
        <f>'Introducció dades'!K37</f>
        <v>0</v>
      </c>
      <c r="S30" s="739">
        <f>R30/(1+$C11)</f>
        <v>0</v>
      </c>
      <c r="T30" s="728">
        <f>'Introducció dades'!L37</f>
        <v>0</v>
      </c>
      <c r="U30" s="739">
        <f>T30/(1+$C11)</f>
        <v>0</v>
      </c>
      <c r="V30" s="728">
        <f>'Introducció dades'!M37</f>
        <v>0</v>
      </c>
      <c r="W30" s="739">
        <f>V30/(1+$C11)</f>
        <v>0</v>
      </c>
      <c r="X30" s="728">
        <f>'Introducció dades'!N37</f>
        <v>0</v>
      </c>
      <c r="Y30" s="739">
        <f>X30/(1+$C11)</f>
        <v>0</v>
      </c>
      <c r="Z30" s="732">
        <f t="shared" si="1"/>
        <v>0</v>
      </c>
      <c r="AA30" s="733">
        <f t="shared" si="1"/>
        <v>0</v>
      </c>
      <c r="AB30" s="12"/>
    </row>
    <row r="31" spans="1:28" s="9" customFormat="1" ht="13" x14ac:dyDescent="0.3">
      <c r="A31" s="153" t="str">
        <f>A13</f>
        <v>INVERSIONS MATERIALS</v>
      </c>
      <c r="B31" s="723">
        <f>SUM(B32:B35)+SUM(B38:B41)</f>
        <v>0</v>
      </c>
      <c r="C31" s="724">
        <f>SUM(C32:C35)+SUM(C38:C41)</f>
        <v>0</v>
      </c>
      <c r="D31" s="723">
        <f t="shared" ref="D31:Y31" si="2">SUM(D32:D35)+SUM(D38:D41)</f>
        <v>0</v>
      </c>
      <c r="E31" s="724">
        <f t="shared" si="2"/>
        <v>0</v>
      </c>
      <c r="F31" s="723">
        <f t="shared" si="2"/>
        <v>0</v>
      </c>
      <c r="G31" s="724">
        <f t="shared" si="2"/>
        <v>0</v>
      </c>
      <c r="H31" s="723">
        <f t="shared" si="2"/>
        <v>0</v>
      </c>
      <c r="I31" s="724">
        <f t="shared" si="2"/>
        <v>0</v>
      </c>
      <c r="J31" s="723">
        <f t="shared" si="2"/>
        <v>0</v>
      </c>
      <c r="K31" s="724">
        <f t="shared" si="2"/>
        <v>0</v>
      </c>
      <c r="L31" s="723">
        <f t="shared" si="2"/>
        <v>0</v>
      </c>
      <c r="M31" s="724">
        <f t="shared" si="2"/>
        <v>0</v>
      </c>
      <c r="N31" s="723">
        <f t="shared" si="2"/>
        <v>0</v>
      </c>
      <c r="O31" s="724">
        <f t="shared" si="2"/>
        <v>0</v>
      </c>
      <c r="P31" s="723">
        <f t="shared" si="2"/>
        <v>0</v>
      </c>
      <c r="Q31" s="724">
        <f t="shared" si="2"/>
        <v>0</v>
      </c>
      <c r="R31" s="723">
        <f t="shared" si="2"/>
        <v>0</v>
      </c>
      <c r="S31" s="724">
        <f t="shared" si="2"/>
        <v>0</v>
      </c>
      <c r="T31" s="723">
        <f t="shared" si="2"/>
        <v>0</v>
      </c>
      <c r="U31" s="724">
        <f t="shared" si="2"/>
        <v>0</v>
      </c>
      <c r="V31" s="723">
        <f t="shared" si="2"/>
        <v>0</v>
      </c>
      <c r="W31" s="724">
        <f t="shared" si="2"/>
        <v>0</v>
      </c>
      <c r="X31" s="723">
        <f t="shared" si="2"/>
        <v>0</v>
      </c>
      <c r="Y31" s="724">
        <f t="shared" si="2"/>
        <v>0</v>
      </c>
      <c r="Z31" s="725">
        <f>SUM(Z32:Z35)+SUM(Z38:Z41)</f>
        <v>0</v>
      </c>
      <c r="AA31" s="726">
        <f>SUM(AA32:AA35)+SUM(AA38:AA41)</f>
        <v>0</v>
      </c>
      <c r="AB31" s="18"/>
    </row>
    <row r="32" spans="1:28" ht="13" x14ac:dyDescent="0.3">
      <c r="A32" s="727" t="str">
        <f>A14</f>
        <v>Terrenys</v>
      </c>
      <c r="B32" s="728">
        <f>'Introducció dades'!C39</f>
        <v>0</v>
      </c>
      <c r="C32" s="738">
        <f>B32/(1+$C14)</f>
        <v>0</v>
      </c>
      <c r="D32" s="728">
        <f>'Introducció dades'!D39</f>
        <v>0</v>
      </c>
      <c r="E32" s="738">
        <f>D32/(1+$C14)</f>
        <v>0</v>
      </c>
      <c r="F32" s="728">
        <f>'Introducció dades'!E39</f>
        <v>0</v>
      </c>
      <c r="G32" s="738">
        <f>F32/(1+$C14)</f>
        <v>0</v>
      </c>
      <c r="H32" s="728">
        <f>'Introducció dades'!F39</f>
        <v>0</v>
      </c>
      <c r="I32" s="738">
        <f>H32/(1+$C14)</f>
        <v>0</v>
      </c>
      <c r="J32" s="728">
        <f>'Introducció dades'!G39</f>
        <v>0</v>
      </c>
      <c r="K32" s="738">
        <f>J32/(1+$C14)</f>
        <v>0</v>
      </c>
      <c r="L32" s="728">
        <f>'Introducció dades'!H39</f>
        <v>0</v>
      </c>
      <c r="M32" s="738">
        <f>L32/(1+$C14)</f>
        <v>0</v>
      </c>
      <c r="N32" s="728">
        <f>'Introducció dades'!I39</f>
        <v>0</v>
      </c>
      <c r="O32" s="738">
        <f>N32/(1+$C14)</f>
        <v>0</v>
      </c>
      <c r="P32" s="728">
        <f>'Introducció dades'!J39</f>
        <v>0</v>
      </c>
      <c r="Q32" s="738">
        <f>P32/(1+$C14)</f>
        <v>0</v>
      </c>
      <c r="R32" s="728">
        <f>'Introducció dades'!K39</f>
        <v>0</v>
      </c>
      <c r="S32" s="738">
        <f>R32/(1+$C14)</f>
        <v>0</v>
      </c>
      <c r="T32" s="728">
        <f>'Introducció dades'!L39</f>
        <v>0</v>
      </c>
      <c r="U32" s="738">
        <f>T32/(1+$C14)</f>
        <v>0</v>
      </c>
      <c r="V32" s="728">
        <f>'Introducció dades'!M39</f>
        <v>0</v>
      </c>
      <c r="W32" s="738">
        <f>V32/(1+$C14)</f>
        <v>0</v>
      </c>
      <c r="X32" s="728">
        <f>'Introducció dades'!N39</f>
        <v>0</v>
      </c>
      <c r="Y32" s="738">
        <f>X32/(1+$C14)</f>
        <v>0</v>
      </c>
      <c r="Z32" s="729">
        <f t="shared" ref="Z32:AA34" si="3">X32+V32+T32+R32+P32+N32+L32+J32+H32+F32+D32+B32</f>
        <v>0</v>
      </c>
      <c r="AA32" s="730">
        <f t="shared" si="3"/>
        <v>0</v>
      </c>
      <c r="AB32" s="12"/>
    </row>
    <row r="33" spans="1:28" ht="13" x14ac:dyDescent="0.3">
      <c r="A33" s="731" t="str">
        <f>A15</f>
        <v>Construccions</v>
      </c>
      <c r="B33" s="728">
        <f>'Introducció dades'!C40</f>
        <v>0</v>
      </c>
      <c r="C33" s="739">
        <f>B33/(1+$C15)</f>
        <v>0</v>
      </c>
      <c r="D33" s="728">
        <f>'Introducció dades'!D40</f>
        <v>0</v>
      </c>
      <c r="E33" s="739">
        <f>D33/(1+$C15)</f>
        <v>0</v>
      </c>
      <c r="F33" s="728">
        <f>'Introducció dades'!E40</f>
        <v>0</v>
      </c>
      <c r="G33" s="739">
        <f>F33/(1+$C15)</f>
        <v>0</v>
      </c>
      <c r="H33" s="728">
        <f>'Introducció dades'!F40</f>
        <v>0</v>
      </c>
      <c r="I33" s="739">
        <f>H33/(1+$C15)</f>
        <v>0</v>
      </c>
      <c r="J33" s="728">
        <f>'Introducció dades'!G40</f>
        <v>0</v>
      </c>
      <c r="K33" s="739">
        <f>J33/(1+$C15)</f>
        <v>0</v>
      </c>
      <c r="L33" s="728">
        <f>'Introducció dades'!H40</f>
        <v>0</v>
      </c>
      <c r="M33" s="739">
        <f>L33/(1+$C15)</f>
        <v>0</v>
      </c>
      <c r="N33" s="728">
        <f>'Introducció dades'!I40</f>
        <v>0</v>
      </c>
      <c r="O33" s="739">
        <f>N33/(1+$C15)</f>
        <v>0</v>
      </c>
      <c r="P33" s="728">
        <f>'Introducció dades'!J40</f>
        <v>0</v>
      </c>
      <c r="Q33" s="739">
        <f>P33/(1+$C15)</f>
        <v>0</v>
      </c>
      <c r="R33" s="728">
        <f>'Introducció dades'!K40</f>
        <v>0</v>
      </c>
      <c r="S33" s="739">
        <f>R33/(1+$C15)</f>
        <v>0</v>
      </c>
      <c r="T33" s="728">
        <f>'Introducció dades'!L40</f>
        <v>0</v>
      </c>
      <c r="U33" s="739">
        <f>T33/(1+$C15)</f>
        <v>0</v>
      </c>
      <c r="V33" s="728">
        <f>'Introducció dades'!M40</f>
        <v>0</v>
      </c>
      <c r="W33" s="739">
        <f>V33/(1+$C15)</f>
        <v>0</v>
      </c>
      <c r="X33" s="728">
        <f>'Introducció dades'!N40</f>
        <v>0</v>
      </c>
      <c r="Y33" s="739">
        <f>X33/(1+$C15)</f>
        <v>0</v>
      </c>
      <c r="Z33" s="732">
        <f t="shared" si="3"/>
        <v>0</v>
      </c>
      <c r="AA33" s="733">
        <f t="shared" si="3"/>
        <v>0</v>
      </c>
      <c r="AB33" s="12"/>
    </row>
    <row r="34" spans="1:28" ht="13" x14ac:dyDescent="0.3">
      <c r="A34" s="731" t="str">
        <f>A16</f>
        <v>Maquinària</v>
      </c>
      <c r="B34" s="728">
        <f>'Introducció dades'!C41</f>
        <v>0</v>
      </c>
      <c r="C34" s="739">
        <f>B34/(1+$C16)</f>
        <v>0</v>
      </c>
      <c r="D34" s="728">
        <f>'Introducció dades'!D41</f>
        <v>0</v>
      </c>
      <c r="E34" s="739">
        <f>D34/(1+$C16)</f>
        <v>0</v>
      </c>
      <c r="F34" s="728">
        <f>'Introducció dades'!E41</f>
        <v>0</v>
      </c>
      <c r="G34" s="739">
        <f>F34/(1+$C16)</f>
        <v>0</v>
      </c>
      <c r="H34" s="728">
        <f>'Introducció dades'!F41</f>
        <v>0</v>
      </c>
      <c r="I34" s="739">
        <f>H34/(1+$C16)</f>
        <v>0</v>
      </c>
      <c r="J34" s="728">
        <f>'Introducció dades'!G41</f>
        <v>0</v>
      </c>
      <c r="K34" s="739">
        <f>J34/(1+$C16)</f>
        <v>0</v>
      </c>
      <c r="L34" s="728">
        <f>'Introducció dades'!H41</f>
        <v>0</v>
      </c>
      <c r="M34" s="739">
        <f>L34/(1+$C16)</f>
        <v>0</v>
      </c>
      <c r="N34" s="728">
        <f>'Introducció dades'!I41</f>
        <v>0</v>
      </c>
      <c r="O34" s="739">
        <f>N34/(1+$C16)</f>
        <v>0</v>
      </c>
      <c r="P34" s="728">
        <f>'Introducció dades'!J41</f>
        <v>0</v>
      </c>
      <c r="Q34" s="739">
        <f>P34/(1+$C16)</f>
        <v>0</v>
      </c>
      <c r="R34" s="728">
        <f>'Introducció dades'!K41</f>
        <v>0</v>
      </c>
      <c r="S34" s="739">
        <f>R34/(1+$C16)</f>
        <v>0</v>
      </c>
      <c r="T34" s="728">
        <f>'Introducció dades'!L41</f>
        <v>0</v>
      </c>
      <c r="U34" s="739">
        <f>T34/(1+$C16)</f>
        <v>0</v>
      </c>
      <c r="V34" s="728">
        <f>'Introducció dades'!M41</f>
        <v>0</v>
      </c>
      <c r="W34" s="739">
        <f>V34/(1+$C16)</f>
        <v>0</v>
      </c>
      <c r="X34" s="728">
        <f>'Introducció dades'!N41</f>
        <v>0</v>
      </c>
      <c r="Y34" s="739">
        <f>X34/(1+$C16)</f>
        <v>0</v>
      </c>
      <c r="Z34" s="732">
        <f t="shared" si="3"/>
        <v>0</v>
      </c>
      <c r="AA34" s="733">
        <f t="shared" si="3"/>
        <v>0</v>
      </c>
      <c r="AB34" s="12"/>
    </row>
    <row r="35" spans="1:28" ht="13" x14ac:dyDescent="0.3">
      <c r="A35" s="740" t="str">
        <f>A17</f>
        <v>Altres instal·lacions</v>
      </c>
      <c r="B35" s="741">
        <f>SUM(B36:B37)</f>
        <v>0</v>
      </c>
      <c r="C35" s="746">
        <f>B35/(1+$C17)</f>
        <v>0</v>
      </c>
      <c r="D35" s="741">
        <f>SUM(D36:D37)</f>
        <v>0</v>
      </c>
      <c r="E35" s="746">
        <f>D35/(1+$C17)</f>
        <v>0</v>
      </c>
      <c r="F35" s="741">
        <f>SUM(F36:F37)</f>
        <v>0</v>
      </c>
      <c r="G35" s="746">
        <f>F35/(1+$C17)</f>
        <v>0</v>
      </c>
      <c r="H35" s="741">
        <f>SUM(H36:H37)</f>
        <v>0</v>
      </c>
      <c r="I35" s="746">
        <f>H35/(1+$C17)</f>
        <v>0</v>
      </c>
      <c r="J35" s="741">
        <f>SUM(J36:J37)</f>
        <v>0</v>
      </c>
      <c r="K35" s="746">
        <f>J35/(1+$C17)</f>
        <v>0</v>
      </c>
      <c r="L35" s="741">
        <f>SUM(L36:L37)</f>
        <v>0</v>
      </c>
      <c r="M35" s="746">
        <f>L35/(1+$C17)</f>
        <v>0</v>
      </c>
      <c r="N35" s="741">
        <f>SUM(N36:N37)</f>
        <v>0</v>
      </c>
      <c r="O35" s="746">
        <f>N35/(1+$C17)</f>
        <v>0</v>
      </c>
      <c r="P35" s="741">
        <f>SUM(P36:P37)</f>
        <v>0</v>
      </c>
      <c r="Q35" s="746">
        <f>P35/(1+$C17)</f>
        <v>0</v>
      </c>
      <c r="R35" s="741">
        <f>SUM(R36:R37)</f>
        <v>0</v>
      </c>
      <c r="S35" s="746">
        <f>R35/(1+$C17)</f>
        <v>0</v>
      </c>
      <c r="T35" s="741">
        <f>SUM(T36:T37)</f>
        <v>0</v>
      </c>
      <c r="U35" s="746">
        <f>T35/(1+$C17)</f>
        <v>0</v>
      </c>
      <c r="V35" s="741">
        <f>SUM(V36:V37)</f>
        <v>0</v>
      </c>
      <c r="W35" s="746">
        <f>V35/(1+$C17)</f>
        <v>0</v>
      </c>
      <c r="X35" s="741">
        <f>SUM(X36:X37)</f>
        <v>0</v>
      </c>
      <c r="Y35" s="746">
        <f>X35/(1+$C17)</f>
        <v>0</v>
      </c>
      <c r="Z35" s="747">
        <f>SUM(Z36:Z37)</f>
        <v>0</v>
      </c>
      <c r="AA35" s="748">
        <f>SUM(AA36:AA37)</f>
        <v>0</v>
      </c>
      <c r="AB35" s="12"/>
    </row>
    <row r="36" spans="1:28" x14ac:dyDescent="0.25">
      <c r="A36" s="749" t="s">
        <v>247</v>
      </c>
      <c r="B36" s="742">
        <f>'Introducció dades'!C43</f>
        <v>0</v>
      </c>
      <c r="C36" s="743">
        <f>B36/(1+$C17)</f>
        <v>0</v>
      </c>
      <c r="D36" s="742">
        <f>'Introducció dades'!D43</f>
        <v>0</v>
      </c>
      <c r="E36" s="743">
        <f>D36/(1+$C17)</f>
        <v>0</v>
      </c>
      <c r="F36" s="742">
        <f>'Introducció dades'!E43</f>
        <v>0</v>
      </c>
      <c r="G36" s="743">
        <f>F36/(1+$C17)</f>
        <v>0</v>
      </c>
      <c r="H36" s="742">
        <f>'Introducció dades'!F43</f>
        <v>0</v>
      </c>
      <c r="I36" s="743">
        <f>H36/(1+$C17)</f>
        <v>0</v>
      </c>
      <c r="J36" s="742">
        <f>'Introducció dades'!G43</f>
        <v>0</v>
      </c>
      <c r="K36" s="743">
        <f>J36/(1+$C17)</f>
        <v>0</v>
      </c>
      <c r="L36" s="742">
        <f>'Introducció dades'!H43</f>
        <v>0</v>
      </c>
      <c r="M36" s="743">
        <f>L36/(1+$C17)</f>
        <v>0</v>
      </c>
      <c r="N36" s="742">
        <f>'Introducció dades'!I43</f>
        <v>0</v>
      </c>
      <c r="O36" s="743">
        <f>N36/(1+$C17)</f>
        <v>0</v>
      </c>
      <c r="P36" s="742">
        <f>'Introducció dades'!J43</f>
        <v>0</v>
      </c>
      <c r="Q36" s="743">
        <f>P36/(1+$C17)</f>
        <v>0</v>
      </c>
      <c r="R36" s="742">
        <f>'Introducció dades'!K43</f>
        <v>0</v>
      </c>
      <c r="S36" s="743">
        <f>R36/(1+$C17)</f>
        <v>0</v>
      </c>
      <c r="T36" s="742">
        <f>'Introducció dades'!L43</f>
        <v>0</v>
      </c>
      <c r="U36" s="743">
        <f>T36/(1+$C17)</f>
        <v>0</v>
      </c>
      <c r="V36" s="742">
        <f>'Introducció dades'!M43</f>
        <v>0</v>
      </c>
      <c r="W36" s="743">
        <f>V36/(1+$C17)</f>
        <v>0</v>
      </c>
      <c r="X36" s="742">
        <f>'Introducció dades'!N43</f>
        <v>0</v>
      </c>
      <c r="Y36" s="743">
        <f>X36/(1+$C17)</f>
        <v>0</v>
      </c>
      <c r="Z36" s="744">
        <f>X36+V36+T36+R36+P36+N36+L36+J36+H36+F36+D36+B36</f>
        <v>0</v>
      </c>
      <c r="AA36" s="745">
        <f>Y36+W36+U36+S36+Q36+O36+M36+K36+I36+G36+E36+C36</f>
        <v>0</v>
      </c>
      <c r="AB36" s="12"/>
    </row>
    <row r="37" spans="1:28" x14ac:dyDescent="0.25">
      <c r="A37" s="750" t="s">
        <v>248</v>
      </c>
      <c r="B37" s="742">
        <f>'Introducció dades'!C44</f>
        <v>0</v>
      </c>
      <c r="C37" s="751">
        <f>B37/(1+$C17)</f>
        <v>0</v>
      </c>
      <c r="D37" s="742">
        <f>'Introducció dades'!D44</f>
        <v>0</v>
      </c>
      <c r="E37" s="751">
        <f>D37/(1+$C17)</f>
        <v>0</v>
      </c>
      <c r="F37" s="742">
        <f>'Introducció dades'!E44</f>
        <v>0</v>
      </c>
      <c r="G37" s="751">
        <f>F37/(1+$C17)</f>
        <v>0</v>
      </c>
      <c r="H37" s="742">
        <f>'Introducció dades'!F44</f>
        <v>0</v>
      </c>
      <c r="I37" s="751">
        <f>H37/(1+$C17)</f>
        <v>0</v>
      </c>
      <c r="J37" s="742">
        <f>'Introducció dades'!G44</f>
        <v>0</v>
      </c>
      <c r="K37" s="751">
        <f>J37/(1+$C17)</f>
        <v>0</v>
      </c>
      <c r="L37" s="742">
        <f>'Introducció dades'!H44</f>
        <v>0</v>
      </c>
      <c r="M37" s="751">
        <f>L37/(1+$C17)</f>
        <v>0</v>
      </c>
      <c r="N37" s="742">
        <f>'Introducció dades'!I44</f>
        <v>0</v>
      </c>
      <c r="O37" s="751">
        <f>N37/(1+$C17)</f>
        <v>0</v>
      </c>
      <c r="P37" s="742">
        <f>'Introducció dades'!J44</f>
        <v>0</v>
      </c>
      <c r="Q37" s="751">
        <f>P37/(1+$C17)</f>
        <v>0</v>
      </c>
      <c r="R37" s="742">
        <f>'Introducció dades'!K44</f>
        <v>0</v>
      </c>
      <c r="S37" s="751">
        <f>R37/(1+$C17)</f>
        <v>0</v>
      </c>
      <c r="T37" s="742">
        <f>'Introducció dades'!L44</f>
        <v>0</v>
      </c>
      <c r="U37" s="751">
        <f>T37/(1+$C17)</f>
        <v>0</v>
      </c>
      <c r="V37" s="742">
        <f>'Introducció dades'!M44</f>
        <v>0</v>
      </c>
      <c r="W37" s="751">
        <f>V37/(1+$C17)</f>
        <v>0</v>
      </c>
      <c r="X37" s="742">
        <f>'Introducció dades'!N44</f>
        <v>0</v>
      </c>
      <c r="Y37" s="751">
        <f>X37/(1+$C17)</f>
        <v>0</v>
      </c>
      <c r="Z37" s="752">
        <f t="shared" ref="Z37:AA41" si="4">X37+V37+T37+R37+P37+N37+L37+J37+H37+F37+D37+B37</f>
        <v>0</v>
      </c>
      <c r="AA37" s="753">
        <f t="shared" si="4"/>
        <v>0</v>
      </c>
      <c r="AB37" s="12"/>
    </row>
    <row r="38" spans="1:28" ht="13" x14ac:dyDescent="0.3">
      <c r="A38" s="731" t="str">
        <f>A18</f>
        <v>Mobiliari</v>
      </c>
      <c r="B38" s="754">
        <f>'Introducció dades'!C45</f>
        <v>0</v>
      </c>
      <c r="C38" s="739">
        <f>B38/(1+$C18)</f>
        <v>0</v>
      </c>
      <c r="D38" s="754">
        <f>'Introducció dades'!D45</f>
        <v>0</v>
      </c>
      <c r="E38" s="739">
        <f>D38/(1+$C18)</f>
        <v>0</v>
      </c>
      <c r="F38" s="754">
        <f>'Introducció dades'!E45</f>
        <v>0</v>
      </c>
      <c r="G38" s="739">
        <f>F38/(1+$C18)</f>
        <v>0</v>
      </c>
      <c r="H38" s="754">
        <f>'Introducció dades'!F45</f>
        <v>0</v>
      </c>
      <c r="I38" s="739">
        <f>H38/(1+$C18)</f>
        <v>0</v>
      </c>
      <c r="J38" s="754">
        <f>'Introducció dades'!G45</f>
        <v>0</v>
      </c>
      <c r="K38" s="739">
        <f>J38/(1+$C18)</f>
        <v>0</v>
      </c>
      <c r="L38" s="754">
        <f>'Introducció dades'!H45</f>
        <v>0</v>
      </c>
      <c r="M38" s="739">
        <f>L38/(1+$C18)</f>
        <v>0</v>
      </c>
      <c r="N38" s="754">
        <f>'Introducció dades'!I45</f>
        <v>0</v>
      </c>
      <c r="O38" s="739">
        <f>N38/(1+$C18)</f>
        <v>0</v>
      </c>
      <c r="P38" s="754">
        <f>'Introducció dades'!J45</f>
        <v>0</v>
      </c>
      <c r="Q38" s="739">
        <f>P38/(1+$C18)</f>
        <v>0</v>
      </c>
      <c r="R38" s="754">
        <f>'Introducció dades'!K45</f>
        <v>0</v>
      </c>
      <c r="S38" s="739">
        <f>R38/(1+$C18)</f>
        <v>0</v>
      </c>
      <c r="T38" s="754">
        <f>'Introducció dades'!L45</f>
        <v>0</v>
      </c>
      <c r="U38" s="739">
        <f>T38/(1+$C18)</f>
        <v>0</v>
      </c>
      <c r="V38" s="754">
        <f>'Introducció dades'!M45</f>
        <v>0</v>
      </c>
      <c r="W38" s="739">
        <f>V38/(1+$C18)</f>
        <v>0</v>
      </c>
      <c r="X38" s="754">
        <f>'Introducció dades'!N45</f>
        <v>0</v>
      </c>
      <c r="Y38" s="739">
        <f>X38/(1+$C18)</f>
        <v>0</v>
      </c>
      <c r="Z38" s="732">
        <f t="shared" si="4"/>
        <v>0</v>
      </c>
      <c r="AA38" s="733">
        <f t="shared" si="4"/>
        <v>0</v>
      </c>
      <c r="AB38" s="12"/>
    </row>
    <row r="39" spans="1:28" ht="13" x14ac:dyDescent="0.3">
      <c r="A39" s="731" t="str">
        <f>A19</f>
        <v>Equips processos informació</v>
      </c>
      <c r="B39" s="754">
        <f>'Introducció dades'!C46</f>
        <v>0</v>
      </c>
      <c r="C39" s="739">
        <f>B39/(1+$C19)</f>
        <v>0</v>
      </c>
      <c r="D39" s="754">
        <f>'Introducció dades'!D46</f>
        <v>0</v>
      </c>
      <c r="E39" s="739">
        <f>D39/(1+$C19)</f>
        <v>0</v>
      </c>
      <c r="F39" s="754">
        <f>'Introducció dades'!E46</f>
        <v>0</v>
      </c>
      <c r="G39" s="739">
        <f>F39/(1+$C19)</f>
        <v>0</v>
      </c>
      <c r="H39" s="754">
        <f>'Introducció dades'!F46</f>
        <v>0</v>
      </c>
      <c r="I39" s="739">
        <f>H39/(1+$C19)</f>
        <v>0</v>
      </c>
      <c r="J39" s="754">
        <f>'Introducció dades'!G46</f>
        <v>0</v>
      </c>
      <c r="K39" s="739">
        <f>J39/(1+$C19)</f>
        <v>0</v>
      </c>
      <c r="L39" s="754">
        <f>'Introducció dades'!H46</f>
        <v>0</v>
      </c>
      <c r="M39" s="739">
        <f>L39/(1+$C19)</f>
        <v>0</v>
      </c>
      <c r="N39" s="754">
        <f>'Introducció dades'!I46</f>
        <v>0</v>
      </c>
      <c r="O39" s="739">
        <f>N39/(1+$C19)</f>
        <v>0</v>
      </c>
      <c r="P39" s="754">
        <f>'Introducció dades'!J46</f>
        <v>0</v>
      </c>
      <c r="Q39" s="739">
        <f>P39/(1+$C19)</f>
        <v>0</v>
      </c>
      <c r="R39" s="754">
        <f>'Introducció dades'!K46</f>
        <v>0</v>
      </c>
      <c r="S39" s="739">
        <f>R39/(1+$C19)</f>
        <v>0</v>
      </c>
      <c r="T39" s="754">
        <f>'Introducció dades'!L46</f>
        <v>0</v>
      </c>
      <c r="U39" s="739">
        <f>T39/(1+$C19)</f>
        <v>0</v>
      </c>
      <c r="V39" s="754">
        <f>'Introducció dades'!M46</f>
        <v>0</v>
      </c>
      <c r="W39" s="739">
        <f>V39/(1+$C19)</f>
        <v>0</v>
      </c>
      <c r="X39" s="754">
        <f>'Introducció dades'!N46</f>
        <v>0</v>
      </c>
      <c r="Y39" s="739">
        <f>X39/(1+$C19)</f>
        <v>0</v>
      </c>
      <c r="Z39" s="732">
        <f t="shared" si="4"/>
        <v>0</v>
      </c>
      <c r="AA39" s="733">
        <f t="shared" si="4"/>
        <v>0</v>
      </c>
      <c r="AB39" s="12"/>
    </row>
    <row r="40" spans="1:28" ht="13" x14ac:dyDescent="0.3">
      <c r="A40" s="731" t="str">
        <f>A20</f>
        <v>Elements de transport</v>
      </c>
      <c r="B40" s="754">
        <f>'Introducció dades'!C47</f>
        <v>0</v>
      </c>
      <c r="C40" s="739">
        <f>B40/(1+$C20)</f>
        <v>0</v>
      </c>
      <c r="D40" s="754">
        <f>'Introducció dades'!D47</f>
        <v>0</v>
      </c>
      <c r="E40" s="739">
        <f>D40/(1+$C20)</f>
        <v>0</v>
      </c>
      <c r="F40" s="754">
        <f>'Introducció dades'!E47</f>
        <v>0</v>
      </c>
      <c r="G40" s="739">
        <f>F40/(1+$C20)</f>
        <v>0</v>
      </c>
      <c r="H40" s="754">
        <f>'Introducció dades'!F47</f>
        <v>0</v>
      </c>
      <c r="I40" s="739">
        <f>H40/(1+$C20)</f>
        <v>0</v>
      </c>
      <c r="J40" s="754">
        <f>'Introducció dades'!G47</f>
        <v>0</v>
      </c>
      <c r="K40" s="739">
        <f>J40/(1+$C20)</f>
        <v>0</v>
      </c>
      <c r="L40" s="754">
        <f>'Introducció dades'!H47</f>
        <v>0</v>
      </c>
      <c r="M40" s="739">
        <f>L40/(1+$C20)</f>
        <v>0</v>
      </c>
      <c r="N40" s="754">
        <f>'Introducció dades'!I47</f>
        <v>0</v>
      </c>
      <c r="O40" s="739">
        <f>N40/(1+$C20)</f>
        <v>0</v>
      </c>
      <c r="P40" s="754">
        <f>'Introducció dades'!J47</f>
        <v>0</v>
      </c>
      <c r="Q40" s="739">
        <f>P40/(1+$C20)</f>
        <v>0</v>
      </c>
      <c r="R40" s="754">
        <f>'Introducció dades'!K47</f>
        <v>0</v>
      </c>
      <c r="S40" s="739">
        <f>R40/(1+$C20)</f>
        <v>0</v>
      </c>
      <c r="T40" s="754">
        <f>'Introducció dades'!L47</f>
        <v>0</v>
      </c>
      <c r="U40" s="739">
        <f>T40/(1+$C20)</f>
        <v>0</v>
      </c>
      <c r="V40" s="754">
        <f>'Introducció dades'!M47</f>
        <v>0</v>
      </c>
      <c r="W40" s="739">
        <f>V40/(1+$C20)</f>
        <v>0</v>
      </c>
      <c r="X40" s="754">
        <f>'Introducció dades'!N47</f>
        <v>0</v>
      </c>
      <c r="Y40" s="739">
        <f>X40/(1+$C20)</f>
        <v>0</v>
      </c>
      <c r="Z40" s="732">
        <f t="shared" si="4"/>
        <v>0</v>
      </c>
      <c r="AA40" s="733">
        <f t="shared" si="4"/>
        <v>0</v>
      </c>
      <c r="AB40" s="12"/>
    </row>
    <row r="41" spans="1:28" ht="13" x14ac:dyDescent="0.3">
      <c r="A41" s="734" t="str">
        <f>A21</f>
        <v>Altre immobilitzat material</v>
      </c>
      <c r="B41" s="754">
        <f>'Introducció dades'!C48</f>
        <v>0</v>
      </c>
      <c r="C41" s="735">
        <f>B41/(1+$C21)</f>
        <v>0</v>
      </c>
      <c r="D41" s="754">
        <f>'Introducció dades'!D48</f>
        <v>0</v>
      </c>
      <c r="E41" s="735">
        <f>D41/(1+$C21)</f>
        <v>0</v>
      </c>
      <c r="F41" s="754">
        <f>'Introducció dades'!E48</f>
        <v>0</v>
      </c>
      <c r="G41" s="735">
        <f>F41/(1+$C21)</f>
        <v>0</v>
      </c>
      <c r="H41" s="754">
        <f>'Introducció dades'!F48</f>
        <v>0</v>
      </c>
      <c r="I41" s="735">
        <f>H41/(1+$C21)</f>
        <v>0</v>
      </c>
      <c r="J41" s="754">
        <f>'Introducció dades'!G48</f>
        <v>0</v>
      </c>
      <c r="K41" s="735">
        <f>J41/(1+$C21)</f>
        <v>0</v>
      </c>
      <c r="L41" s="754">
        <f>'Introducció dades'!H48</f>
        <v>0</v>
      </c>
      <c r="M41" s="735">
        <f>L41/(1+$C21)</f>
        <v>0</v>
      </c>
      <c r="N41" s="754">
        <f>'Introducció dades'!I48</f>
        <v>0</v>
      </c>
      <c r="O41" s="735">
        <f>N41/(1+$C21)</f>
        <v>0</v>
      </c>
      <c r="P41" s="754">
        <f>'Introducció dades'!J48</f>
        <v>0</v>
      </c>
      <c r="Q41" s="735">
        <f>P41/(1+$C21)</f>
        <v>0</v>
      </c>
      <c r="R41" s="754">
        <f>'Introducció dades'!K48</f>
        <v>0</v>
      </c>
      <c r="S41" s="735">
        <f>R41/(1+$C21)</f>
        <v>0</v>
      </c>
      <c r="T41" s="754">
        <f>'Introducció dades'!L48</f>
        <v>0</v>
      </c>
      <c r="U41" s="735">
        <f>T41/(1+$C21)</f>
        <v>0</v>
      </c>
      <c r="V41" s="754">
        <f>'Introducció dades'!M48</f>
        <v>0</v>
      </c>
      <c r="W41" s="735">
        <f>V41/(1+$C21)</f>
        <v>0</v>
      </c>
      <c r="X41" s="754">
        <f>'Introducció dades'!N48</f>
        <v>0</v>
      </c>
      <c r="Y41" s="735">
        <f>X41/(1+$C21)</f>
        <v>0</v>
      </c>
      <c r="Z41" s="736">
        <f t="shared" si="4"/>
        <v>0</v>
      </c>
      <c r="AA41" s="737">
        <f t="shared" si="4"/>
        <v>0</v>
      </c>
      <c r="AB41" s="12"/>
    </row>
    <row r="42" spans="1:28" s="9" customFormat="1" ht="13" x14ac:dyDescent="0.3">
      <c r="A42" s="153" t="s">
        <v>249</v>
      </c>
      <c r="B42" s="723">
        <f t="shared" ref="B42:Z42" si="5">SUM(B43:B44)</f>
        <v>0</v>
      </c>
      <c r="C42" s="724">
        <f t="shared" si="5"/>
        <v>0</v>
      </c>
      <c r="D42" s="723">
        <f t="shared" si="5"/>
        <v>0</v>
      </c>
      <c r="E42" s="724">
        <f t="shared" si="5"/>
        <v>0</v>
      </c>
      <c r="F42" s="723">
        <f t="shared" si="5"/>
        <v>0</v>
      </c>
      <c r="G42" s="724">
        <f t="shared" si="5"/>
        <v>0</v>
      </c>
      <c r="H42" s="723">
        <f t="shared" si="5"/>
        <v>0</v>
      </c>
      <c r="I42" s="724">
        <f t="shared" si="5"/>
        <v>0</v>
      </c>
      <c r="J42" s="723">
        <f t="shared" si="5"/>
        <v>0</v>
      </c>
      <c r="K42" s="724">
        <f t="shared" si="5"/>
        <v>0</v>
      </c>
      <c r="L42" s="723">
        <f t="shared" si="5"/>
        <v>0</v>
      </c>
      <c r="M42" s="724">
        <f t="shared" si="5"/>
        <v>0</v>
      </c>
      <c r="N42" s="723">
        <f t="shared" si="5"/>
        <v>0</v>
      </c>
      <c r="O42" s="724">
        <f t="shared" si="5"/>
        <v>0</v>
      </c>
      <c r="P42" s="723">
        <f t="shared" si="5"/>
        <v>0</v>
      </c>
      <c r="Q42" s="724">
        <f t="shared" si="5"/>
        <v>0</v>
      </c>
      <c r="R42" s="723">
        <f t="shared" si="5"/>
        <v>0</v>
      </c>
      <c r="S42" s="724">
        <f t="shared" si="5"/>
        <v>0</v>
      </c>
      <c r="T42" s="723">
        <f t="shared" si="5"/>
        <v>0</v>
      </c>
      <c r="U42" s="724">
        <f t="shared" si="5"/>
        <v>0</v>
      </c>
      <c r="V42" s="723">
        <f t="shared" si="5"/>
        <v>0</v>
      </c>
      <c r="W42" s="724">
        <f t="shared" si="5"/>
        <v>0</v>
      </c>
      <c r="X42" s="723">
        <f t="shared" si="5"/>
        <v>0</v>
      </c>
      <c r="Y42" s="724">
        <f t="shared" si="5"/>
        <v>0</v>
      </c>
      <c r="Z42" s="725">
        <f t="shared" si="5"/>
        <v>0</v>
      </c>
      <c r="AA42" s="726">
        <f>SUM(AA43:AA44)</f>
        <v>0</v>
      </c>
      <c r="AB42" s="18"/>
    </row>
    <row r="43" spans="1:28" ht="13" x14ac:dyDescent="0.3">
      <c r="A43" s="727" t="s">
        <v>250</v>
      </c>
      <c r="B43" s="728">
        <f>'Introducció dades'!C50</f>
        <v>0</v>
      </c>
      <c r="C43" s="738">
        <f>B43</f>
        <v>0</v>
      </c>
      <c r="D43" s="728">
        <f>'Introducció dades'!D50</f>
        <v>0</v>
      </c>
      <c r="E43" s="738">
        <f>D43</f>
        <v>0</v>
      </c>
      <c r="F43" s="728">
        <f>'Introducció dades'!E50</f>
        <v>0</v>
      </c>
      <c r="G43" s="738">
        <f>F43</f>
        <v>0</v>
      </c>
      <c r="H43" s="728">
        <f>'Introducció dades'!F50</f>
        <v>0</v>
      </c>
      <c r="I43" s="738">
        <f>H43</f>
        <v>0</v>
      </c>
      <c r="J43" s="728">
        <f>'Introducció dades'!G50</f>
        <v>0</v>
      </c>
      <c r="K43" s="738">
        <f>J43</f>
        <v>0</v>
      </c>
      <c r="L43" s="728">
        <f>'Introducció dades'!H50</f>
        <v>0</v>
      </c>
      <c r="M43" s="738">
        <f>L43</f>
        <v>0</v>
      </c>
      <c r="N43" s="728">
        <f>'Introducció dades'!I50</f>
        <v>0</v>
      </c>
      <c r="O43" s="738">
        <f>N43</f>
        <v>0</v>
      </c>
      <c r="P43" s="728">
        <f>'Introducció dades'!J50</f>
        <v>0</v>
      </c>
      <c r="Q43" s="738">
        <f>P43</f>
        <v>0</v>
      </c>
      <c r="R43" s="728">
        <f>'Introducció dades'!K50</f>
        <v>0</v>
      </c>
      <c r="S43" s="738">
        <f>R43</f>
        <v>0</v>
      </c>
      <c r="T43" s="728">
        <f>'Introducció dades'!L50</f>
        <v>0</v>
      </c>
      <c r="U43" s="738">
        <f>T43</f>
        <v>0</v>
      </c>
      <c r="V43" s="728">
        <f>'Introducció dades'!M50</f>
        <v>0</v>
      </c>
      <c r="W43" s="738">
        <f>V43</f>
        <v>0</v>
      </c>
      <c r="X43" s="728">
        <f>'Introducció dades'!N50</f>
        <v>0</v>
      </c>
      <c r="Y43" s="738">
        <f>X43</f>
        <v>0</v>
      </c>
      <c r="Z43" s="729">
        <f>X43+V43+T43+R43+P43+N43+L43+J43+H43+F43+D43+B43</f>
        <v>0</v>
      </c>
      <c r="AA43" s="730">
        <f>Y43+W43+U43+S43+Q43+O43+M43+K43+I43+G43+E43+C43</f>
        <v>0</v>
      </c>
      <c r="AB43" s="12"/>
    </row>
    <row r="44" spans="1:28" ht="13" x14ac:dyDescent="0.3">
      <c r="A44" s="734" t="s">
        <v>251</v>
      </c>
      <c r="B44" s="728">
        <f>'Introducció dades'!C51</f>
        <v>0</v>
      </c>
      <c r="C44" s="735">
        <f>B44</f>
        <v>0</v>
      </c>
      <c r="D44" s="728">
        <f>'Introducció dades'!D51</f>
        <v>0</v>
      </c>
      <c r="E44" s="735">
        <f>D44</f>
        <v>0</v>
      </c>
      <c r="F44" s="728">
        <f>'Introducció dades'!E51</f>
        <v>0</v>
      </c>
      <c r="G44" s="735">
        <f>F44</f>
        <v>0</v>
      </c>
      <c r="H44" s="728">
        <f>'Introducció dades'!F51</f>
        <v>0</v>
      </c>
      <c r="I44" s="735">
        <f>H44</f>
        <v>0</v>
      </c>
      <c r="J44" s="728">
        <f>'Introducció dades'!G51</f>
        <v>0</v>
      </c>
      <c r="K44" s="735">
        <f>J44</f>
        <v>0</v>
      </c>
      <c r="L44" s="728">
        <f>'Introducció dades'!H51</f>
        <v>0</v>
      </c>
      <c r="M44" s="735">
        <f>L44</f>
        <v>0</v>
      </c>
      <c r="N44" s="728">
        <f>'Introducció dades'!I51</f>
        <v>0</v>
      </c>
      <c r="O44" s="735">
        <f>N44</f>
        <v>0</v>
      </c>
      <c r="P44" s="728">
        <f>'Introducció dades'!J51</f>
        <v>0</v>
      </c>
      <c r="Q44" s="735">
        <f>P44</f>
        <v>0</v>
      </c>
      <c r="R44" s="728">
        <f>'Introducció dades'!K51</f>
        <v>0</v>
      </c>
      <c r="S44" s="735">
        <f>R44</f>
        <v>0</v>
      </c>
      <c r="T44" s="728">
        <f>'Introducció dades'!L51</f>
        <v>0</v>
      </c>
      <c r="U44" s="735">
        <f>T44</f>
        <v>0</v>
      </c>
      <c r="V44" s="728">
        <f>'Introducció dades'!M51</f>
        <v>0</v>
      </c>
      <c r="W44" s="735">
        <f>V44</f>
        <v>0</v>
      </c>
      <c r="X44" s="728">
        <f>'Introducció dades'!N51</f>
        <v>0</v>
      </c>
      <c r="Y44" s="735">
        <f>X44</f>
        <v>0</v>
      </c>
      <c r="Z44" s="736">
        <f>X44+V44+T44+R44+P44+N44+L44+J44+H44+F44+D44+B44</f>
        <v>0</v>
      </c>
      <c r="AA44" s="737">
        <f>Y44+W44+U44+S44+Q44+O44+M44+K44+I44+G44+E44+C44</f>
        <v>0</v>
      </c>
      <c r="AB44" s="12"/>
    </row>
    <row r="45" spans="1:28" s="9" customFormat="1" ht="13" x14ac:dyDescent="0.3">
      <c r="A45" s="755" t="s">
        <v>245</v>
      </c>
      <c r="B45" s="756">
        <f t="shared" ref="B45:AA45" si="6">B42+B31+B27</f>
        <v>0</v>
      </c>
      <c r="C45" s="757">
        <f t="shared" si="6"/>
        <v>0</v>
      </c>
      <c r="D45" s="756">
        <f t="shared" si="6"/>
        <v>0</v>
      </c>
      <c r="E45" s="757">
        <f t="shared" si="6"/>
        <v>0</v>
      </c>
      <c r="F45" s="756">
        <f t="shared" si="6"/>
        <v>0</v>
      </c>
      <c r="G45" s="757">
        <f t="shared" si="6"/>
        <v>0</v>
      </c>
      <c r="H45" s="756">
        <f t="shared" si="6"/>
        <v>0</v>
      </c>
      <c r="I45" s="757">
        <f t="shared" si="6"/>
        <v>0</v>
      </c>
      <c r="J45" s="756">
        <f t="shared" si="6"/>
        <v>0</v>
      </c>
      <c r="K45" s="757">
        <f t="shared" si="6"/>
        <v>0</v>
      </c>
      <c r="L45" s="756">
        <f t="shared" si="6"/>
        <v>0</v>
      </c>
      <c r="M45" s="757">
        <f t="shared" si="6"/>
        <v>0</v>
      </c>
      <c r="N45" s="756">
        <f t="shared" si="6"/>
        <v>0</v>
      </c>
      <c r="O45" s="757">
        <f t="shared" si="6"/>
        <v>0</v>
      </c>
      <c r="P45" s="756">
        <f t="shared" si="6"/>
        <v>0</v>
      </c>
      <c r="Q45" s="757">
        <f t="shared" si="6"/>
        <v>0</v>
      </c>
      <c r="R45" s="756">
        <f t="shared" si="6"/>
        <v>0</v>
      </c>
      <c r="S45" s="757">
        <f t="shared" si="6"/>
        <v>0</v>
      </c>
      <c r="T45" s="756">
        <f t="shared" si="6"/>
        <v>0</v>
      </c>
      <c r="U45" s="757">
        <f t="shared" si="6"/>
        <v>0</v>
      </c>
      <c r="V45" s="756">
        <f t="shared" si="6"/>
        <v>0</v>
      </c>
      <c r="W45" s="757">
        <f t="shared" si="6"/>
        <v>0</v>
      </c>
      <c r="X45" s="756">
        <f t="shared" si="6"/>
        <v>0</v>
      </c>
      <c r="Y45" s="757">
        <f t="shared" si="6"/>
        <v>0</v>
      </c>
      <c r="Z45" s="758">
        <f t="shared" si="6"/>
        <v>0</v>
      </c>
      <c r="AA45" s="759">
        <f t="shared" si="6"/>
        <v>0</v>
      </c>
      <c r="AB45" s="18"/>
    </row>
    <row r="46" spans="1:28" s="9" customFormat="1" ht="13" x14ac:dyDescent="0.3">
      <c r="A46" s="760"/>
      <c r="B46" s="18"/>
      <c r="C46" s="18"/>
      <c r="D46" s="18"/>
      <c r="E46" s="18"/>
      <c r="F46" s="18"/>
      <c r="G46" s="18"/>
      <c r="H46" s="18"/>
      <c r="I46" s="18"/>
      <c r="J46" s="18"/>
      <c r="K46" s="18"/>
      <c r="L46" s="18"/>
      <c r="M46" s="18"/>
      <c r="N46" s="18"/>
      <c r="O46" s="18"/>
      <c r="P46" s="18"/>
      <c r="Q46" s="18"/>
      <c r="R46" s="18"/>
      <c r="S46" s="18"/>
      <c r="T46" s="18"/>
      <c r="U46" s="18"/>
      <c r="V46" s="18"/>
      <c r="W46" s="18"/>
      <c r="X46" s="18"/>
      <c r="Y46" s="18"/>
      <c r="Z46" s="761"/>
      <c r="AA46" s="761"/>
      <c r="AB46" s="18"/>
    </row>
    <row r="47" spans="1:28" s="9" customFormat="1" ht="13" x14ac:dyDescent="0.3">
      <c r="A47" s="760"/>
      <c r="B47" s="18"/>
      <c r="C47" s="18"/>
      <c r="D47" s="18"/>
      <c r="E47" s="18"/>
      <c r="F47" s="18"/>
      <c r="G47" s="18"/>
      <c r="H47" s="18"/>
      <c r="I47" s="18"/>
      <c r="J47" s="18"/>
      <c r="K47" s="18"/>
      <c r="L47" s="18"/>
      <c r="M47" s="18"/>
      <c r="N47" s="18"/>
      <c r="O47" s="18"/>
      <c r="P47" s="18"/>
      <c r="Q47" s="18"/>
      <c r="R47" s="18"/>
      <c r="S47" s="18"/>
      <c r="T47" s="18"/>
      <c r="U47" s="18"/>
      <c r="V47" s="18"/>
      <c r="W47" s="18"/>
      <c r="X47" s="18"/>
      <c r="Y47" s="18"/>
      <c r="Z47" s="761"/>
      <c r="AA47" s="761"/>
      <c r="AB47" s="18"/>
    </row>
    <row r="48" spans="1:28" s="9" customFormat="1" ht="13" x14ac:dyDescent="0.3">
      <c r="A48" s="717" t="s">
        <v>47</v>
      </c>
      <c r="B48" s="12"/>
      <c r="C48" s="12"/>
      <c r="D48" s="12"/>
      <c r="E48" s="12"/>
      <c r="F48" s="12"/>
      <c r="G48" s="12"/>
      <c r="H48" s="12"/>
      <c r="I48" s="12"/>
      <c r="J48" s="12"/>
      <c r="K48" s="12"/>
      <c r="L48" s="12"/>
      <c r="M48" s="12"/>
      <c r="N48" s="12"/>
      <c r="O48" s="12"/>
      <c r="P48" s="12"/>
      <c r="Q48" s="12"/>
      <c r="R48" s="12"/>
      <c r="S48" s="12"/>
      <c r="T48" s="12"/>
      <c r="U48" s="12"/>
      <c r="V48" s="12"/>
      <c r="W48" s="12"/>
      <c r="X48" s="12"/>
      <c r="Y48" s="12"/>
      <c r="Z48" s="762"/>
      <c r="AA48" s="762"/>
      <c r="AB48" s="18"/>
    </row>
    <row r="49" spans="1:28" s="9" customFormat="1" ht="13" x14ac:dyDescent="0.3">
      <c r="A49" s="710"/>
      <c r="B49" s="150"/>
      <c r="C49" s="150"/>
      <c r="D49" s="12"/>
      <c r="E49" s="12"/>
      <c r="F49" s="12"/>
      <c r="G49" s="12"/>
      <c r="H49" s="12"/>
      <c r="I49" s="12"/>
      <c r="J49" s="12"/>
      <c r="K49" s="12"/>
      <c r="L49" s="12"/>
      <c r="M49" s="12"/>
      <c r="N49" s="12"/>
      <c r="O49" s="12"/>
      <c r="P49" s="12"/>
      <c r="Q49" s="12"/>
      <c r="R49" s="12"/>
      <c r="S49" s="12"/>
      <c r="T49" s="12"/>
      <c r="U49" s="12"/>
      <c r="V49" s="12"/>
      <c r="W49" s="12"/>
      <c r="X49" s="12"/>
      <c r="Y49" s="12"/>
      <c r="Z49" s="762"/>
      <c r="AA49" s="762"/>
      <c r="AB49" s="18"/>
    </row>
    <row r="50" spans="1:28" s="9" customFormat="1" ht="13" x14ac:dyDescent="0.3">
      <c r="A50" s="21"/>
      <c r="B50" s="1798" t="str">
        <f>B25</f>
        <v>GENER</v>
      </c>
      <c r="C50" s="1798"/>
      <c r="D50" s="1798" t="str">
        <f>D25</f>
        <v>FEBRER</v>
      </c>
      <c r="E50" s="1798"/>
      <c r="F50" s="1798" t="str">
        <f>F25</f>
        <v>MARÇ</v>
      </c>
      <c r="G50" s="1798"/>
      <c r="H50" s="1798" t="str">
        <f>H25</f>
        <v>ABRIL</v>
      </c>
      <c r="I50" s="1798"/>
      <c r="J50" s="1798" t="str">
        <f>J25</f>
        <v>MAIG</v>
      </c>
      <c r="K50" s="1798"/>
      <c r="L50" s="1798" t="str">
        <f>L25</f>
        <v>JUNY</v>
      </c>
      <c r="M50" s="1798"/>
      <c r="N50" s="1798" t="str">
        <f>N25</f>
        <v>JULIOL</v>
      </c>
      <c r="O50" s="1798"/>
      <c r="P50" s="1798" t="str">
        <f>P25</f>
        <v>AGOST</v>
      </c>
      <c r="Q50" s="1798"/>
      <c r="R50" s="1798" t="str">
        <f>R25</f>
        <v>SETEMBRE</v>
      </c>
      <c r="S50" s="1798"/>
      <c r="T50" s="1798" t="str">
        <f>T25</f>
        <v>OCTUBRE</v>
      </c>
      <c r="U50" s="1798"/>
      <c r="V50" s="1798" t="str">
        <f>V25</f>
        <v>NOVEMBRE</v>
      </c>
      <c r="W50" s="1798"/>
      <c r="X50" s="1798" t="str">
        <f>X25</f>
        <v>DESEMBRE</v>
      </c>
      <c r="Y50" s="1798"/>
      <c r="Z50" s="1798" t="str">
        <f>Z25</f>
        <v>TOTAL</v>
      </c>
      <c r="AA50" s="1798"/>
      <c r="AB50" s="18"/>
    </row>
    <row r="51" spans="1:28" s="9" customFormat="1" ht="13" x14ac:dyDescent="0.3">
      <c r="A51" s="718" t="str">
        <f>A26</f>
        <v>INVERSIONS</v>
      </c>
      <c r="B51" s="763" t="s">
        <v>245</v>
      </c>
      <c r="C51" s="764" t="s">
        <v>246</v>
      </c>
      <c r="D51" s="763" t="s">
        <v>245</v>
      </c>
      <c r="E51" s="764" t="s">
        <v>246</v>
      </c>
      <c r="F51" s="763" t="s">
        <v>245</v>
      </c>
      <c r="G51" s="764" t="s">
        <v>246</v>
      </c>
      <c r="H51" s="763" t="s">
        <v>245</v>
      </c>
      <c r="I51" s="764" t="s">
        <v>246</v>
      </c>
      <c r="J51" s="763" t="s">
        <v>245</v>
      </c>
      <c r="K51" s="764" t="s">
        <v>246</v>
      </c>
      <c r="L51" s="763" t="s">
        <v>245</v>
      </c>
      <c r="M51" s="764" t="s">
        <v>246</v>
      </c>
      <c r="N51" s="763" t="s">
        <v>245</v>
      </c>
      <c r="O51" s="764" t="s">
        <v>246</v>
      </c>
      <c r="P51" s="763" t="s">
        <v>245</v>
      </c>
      <c r="Q51" s="764" t="s">
        <v>246</v>
      </c>
      <c r="R51" s="763" t="s">
        <v>245</v>
      </c>
      <c r="S51" s="764" t="s">
        <v>246</v>
      </c>
      <c r="T51" s="763" t="s">
        <v>245</v>
      </c>
      <c r="U51" s="764" t="s">
        <v>246</v>
      </c>
      <c r="V51" s="763" t="s">
        <v>245</v>
      </c>
      <c r="W51" s="764" t="s">
        <v>246</v>
      </c>
      <c r="X51" s="763" t="s">
        <v>245</v>
      </c>
      <c r="Y51" s="764" t="s">
        <v>246</v>
      </c>
      <c r="Z51" s="765" t="s">
        <v>245</v>
      </c>
      <c r="AA51" s="766" t="s">
        <v>246</v>
      </c>
      <c r="AB51" s="18"/>
    </row>
    <row r="52" spans="1:28" s="9" customFormat="1" ht="13" x14ac:dyDescent="0.3">
      <c r="A52" s="153" t="str">
        <f>A27</f>
        <v>INVERSIONS IMMATERIALS</v>
      </c>
      <c r="B52" s="723">
        <f t="shared" ref="B52:AA52" si="7">SUM(B53:B55)</f>
        <v>0</v>
      </c>
      <c r="C52" s="724">
        <f t="shared" si="7"/>
        <v>0</v>
      </c>
      <c r="D52" s="723">
        <f t="shared" si="7"/>
        <v>0</v>
      </c>
      <c r="E52" s="724">
        <f t="shared" si="7"/>
        <v>0</v>
      </c>
      <c r="F52" s="723">
        <f t="shared" si="7"/>
        <v>0</v>
      </c>
      <c r="G52" s="724">
        <f t="shared" si="7"/>
        <v>0</v>
      </c>
      <c r="H52" s="723">
        <f t="shared" si="7"/>
        <v>0</v>
      </c>
      <c r="I52" s="724">
        <f t="shared" si="7"/>
        <v>0</v>
      </c>
      <c r="J52" s="723">
        <f t="shared" si="7"/>
        <v>0</v>
      </c>
      <c r="K52" s="724">
        <f t="shared" si="7"/>
        <v>0</v>
      </c>
      <c r="L52" s="723">
        <f t="shared" si="7"/>
        <v>0</v>
      </c>
      <c r="M52" s="724">
        <f t="shared" si="7"/>
        <v>0</v>
      </c>
      <c r="N52" s="723">
        <f t="shared" si="7"/>
        <v>0</v>
      </c>
      <c r="O52" s="724">
        <f t="shared" si="7"/>
        <v>0</v>
      </c>
      <c r="P52" s="723">
        <f t="shared" si="7"/>
        <v>0</v>
      </c>
      <c r="Q52" s="724">
        <f t="shared" si="7"/>
        <v>0</v>
      </c>
      <c r="R52" s="723">
        <f t="shared" si="7"/>
        <v>0</v>
      </c>
      <c r="S52" s="724">
        <f t="shared" si="7"/>
        <v>0</v>
      </c>
      <c r="T52" s="723">
        <f t="shared" si="7"/>
        <v>0</v>
      </c>
      <c r="U52" s="724">
        <f t="shared" si="7"/>
        <v>0</v>
      </c>
      <c r="V52" s="723">
        <f t="shared" si="7"/>
        <v>0</v>
      </c>
      <c r="W52" s="724">
        <f t="shared" si="7"/>
        <v>0</v>
      </c>
      <c r="X52" s="723">
        <f t="shared" si="7"/>
        <v>0</v>
      </c>
      <c r="Y52" s="724">
        <f t="shared" si="7"/>
        <v>0</v>
      </c>
      <c r="Z52" s="725">
        <f t="shared" si="7"/>
        <v>0</v>
      </c>
      <c r="AA52" s="726">
        <f t="shared" si="7"/>
        <v>0</v>
      </c>
      <c r="AB52" s="18"/>
    </row>
    <row r="53" spans="1:28" s="9" customFormat="1" ht="13" x14ac:dyDescent="0.3">
      <c r="A53" s="727" t="str">
        <f>A28</f>
        <v>Propietat industrial (patents i marques)</v>
      </c>
      <c r="B53" s="728">
        <f>'Introducció dades'!C56</f>
        <v>0</v>
      </c>
      <c r="C53" s="738">
        <f>B53/(1+$C9)</f>
        <v>0</v>
      </c>
      <c r="D53" s="728">
        <f>'Introducció dades'!D56</f>
        <v>0</v>
      </c>
      <c r="E53" s="738">
        <f>D53/(1+$C9)</f>
        <v>0</v>
      </c>
      <c r="F53" s="728">
        <f>'Introducció dades'!E56</f>
        <v>0</v>
      </c>
      <c r="G53" s="738">
        <f>F53/(1+$C9)</f>
        <v>0</v>
      </c>
      <c r="H53" s="728">
        <f>'Introducció dades'!F56</f>
        <v>0</v>
      </c>
      <c r="I53" s="738">
        <f>H53/(1+$C9)</f>
        <v>0</v>
      </c>
      <c r="J53" s="728">
        <f>'Introducció dades'!G56</f>
        <v>0</v>
      </c>
      <c r="K53" s="738">
        <f>J53/(1+$C9)</f>
        <v>0</v>
      </c>
      <c r="L53" s="728">
        <f>'Introducció dades'!H56</f>
        <v>0</v>
      </c>
      <c r="M53" s="738">
        <f>L53/(1+$C9)</f>
        <v>0</v>
      </c>
      <c r="N53" s="728">
        <f>'Introducció dades'!I56</f>
        <v>0</v>
      </c>
      <c r="O53" s="738">
        <f>N53/(1+$C9)</f>
        <v>0</v>
      </c>
      <c r="P53" s="728">
        <f>'Introducció dades'!J56</f>
        <v>0</v>
      </c>
      <c r="Q53" s="738">
        <f>P53/(1+$C9)</f>
        <v>0</v>
      </c>
      <c r="R53" s="728">
        <f>'Introducció dades'!K56</f>
        <v>0</v>
      </c>
      <c r="S53" s="738">
        <f>R53/(1+$C9)</f>
        <v>0</v>
      </c>
      <c r="T53" s="728">
        <f>'Introducció dades'!L56</f>
        <v>0</v>
      </c>
      <c r="U53" s="738">
        <f>T53/(1+$C9)</f>
        <v>0</v>
      </c>
      <c r="V53" s="728">
        <f>'Introducció dades'!M56</f>
        <v>0</v>
      </c>
      <c r="W53" s="738">
        <f>V53/(1+$C9)</f>
        <v>0</v>
      </c>
      <c r="X53" s="728">
        <f>'Introducció dades'!N56</f>
        <v>0</v>
      </c>
      <c r="Y53" s="738">
        <f>X53/(1+$C9)</f>
        <v>0</v>
      </c>
      <c r="Z53" s="729">
        <f t="shared" ref="Z53:AA55" si="8">X53+V53+T53+R53+P53+N53+L53+J53+H53+F53+D53+B53</f>
        <v>0</v>
      </c>
      <c r="AA53" s="730">
        <f t="shared" si="8"/>
        <v>0</v>
      </c>
      <c r="AB53" s="18"/>
    </row>
    <row r="54" spans="1:28" s="9" customFormat="1" ht="13" x14ac:dyDescent="0.3">
      <c r="A54" s="731" t="str">
        <f>A29</f>
        <v>Drets de traspàs</v>
      </c>
      <c r="B54" s="728">
        <f>'Introducció dades'!C57</f>
        <v>0</v>
      </c>
      <c r="C54" s="739">
        <f>B54/(1+$C10)</f>
        <v>0</v>
      </c>
      <c r="D54" s="728">
        <f>'Introducció dades'!D57</f>
        <v>0</v>
      </c>
      <c r="E54" s="739">
        <f>D54/(1+$C10)</f>
        <v>0</v>
      </c>
      <c r="F54" s="728">
        <f>'Introducció dades'!E57</f>
        <v>0</v>
      </c>
      <c r="G54" s="739">
        <f>F54/(1+$C10)</f>
        <v>0</v>
      </c>
      <c r="H54" s="728">
        <f>'Introducció dades'!F57</f>
        <v>0</v>
      </c>
      <c r="I54" s="739">
        <f>H54/(1+$C10)</f>
        <v>0</v>
      </c>
      <c r="J54" s="728">
        <f>'Introducció dades'!G57</f>
        <v>0</v>
      </c>
      <c r="K54" s="739">
        <f>J54/(1+$C10)</f>
        <v>0</v>
      </c>
      <c r="L54" s="728">
        <f>'Introducció dades'!H57</f>
        <v>0</v>
      </c>
      <c r="M54" s="739">
        <f>L54/(1+$C10)</f>
        <v>0</v>
      </c>
      <c r="N54" s="728">
        <f>'Introducció dades'!I57</f>
        <v>0</v>
      </c>
      <c r="O54" s="739">
        <f>N54/(1+$C10)</f>
        <v>0</v>
      </c>
      <c r="P54" s="728">
        <f>'Introducció dades'!J57</f>
        <v>0</v>
      </c>
      <c r="Q54" s="739">
        <f>P54/(1+$C10)</f>
        <v>0</v>
      </c>
      <c r="R54" s="728">
        <f>'Introducció dades'!K57</f>
        <v>0</v>
      </c>
      <c r="S54" s="739">
        <f>R54/(1+$C10)</f>
        <v>0</v>
      </c>
      <c r="T54" s="728">
        <f>'Introducció dades'!L57</f>
        <v>0</v>
      </c>
      <c r="U54" s="739">
        <f>T54/(1+$C10)</f>
        <v>0</v>
      </c>
      <c r="V54" s="728">
        <f>'Introducció dades'!M57</f>
        <v>0</v>
      </c>
      <c r="W54" s="739">
        <f>V54/(1+$C10)</f>
        <v>0</v>
      </c>
      <c r="X54" s="728">
        <f>'Introducció dades'!N57</f>
        <v>0</v>
      </c>
      <c r="Y54" s="739">
        <f>X54/(1+$C10)</f>
        <v>0</v>
      </c>
      <c r="Z54" s="732">
        <f t="shared" si="8"/>
        <v>0</v>
      </c>
      <c r="AA54" s="733">
        <f t="shared" si="8"/>
        <v>0</v>
      </c>
      <c r="AB54" s="18"/>
    </row>
    <row r="55" spans="1:28" s="9" customFormat="1" ht="13" x14ac:dyDescent="0.3">
      <c r="A55" s="731" t="str">
        <f>A30</f>
        <v>Aplicacions informàtiques</v>
      </c>
      <c r="B55" s="728">
        <f>'Introducció dades'!C58</f>
        <v>0</v>
      </c>
      <c r="C55" s="739">
        <f>B55/(1+$C11)</f>
        <v>0</v>
      </c>
      <c r="D55" s="728">
        <f>'Introducció dades'!D58</f>
        <v>0</v>
      </c>
      <c r="E55" s="739">
        <f>D55/(1+$C11)</f>
        <v>0</v>
      </c>
      <c r="F55" s="728">
        <f>'Introducció dades'!E58</f>
        <v>0</v>
      </c>
      <c r="G55" s="739">
        <f>F55/(1+$C11)</f>
        <v>0</v>
      </c>
      <c r="H55" s="728">
        <f>'Introducció dades'!F58</f>
        <v>0</v>
      </c>
      <c r="I55" s="739">
        <f>H55/(1+$C11)</f>
        <v>0</v>
      </c>
      <c r="J55" s="728">
        <f>'Introducció dades'!G58</f>
        <v>0</v>
      </c>
      <c r="K55" s="739">
        <f>J55/(1+$C11)</f>
        <v>0</v>
      </c>
      <c r="L55" s="728">
        <f>'Introducció dades'!H58</f>
        <v>0</v>
      </c>
      <c r="M55" s="739">
        <f>L55/(1+$C11)</f>
        <v>0</v>
      </c>
      <c r="N55" s="728">
        <f>'Introducció dades'!I58</f>
        <v>0</v>
      </c>
      <c r="O55" s="739">
        <f>N55/(1+$C11)</f>
        <v>0</v>
      </c>
      <c r="P55" s="728">
        <f>'Introducció dades'!J58</f>
        <v>0</v>
      </c>
      <c r="Q55" s="739">
        <f>P55/(1+$C11)</f>
        <v>0</v>
      </c>
      <c r="R55" s="728">
        <f>'Introducció dades'!K58</f>
        <v>0</v>
      </c>
      <c r="S55" s="739">
        <f>R55/(1+$C11)</f>
        <v>0</v>
      </c>
      <c r="T55" s="728">
        <f>'Introducció dades'!L58</f>
        <v>0</v>
      </c>
      <c r="U55" s="739">
        <f>T55/(1+$C11)</f>
        <v>0</v>
      </c>
      <c r="V55" s="728">
        <f>'Introducció dades'!M58</f>
        <v>0</v>
      </c>
      <c r="W55" s="739">
        <f>V55/(1+$C11)</f>
        <v>0</v>
      </c>
      <c r="X55" s="728">
        <f>'Introducció dades'!N58</f>
        <v>0</v>
      </c>
      <c r="Y55" s="739">
        <f>X55/(1+$C11)</f>
        <v>0</v>
      </c>
      <c r="Z55" s="732">
        <f t="shared" si="8"/>
        <v>0</v>
      </c>
      <c r="AA55" s="733">
        <f t="shared" si="8"/>
        <v>0</v>
      </c>
      <c r="AB55" s="18"/>
    </row>
    <row r="56" spans="1:28" s="9" customFormat="1" ht="13" x14ac:dyDescent="0.3">
      <c r="A56" s="153" t="str">
        <f t="shared" ref="A56:A70" si="9">A31</f>
        <v>INVERSIONS MATERIALS</v>
      </c>
      <c r="B56" s="723">
        <f>SUM(B57:B60)+SUM(B63:B66)</f>
        <v>0</v>
      </c>
      <c r="C56" s="724">
        <f>SUM(C57:C60)+SUM(C63:C66)</f>
        <v>0</v>
      </c>
      <c r="D56" s="723">
        <f t="shared" ref="D56:Y56" si="10">SUM(D57:D60)+SUM(D63:D66)</f>
        <v>0</v>
      </c>
      <c r="E56" s="724">
        <f t="shared" si="10"/>
        <v>0</v>
      </c>
      <c r="F56" s="723">
        <f t="shared" si="10"/>
        <v>0</v>
      </c>
      <c r="G56" s="724">
        <f t="shared" si="10"/>
        <v>0</v>
      </c>
      <c r="H56" s="723">
        <f t="shared" si="10"/>
        <v>0</v>
      </c>
      <c r="I56" s="724">
        <f t="shared" si="10"/>
        <v>0</v>
      </c>
      <c r="J56" s="723">
        <f t="shared" si="10"/>
        <v>0</v>
      </c>
      <c r="K56" s="724">
        <f t="shared" si="10"/>
        <v>0</v>
      </c>
      <c r="L56" s="723">
        <f t="shared" si="10"/>
        <v>0</v>
      </c>
      <c r="M56" s="724">
        <f t="shared" si="10"/>
        <v>0</v>
      </c>
      <c r="N56" s="723">
        <f t="shared" si="10"/>
        <v>0</v>
      </c>
      <c r="O56" s="724">
        <f t="shared" si="10"/>
        <v>0</v>
      </c>
      <c r="P56" s="723">
        <f t="shared" si="10"/>
        <v>0</v>
      </c>
      <c r="Q56" s="724">
        <f t="shared" si="10"/>
        <v>0</v>
      </c>
      <c r="R56" s="723">
        <f t="shared" si="10"/>
        <v>0</v>
      </c>
      <c r="S56" s="724">
        <f t="shared" si="10"/>
        <v>0</v>
      </c>
      <c r="T56" s="723">
        <f t="shared" si="10"/>
        <v>0</v>
      </c>
      <c r="U56" s="724">
        <f t="shared" si="10"/>
        <v>0</v>
      </c>
      <c r="V56" s="723">
        <f t="shared" si="10"/>
        <v>0</v>
      </c>
      <c r="W56" s="724">
        <f t="shared" si="10"/>
        <v>0</v>
      </c>
      <c r="X56" s="723">
        <f t="shared" si="10"/>
        <v>0</v>
      </c>
      <c r="Y56" s="724">
        <f t="shared" si="10"/>
        <v>0</v>
      </c>
      <c r="Z56" s="725">
        <f>SUM(Z57:Z60)+SUM(Z63:Z66)</f>
        <v>0</v>
      </c>
      <c r="AA56" s="726">
        <f>SUM(AA57:AA60)+SUM(AA63:AA66)</f>
        <v>0</v>
      </c>
      <c r="AB56" s="18"/>
    </row>
    <row r="57" spans="1:28" s="9" customFormat="1" ht="13" x14ac:dyDescent="0.3">
      <c r="A57" s="727" t="str">
        <f t="shared" si="9"/>
        <v>Terrenys</v>
      </c>
      <c r="B57" s="728">
        <f>'Introducció dades'!C60</f>
        <v>0</v>
      </c>
      <c r="C57" s="738">
        <f>B57/(1+$C14)</f>
        <v>0</v>
      </c>
      <c r="D57" s="728">
        <f>'Introducció dades'!D60</f>
        <v>0</v>
      </c>
      <c r="E57" s="738">
        <f>D57/(1+$C14)</f>
        <v>0</v>
      </c>
      <c r="F57" s="728">
        <f>'Introducció dades'!E60</f>
        <v>0</v>
      </c>
      <c r="G57" s="738">
        <f>F57/(1+$C14)</f>
        <v>0</v>
      </c>
      <c r="H57" s="728">
        <f>'Introducció dades'!F60</f>
        <v>0</v>
      </c>
      <c r="I57" s="738">
        <f>H57/(1+$C14)</f>
        <v>0</v>
      </c>
      <c r="J57" s="728">
        <f>'Introducció dades'!G60</f>
        <v>0</v>
      </c>
      <c r="K57" s="738">
        <f>J57/(1+$C14)</f>
        <v>0</v>
      </c>
      <c r="L57" s="728">
        <f>'Introducció dades'!H60</f>
        <v>0</v>
      </c>
      <c r="M57" s="738">
        <f>L57/(1+$C14)</f>
        <v>0</v>
      </c>
      <c r="N57" s="728">
        <f>'Introducció dades'!I60</f>
        <v>0</v>
      </c>
      <c r="O57" s="738">
        <f>N57/(1+$C14)</f>
        <v>0</v>
      </c>
      <c r="P57" s="728">
        <f>'Introducció dades'!J60</f>
        <v>0</v>
      </c>
      <c r="Q57" s="738">
        <f>P57/(1+$C14)</f>
        <v>0</v>
      </c>
      <c r="R57" s="728">
        <f>'Introducció dades'!K60</f>
        <v>0</v>
      </c>
      <c r="S57" s="738">
        <f>R57/(1+$C14)</f>
        <v>0</v>
      </c>
      <c r="T57" s="728">
        <f>'Introducció dades'!L60</f>
        <v>0</v>
      </c>
      <c r="U57" s="738">
        <f>T57/(1+$C14)</f>
        <v>0</v>
      </c>
      <c r="V57" s="728">
        <f>'Introducció dades'!M60</f>
        <v>0</v>
      </c>
      <c r="W57" s="738">
        <f>V57/(1+$C14)</f>
        <v>0</v>
      </c>
      <c r="X57" s="728">
        <f>'Introducció dades'!N60</f>
        <v>0</v>
      </c>
      <c r="Y57" s="738">
        <f>X57/(1+$C14)</f>
        <v>0</v>
      </c>
      <c r="Z57" s="729">
        <f t="shared" ref="Z57:AA66" si="11">X57+V57+T57+R57+P57+N57+L57+J57+H57+F57+D57+B57</f>
        <v>0</v>
      </c>
      <c r="AA57" s="730">
        <f t="shared" si="11"/>
        <v>0</v>
      </c>
      <c r="AB57" s="18"/>
    </row>
    <row r="58" spans="1:28" s="9" customFormat="1" ht="13" x14ac:dyDescent="0.3">
      <c r="A58" s="731" t="str">
        <f t="shared" si="9"/>
        <v>Construccions</v>
      </c>
      <c r="B58" s="728">
        <f>'Introducció dades'!C61</f>
        <v>0</v>
      </c>
      <c r="C58" s="739">
        <f>B58/(1+$C15)</f>
        <v>0</v>
      </c>
      <c r="D58" s="728">
        <f>'Introducció dades'!D61</f>
        <v>0</v>
      </c>
      <c r="E58" s="739">
        <f>D58/(1+$C15)</f>
        <v>0</v>
      </c>
      <c r="F58" s="728">
        <f>'Introducció dades'!E61</f>
        <v>0</v>
      </c>
      <c r="G58" s="739">
        <f>F58/(1+$C15)</f>
        <v>0</v>
      </c>
      <c r="H58" s="728">
        <f>'Introducció dades'!F61</f>
        <v>0</v>
      </c>
      <c r="I58" s="739">
        <f>H58/(1+$C15)</f>
        <v>0</v>
      </c>
      <c r="J58" s="728">
        <f>'Introducció dades'!G61</f>
        <v>0</v>
      </c>
      <c r="K58" s="739">
        <f>J58/(1+$C15)</f>
        <v>0</v>
      </c>
      <c r="L58" s="728">
        <f>'Introducció dades'!H61</f>
        <v>0</v>
      </c>
      <c r="M58" s="739">
        <f>L58/(1+$C15)</f>
        <v>0</v>
      </c>
      <c r="N58" s="728">
        <f>'Introducció dades'!I61</f>
        <v>0</v>
      </c>
      <c r="O58" s="739">
        <f>N58/(1+$C15)</f>
        <v>0</v>
      </c>
      <c r="P58" s="728">
        <f>'Introducció dades'!J61</f>
        <v>0</v>
      </c>
      <c r="Q58" s="739">
        <f>P58/(1+$C15)</f>
        <v>0</v>
      </c>
      <c r="R58" s="728">
        <f>'Introducció dades'!K61</f>
        <v>0</v>
      </c>
      <c r="S58" s="739">
        <f>R58/(1+$C15)</f>
        <v>0</v>
      </c>
      <c r="T58" s="728">
        <f>'Introducció dades'!L61</f>
        <v>0</v>
      </c>
      <c r="U58" s="739">
        <f>T58/(1+$C15)</f>
        <v>0</v>
      </c>
      <c r="V58" s="728">
        <f>'Introducció dades'!M61</f>
        <v>0</v>
      </c>
      <c r="W58" s="739">
        <f>V58/(1+$C15)</f>
        <v>0</v>
      </c>
      <c r="X58" s="728">
        <f>'Introducció dades'!N61</f>
        <v>0</v>
      </c>
      <c r="Y58" s="739">
        <f>X58/(1+$C15)</f>
        <v>0</v>
      </c>
      <c r="Z58" s="732">
        <f t="shared" si="11"/>
        <v>0</v>
      </c>
      <c r="AA58" s="733">
        <f t="shared" si="11"/>
        <v>0</v>
      </c>
      <c r="AB58" s="18"/>
    </row>
    <row r="59" spans="1:28" s="9" customFormat="1" ht="13" x14ac:dyDescent="0.3">
      <c r="A59" s="731" t="str">
        <f t="shared" si="9"/>
        <v>Maquinària</v>
      </c>
      <c r="B59" s="728">
        <f>'Introducció dades'!C62</f>
        <v>0</v>
      </c>
      <c r="C59" s="739">
        <f>B59/(1+$C16)</f>
        <v>0</v>
      </c>
      <c r="D59" s="728">
        <f>'Introducció dades'!D62</f>
        <v>0</v>
      </c>
      <c r="E59" s="739">
        <f>D59/(1+$C16)</f>
        <v>0</v>
      </c>
      <c r="F59" s="728">
        <f>'Introducció dades'!E62</f>
        <v>0</v>
      </c>
      <c r="G59" s="739">
        <f>F59/(1+$C16)</f>
        <v>0</v>
      </c>
      <c r="H59" s="728">
        <f>'Introducció dades'!F62</f>
        <v>0</v>
      </c>
      <c r="I59" s="739">
        <f>H59/(1+$C16)</f>
        <v>0</v>
      </c>
      <c r="J59" s="728">
        <f>'Introducció dades'!G62</f>
        <v>0</v>
      </c>
      <c r="K59" s="739">
        <f>J59/(1+$C16)</f>
        <v>0</v>
      </c>
      <c r="L59" s="728">
        <f>'Introducció dades'!H62</f>
        <v>0</v>
      </c>
      <c r="M59" s="739">
        <f>L59/(1+$C16)</f>
        <v>0</v>
      </c>
      <c r="N59" s="728">
        <f>'Introducció dades'!I62</f>
        <v>0</v>
      </c>
      <c r="O59" s="739">
        <f>N59/(1+$C16)</f>
        <v>0</v>
      </c>
      <c r="P59" s="728">
        <f>'Introducció dades'!J62</f>
        <v>0</v>
      </c>
      <c r="Q59" s="739">
        <f>P59/(1+$C16)</f>
        <v>0</v>
      </c>
      <c r="R59" s="728">
        <f>'Introducció dades'!K62</f>
        <v>0</v>
      </c>
      <c r="S59" s="739">
        <f>R59/(1+$C16)</f>
        <v>0</v>
      </c>
      <c r="T59" s="728">
        <f>'Introducció dades'!L62</f>
        <v>0</v>
      </c>
      <c r="U59" s="739">
        <f>T59/(1+$C16)</f>
        <v>0</v>
      </c>
      <c r="V59" s="728">
        <f>'Introducció dades'!M62</f>
        <v>0</v>
      </c>
      <c r="W59" s="739">
        <f>V59/(1+$C16)</f>
        <v>0</v>
      </c>
      <c r="X59" s="728">
        <f>'Introducció dades'!N62</f>
        <v>0</v>
      </c>
      <c r="Y59" s="739">
        <f>X59/(1+$C16)</f>
        <v>0</v>
      </c>
      <c r="Z59" s="732">
        <f t="shared" si="11"/>
        <v>0</v>
      </c>
      <c r="AA59" s="733">
        <f t="shared" si="11"/>
        <v>0</v>
      </c>
      <c r="AB59" s="18"/>
    </row>
    <row r="60" spans="1:28" s="9" customFormat="1" ht="13" x14ac:dyDescent="0.3">
      <c r="A60" s="740" t="str">
        <f t="shared" si="9"/>
        <v>Altres instal·lacions</v>
      </c>
      <c r="B60" s="741">
        <f>SUM(B61:B62)</f>
        <v>0</v>
      </c>
      <c r="C60" s="746">
        <f>B60/(1+$C17)</f>
        <v>0</v>
      </c>
      <c r="D60" s="741">
        <f>SUM(D61:D62)</f>
        <v>0</v>
      </c>
      <c r="E60" s="746">
        <f>D60/(1+$C17)</f>
        <v>0</v>
      </c>
      <c r="F60" s="741">
        <f>SUM(F61:F62)</f>
        <v>0</v>
      </c>
      <c r="G60" s="746">
        <f>F60/(1+$C17)</f>
        <v>0</v>
      </c>
      <c r="H60" s="741">
        <f>SUM(H61:H62)</f>
        <v>0</v>
      </c>
      <c r="I60" s="746">
        <f>H60/(1+$C17)</f>
        <v>0</v>
      </c>
      <c r="J60" s="741">
        <f>SUM(J61:J62)</f>
        <v>0</v>
      </c>
      <c r="K60" s="746">
        <f>J60/(1+$C17)</f>
        <v>0</v>
      </c>
      <c r="L60" s="741">
        <f>SUM(L61:L62)</f>
        <v>0</v>
      </c>
      <c r="M60" s="746">
        <f>L60/(1+$C17)</f>
        <v>0</v>
      </c>
      <c r="N60" s="741">
        <f>SUM(N61:N62)</f>
        <v>0</v>
      </c>
      <c r="O60" s="746">
        <f>N60/(1+$C17)</f>
        <v>0</v>
      </c>
      <c r="P60" s="741">
        <f>SUM(P61:P62)</f>
        <v>0</v>
      </c>
      <c r="Q60" s="746">
        <f>P60/(1+$C17)</f>
        <v>0</v>
      </c>
      <c r="R60" s="741">
        <f>SUM(R61:R62)</f>
        <v>0</v>
      </c>
      <c r="S60" s="746">
        <f>R60/(1+$C17)</f>
        <v>0</v>
      </c>
      <c r="T60" s="741">
        <f>SUM(T61:T62)</f>
        <v>0</v>
      </c>
      <c r="U60" s="746">
        <f>T60/(1+$C17)</f>
        <v>0</v>
      </c>
      <c r="V60" s="741">
        <f>SUM(V61:V62)</f>
        <v>0</v>
      </c>
      <c r="W60" s="746">
        <f>V60/(1+$C17)</f>
        <v>0</v>
      </c>
      <c r="X60" s="741">
        <f>SUM(X61:X62)</f>
        <v>0</v>
      </c>
      <c r="Y60" s="746">
        <f>X60/(1+$C17)</f>
        <v>0</v>
      </c>
      <c r="Z60" s="747">
        <f t="shared" si="11"/>
        <v>0</v>
      </c>
      <c r="AA60" s="748">
        <f>SUM(AA61:AA62)</f>
        <v>0</v>
      </c>
      <c r="AB60" s="18"/>
    </row>
    <row r="61" spans="1:28" s="9" customFormat="1" ht="13" x14ac:dyDescent="0.3">
      <c r="A61" s="749" t="str">
        <f t="shared" si="9"/>
        <v>Amb projecte</v>
      </c>
      <c r="B61" s="742">
        <f>'Introducció dades'!C64</f>
        <v>0</v>
      </c>
      <c r="C61" s="743">
        <f>B61/(1+$C17)</f>
        <v>0</v>
      </c>
      <c r="D61" s="742">
        <f>'Introducció dades'!D64</f>
        <v>0</v>
      </c>
      <c r="E61" s="743">
        <f>D61/(1+$C17)</f>
        <v>0</v>
      </c>
      <c r="F61" s="742">
        <f>'Introducció dades'!E64</f>
        <v>0</v>
      </c>
      <c r="G61" s="743">
        <f>F61/(1+$C17)</f>
        <v>0</v>
      </c>
      <c r="H61" s="742">
        <f>'Introducció dades'!F64</f>
        <v>0</v>
      </c>
      <c r="I61" s="743">
        <f>H61/(1+$C17)</f>
        <v>0</v>
      </c>
      <c r="J61" s="742">
        <f>'Introducció dades'!G64</f>
        <v>0</v>
      </c>
      <c r="K61" s="743">
        <f>J61/(1+$C17)</f>
        <v>0</v>
      </c>
      <c r="L61" s="742">
        <f>'Introducció dades'!H64</f>
        <v>0</v>
      </c>
      <c r="M61" s="743">
        <f>L61/(1+$C17)</f>
        <v>0</v>
      </c>
      <c r="N61" s="742">
        <f>'Introducció dades'!I64</f>
        <v>0</v>
      </c>
      <c r="O61" s="743">
        <f>N61/(1+$C17)</f>
        <v>0</v>
      </c>
      <c r="P61" s="742">
        <f>'Introducció dades'!J64</f>
        <v>0</v>
      </c>
      <c r="Q61" s="743">
        <f>P61/(1+$C17)</f>
        <v>0</v>
      </c>
      <c r="R61" s="742">
        <f>'Introducció dades'!K64</f>
        <v>0</v>
      </c>
      <c r="S61" s="743">
        <f>R61/(1+$C17)</f>
        <v>0</v>
      </c>
      <c r="T61" s="742">
        <f>'Introducció dades'!L64</f>
        <v>0</v>
      </c>
      <c r="U61" s="743">
        <f>T61/(1+$C17)</f>
        <v>0</v>
      </c>
      <c r="V61" s="742">
        <f>'Introducció dades'!M64</f>
        <v>0</v>
      </c>
      <c r="W61" s="743">
        <f>V61/(1+$C17)</f>
        <v>0</v>
      </c>
      <c r="X61" s="742">
        <f>'Introducció dades'!N64</f>
        <v>0</v>
      </c>
      <c r="Y61" s="743">
        <f>X61/(1+$C17)</f>
        <v>0</v>
      </c>
      <c r="Z61" s="744">
        <f t="shared" si="11"/>
        <v>0</v>
      </c>
      <c r="AA61" s="745">
        <f>Y61+W61+U61+S61+Q61+O61+M61+K61+I61+G61+E61+C61</f>
        <v>0</v>
      </c>
      <c r="AB61" s="18"/>
    </row>
    <row r="62" spans="1:28" s="9" customFormat="1" ht="13" x14ac:dyDescent="0.3">
      <c r="A62" s="750" t="str">
        <f t="shared" si="9"/>
        <v>Sense projecte</v>
      </c>
      <c r="B62" s="742">
        <f>'Introducció dades'!C65</f>
        <v>0</v>
      </c>
      <c r="C62" s="751">
        <f>B62/(1+$C17)</f>
        <v>0</v>
      </c>
      <c r="D62" s="742">
        <f>'Introducció dades'!D65</f>
        <v>0</v>
      </c>
      <c r="E62" s="751">
        <f>D62/(1+$C17)</f>
        <v>0</v>
      </c>
      <c r="F62" s="742">
        <f>'Introducció dades'!E65</f>
        <v>0</v>
      </c>
      <c r="G62" s="751">
        <f>F62/(1+$C17)</f>
        <v>0</v>
      </c>
      <c r="H62" s="742">
        <f>'Introducció dades'!F65</f>
        <v>0</v>
      </c>
      <c r="I62" s="751">
        <f>H62/(1+$C17)</f>
        <v>0</v>
      </c>
      <c r="J62" s="742">
        <f>'Introducció dades'!G65</f>
        <v>0</v>
      </c>
      <c r="K62" s="751">
        <f>J62/(1+$C17)</f>
        <v>0</v>
      </c>
      <c r="L62" s="742">
        <f>'Introducció dades'!H65</f>
        <v>0</v>
      </c>
      <c r="M62" s="751">
        <f>L62/(1+$C17)</f>
        <v>0</v>
      </c>
      <c r="N62" s="742">
        <f>'Introducció dades'!I65</f>
        <v>0</v>
      </c>
      <c r="O62" s="751">
        <f>N62/(1+$C17)</f>
        <v>0</v>
      </c>
      <c r="P62" s="742">
        <f>'Introducció dades'!J65</f>
        <v>0</v>
      </c>
      <c r="Q62" s="751">
        <f>P62/(1+$C17)</f>
        <v>0</v>
      </c>
      <c r="R62" s="742">
        <f>'Introducció dades'!K65</f>
        <v>0</v>
      </c>
      <c r="S62" s="751">
        <f>R62/(1+$C17)</f>
        <v>0</v>
      </c>
      <c r="T62" s="742">
        <f>'Introducció dades'!L65</f>
        <v>0</v>
      </c>
      <c r="U62" s="751">
        <f>T62/(1+$C17)</f>
        <v>0</v>
      </c>
      <c r="V62" s="742">
        <f>'Introducció dades'!M65</f>
        <v>0</v>
      </c>
      <c r="W62" s="751">
        <f>V62/(1+$C17)</f>
        <v>0</v>
      </c>
      <c r="X62" s="742">
        <f>'Introducció dades'!N65</f>
        <v>0</v>
      </c>
      <c r="Y62" s="751">
        <f>X62/(1+$C17)</f>
        <v>0</v>
      </c>
      <c r="Z62" s="752">
        <f t="shared" si="11"/>
        <v>0</v>
      </c>
      <c r="AA62" s="753">
        <f t="shared" si="11"/>
        <v>0</v>
      </c>
      <c r="AB62" s="18"/>
    </row>
    <row r="63" spans="1:28" s="9" customFormat="1" ht="13" x14ac:dyDescent="0.3">
      <c r="A63" s="731" t="str">
        <f t="shared" si="9"/>
        <v>Mobiliari</v>
      </c>
      <c r="B63" s="754">
        <f>'Introducció dades'!C66</f>
        <v>0</v>
      </c>
      <c r="C63" s="739">
        <f>B63/(1+$C18)</f>
        <v>0</v>
      </c>
      <c r="D63" s="754">
        <f>'Introducció dades'!D66</f>
        <v>0</v>
      </c>
      <c r="E63" s="739">
        <f>D63/(1+$C18)</f>
        <v>0</v>
      </c>
      <c r="F63" s="754">
        <f>'Introducció dades'!E66</f>
        <v>0</v>
      </c>
      <c r="G63" s="739">
        <f>F63/(1+$C18)</f>
        <v>0</v>
      </c>
      <c r="H63" s="754">
        <f>'Introducció dades'!F66</f>
        <v>0</v>
      </c>
      <c r="I63" s="739">
        <f>H63/(1+$C18)</f>
        <v>0</v>
      </c>
      <c r="J63" s="754">
        <f>'Introducció dades'!G66</f>
        <v>0</v>
      </c>
      <c r="K63" s="739">
        <f>J63/(1+$C18)</f>
        <v>0</v>
      </c>
      <c r="L63" s="754">
        <f>'Introducció dades'!H66</f>
        <v>0</v>
      </c>
      <c r="M63" s="739">
        <f>L63/(1+$C18)</f>
        <v>0</v>
      </c>
      <c r="N63" s="754">
        <f>'Introducció dades'!I66</f>
        <v>0</v>
      </c>
      <c r="O63" s="739">
        <f>N63/(1+$C18)</f>
        <v>0</v>
      </c>
      <c r="P63" s="754">
        <f>'Introducció dades'!J66</f>
        <v>0</v>
      </c>
      <c r="Q63" s="739">
        <f>P63/(1+$C18)</f>
        <v>0</v>
      </c>
      <c r="R63" s="754">
        <f>'Introducció dades'!K66</f>
        <v>0</v>
      </c>
      <c r="S63" s="739">
        <f>R63/(1+$C18)</f>
        <v>0</v>
      </c>
      <c r="T63" s="754">
        <f>'Introducció dades'!L66</f>
        <v>0</v>
      </c>
      <c r="U63" s="739">
        <f>T63/(1+$C18)</f>
        <v>0</v>
      </c>
      <c r="V63" s="754">
        <f>'Introducció dades'!M66</f>
        <v>0</v>
      </c>
      <c r="W63" s="739">
        <f>V63/(1+$C18)</f>
        <v>0</v>
      </c>
      <c r="X63" s="754">
        <f>'Introducció dades'!N66</f>
        <v>0</v>
      </c>
      <c r="Y63" s="739">
        <f>X63/(1+$C18)</f>
        <v>0</v>
      </c>
      <c r="Z63" s="732">
        <f t="shared" si="11"/>
        <v>0</v>
      </c>
      <c r="AA63" s="733">
        <f t="shared" si="11"/>
        <v>0</v>
      </c>
      <c r="AB63" s="18"/>
    </row>
    <row r="64" spans="1:28" s="9" customFormat="1" ht="13" x14ac:dyDescent="0.3">
      <c r="A64" s="731" t="str">
        <f t="shared" si="9"/>
        <v>Equips processos informació</v>
      </c>
      <c r="B64" s="754">
        <f>'Introducció dades'!C67</f>
        <v>0</v>
      </c>
      <c r="C64" s="739">
        <f>B64/(1+$C19)</f>
        <v>0</v>
      </c>
      <c r="D64" s="754">
        <f>'Introducció dades'!D67</f>
        <v>0</v>
      </c>
      <c r="E64" s="739">
        <f>D64/(1+$C19)</f>
        <v>0</v>
      </c>
      <c r="F64" s="754">
        <f>'Introducció dades'!E67</f>
        <v>0</v>
      </c>
      <c r="G64" s="739">
        <f>F64/(1+$C19)</f>
        <v>0</v>
      </c>
      <c r="H64" s="754">
        <f>'Introducció dades'!F67</f>
        <v>0</v>
      </c>
      <c r="I64" s="739">
        <f>H64/(1+$C19)</f>
        <v>0</v>
      </c>
      <c r="J64" s="754">
        <f>'Introducció dades'!G67</f>
        <v>0</v>
      </c>
      <c r="K64" s="739">
        <f>J64/(1+$C19)</f>
        <v>0</v>
      </c>
      <c r="L64" s="754">
        <f>'Introducció dades'!H67</f>
        <v>0</v>
      </c>
      <c r="M64" s="739">
        <f>L64/(1+$C19)</f>
        <v>0</v>
      </c>
      <c r="N64" s="754">
        <f>'Introducció dades'!I67</f>
        <v>0</v>
      </c>
      <c r="O64" s="739">
        <f>N64/(1+$C19)</f>
        <v>0</v>
      </c>
      <c r="P64" s="754">
        <f>'Introducció dades'!J67</f>
        <v>0</v>
      </c>
      <c r="Q64" s="739">
        <f>P64/(1+$C19)</f>
        <v>0</v>
      </c>
      <c r="R64" s="754">
        <f>'Introducció dades'!K67</f>
        <v>0</v>
      </c>
      <c r="S64" s="739">
        <f>R64/(1+$C19)</f>
        <v>0</v>
      </c>
      <c r="T64" s="754">
        <f>'Introducció dades'!L67</f>
        <v>0</v>
      </c>
      <c r="U64" s="739">
        <f>T64/(1+$C19)</f>
        <v>0</v>
      </c>
      <c r="V64" s="754">
        <f>'Introducció dades'!M67</f>
        <v>0</v>
      </c>
      <c r="W64" s="739">
        <f>V64/(1+$C19)</f>
        <v>0</v>
      </c>
      <c r="X64" s="754">
        <f>'Introducció dades'!N67</f>
        <v>0</v>
      </c>
      <c r="Y64" s="739">
        <f>X64/(1+$C19)</f>
        <v>0</v>
      </c>
      <c r="Z64" s="732">
        <f t="shared" si="11"/>
        <v>0</v>
      </c>
      <c r="AA64" s="733">
        <f t="shared" si="11"/>
        <v>0</v>
      </c>
      <c r="AB64" s="18"/>
    </row>
    <row r="65" spans="1:28" s="9" customFormat="1" ht="13" x14ac:dyDescent="0.3">
      <c r="A65" s="731" t="str">
        <f t="shared" si="9"/>
        <v>Elements de transport</v>
      </c>
      <c r="B65" s="754">
        <f>'Introducció dades'!C68</f>
        <v>0</v>
      </c>
      <c r="C65" s="739">
        <f>B65/(1+$C20)</f>
        <v>0</v>
      </c>
      <c r="D65" s="754">
        <f>'Introducció dades'!D68</f>
        <v>0</v>
      </c>
      <c r="E65" s="739">
        <f>D65/(1+$C20)</f>
        <v>0</v>
      </c>
      <c r="F65" s="754">
        <f>'Introducció dades'!E68</f>
        <v>0</v>
      </c>
      <c r="G65" s="739">
        <f>F65/(1+$C20)</f>
        <v>0</v>
      </c>
      <c r="H65" s="754">
        <f>'Introducció dades'!F68</f>
        <v>0</v>
      </c>
      <c r="I65" s="739">
        <f>H65/(1+$C20)</f>
        <v>0</v>
      </c>
      <c r="J65" s="754">
        <f>'Introducció dades'!G68</f>
        <v>0</v>
      </c>
      <c r="K65" s="739">
        <f>J65/(1+$C20)</f>
        <v>0</v>
      </c>
      <c r="L65" s="754">
        <f>'Introducció dades'!H68</f>
        <v>0</v>
      </c>
      <c r="M65" s="739">
        <f>L65/(1+$C20)</f>
        <v>0</v>
      </c>
      <c r="N65" s="754">
        <f>'Introducció dades'!I68</f>
        <v>0</v>
      </c>
      <c r="O65" s="739">
        <f>N65/(1+$C20)</f>
        <v>0</v>
      </c>
      <c r="P65" s="754">
        <f>'Introducció dades'!J68</f>
        <v>0</v>
      </c>
      <c r="Q65" s="739">
        <f>P65/(1+$C20)</f>
        <v>0</v>
      </c>
      <c r="R65" s="754">
        <f>'Introducció dades'!K68</f>
        <v>0</v>
      </c>
      <c r="S65" s="739">
        <f>R65/(1+$C20)</f>
        <v>0</v>
      </c>
      <c r="T65" s="754">
        <f>'Introducció dades'!L68</f>
        <v>0</v>
      </c>
      <c r="U65" s="739">
        <f>T65/(1+$C20)</f>
        <v>0</v>
      </c>
      <c r="V65" s="754">
        <f>'Introducció dades'!M68</f>
        <v>0</v>
      </c>
      <c r="W65" s="739">
        <f>V65/(1+$C20)</f>
        <v>0</v>
      </c>
      <c r="X65" s="754">
        <f>'Introducció dades'!N68</f>
        <v>0</v>
      </c>
      <c r="Y65" s="739">
        <f>X65/(1+$C20)</f>
        <v>0</v>
      </c>
      <c r="Z65" s="732">
        <f t="shared" si="11"/>
        <v>0</v>
      </c>
      <c r="AA65" s="733">
        <f t="shared" si="11"/>
        <v>0</v>
      </c>
      <c r="AB65" s="18"/>
    </row>
    <row r="66" spans="1:28" s="9" customFormat="1" ht="13" x14ac:dyDescent="0.3">
      <c r="A66" s="734" t="str">
        <f t="shared" si="9"/>
        <v>Altre immobilitzat material</v>
      </c>
      <c r="B66" s="754">
        <f>'Introducció dades'!C69</f>
        <v>0</v>
      </c>
      <c r="C66" s="735">
        <f>B66/(1+$C21)</f>
        <v>0</v>
      </c>
      <c r="D66" s="754">
        <f>'Introducció dades'!D69</f>
        <v>0</v>
      </c>
      <c r="E66" s="735">
        <f>D66/(1+$C21)</f>
        <v>0</v>
      </c>
      <c r="F66" s="754">
        <f>'Introducció dades'!E69</f>
        <v>0</v>
      </c>
      <c r="G66" s="735">
        <f>F66/(1+$C21)</f>
        <v>0</v>
      </c>
      <c r="H66" s="754">
        <f>'Introducció dades'!F69</f>
        <v>0</v>
      </c>
      <c r="I66" s="735">
        <f>H66/(1+$C21)</f>
        <v>0</v>
      </c>
      <c r="J66" s="754">
        <f>'Introducció dades'!G69</f>
        <v>0</v>
      </c>
      <c r="K66" s="735">
        <f>J66/(1+$C21)</f>
        <v>0</v>
      </c>
      <c r="L66" s="754">
        <f>'Introducció dades'!H69</f>
        <v>0</v>
      </c>
      <c r="M66" s="735">
        <f>L66/(1+$C21)</f>
        <v>0</v>
      </c>
      <c r="N66" s="754">
        <f>'Introducció dades'!I69</f>
        <v>0</v>
      </c>
      <c r="O66" s="735">
        <f>N66/(1+$C21)</f>
        <v>0</v>
      </c>
      <c r="P66" s="754">
        <f>'Introducció dades'!J69</f>
        <v>0</v>
      </c>
      <c r="Q66" s="735">
        <f>P66/(1+$C21)</f>
        <v>0</v>
      </c>
      <c r="R66" s="754">
        <f>'Introducció dades'!K69</f>
        <v>0</v>
      </c>
      <c r="S66" s="735">
        <f>R66/(1+$C21)</f>
        <v>0</v>
      </c>
      <c r="T66" s="754">
        <f>'Introducció dades'!L69</f>
        <v>0</v>
      </c>
      <c r="U66" s="735">
        <f>T66/(1+$C21)</f>
        <v>0</v>
      </c>
      <c r="V66" s="754">
        <f>'Introducció dades'!M69</f>
        <v>0</v>
      </c>
      <c r="W66" s="735">
        <f>V66/(1+$C21)</f>
        <v>0</v>
      </c>
      <c r="X66" s="754">
        <f>'Introducció dades'!N69</f>
        <v>0</v>
      </c>
      <c r="Y66" s="735">
        <f>X66/(1+$C21)</f>
        <v>0</v>
      </c>
      <c r="Z66" s="736">
        <f t="shared" si="11"/>
        <v>0</v>
      </c>
      <c r="AA66" s="737">
        <f t="shared" si="11"/>
        <v>0</v>
      </c>
      <c r="AB66" s="18"/>
    </row>
    <row r="67" spans="1:28" s="9" customFormat="1" ht="13" x14ac:dyDescent="0.3">
      <c r="A67" s="153" t="str">
        <f t="shared" si="9"/>
        <v>FIANCES I DIPÒSITS A LLARG TERMINI</v>
      </c>
      <c r="B67" s="723">
        <f t="shared" ref="B67:AA67" si="12">SUM(B68:B69)</f>
        <v>0</v>
      </c>
      <c r="C67" s="724">
        <f t="shared" si="12"/>
        <v>0</v>
      </c>
      <c r="D67" s="723">
        <f t="shared" si="12"/>
        <v>0</v>
      </c>
      <c r="E67" s="724">
        <f t="shared" si="12"/>
        <v>0</v>
      </c>
      <c r="F67" s="723">
        <f t="shared" si="12"/>
        <v>0</v>
      </c>
      <c r="G67" s="724">
        <f t="shared" si="12"/>
        <v>0</v>
      </c>
      <c r="H67" s="723">
        <f t="shared" si="12"/>
        <v>0</v>
      </c>
      <c r="I67" s="724">
        <f t="shared" si="12"/>
        <v>0</v>
      </c>
      <c r="J67" s="723">
        <f t="shared" si="12"/>
        <v>0</v>
      </c>
      <c r="K67" s="724">
        <f t="shared" si="12"/>
        <v>0</v>
      </c>
      <c r="L67" s="723">
        <f t="shared" si="12"/>
        <v>0</v>
      </c>
      <c r="M67" s="724">
        <f t="shared" si="12"/>
        <v>0</v>
      </c>
      <c r="N67" s="723">
        <f t="shared" si="12"/>
        <v>0</v>
      </c>
      <c r="O67" s="724">
        <f t="shared" si="12"/>
        <v>0</v>
      </c>
      <c r="P67" s="723">
        <f t="shared" si="12"/>
        <v>0</v>
      </c>
      <c r="Q67" s="724">
        <f t="shared" si="12"/>
        <v>0</v>
      </c>
      <c r="R67" s="723">
        <f t="shared" si="12"/>
        <v>0</v>
      </c>
      <c r="S67" s="724">
        <f t="shared" si="12"/>
        <v>0</v>
      </c>
      <c r="T67" s="723">
        <f t="shared" si="12"/>
        <v>0</v>
      </c>
      <c r="U67" s="724">
        <f t="shared" si="12"/>
        <v>0</v>
      </c>
      <c r="V67" s="723">
        <f t="shared" si="12"/>
        <v>0</v>
      </c>
      <c r="W67" s="724">
        <f t="shared" si="12"/>
        <v>0</v>
      </c>
      <c r="X67" s="723">
        <f t="shared" si="12"/>
        <v>0</v>
      </c>
      <c r="Y67" s="724">
        <f t="shared" si="12"/>
        <v>0</v>
      </c>
      <c r="Z67" s="725">
        <f t="shared" si="12"/>
        <v>0</v>
      </c>
      <c r="AA67" s="726">
        <f t="shared" si="12"/>
        <v>0</v>
      </c>
      <c r="AB67" s="18"/>
    </row>
    <row r="68" spans="1:28" s="9" customFormat="1" ht="13" x14ac:dyDescent="0.3">
      <c r="A68" s="727" t="str">
        <f t="shared" si="9"/>
        <v>Fiances a llarg termini</v>
      </c>
      <c r="B68" s="728">
        <f>'Introducció dades'!C71</f>
        <v>0</v>
      </c>
      <c r="C68" s="738">
        <f>B68</f>
        <v>0</v>
      </c>
      <c r="D68" s="728">
        <f>'Introducció dades'!D71</f>
        <v>0</v>
      </c>
      <c r="E68" s="738">
        <f>D68</f>
        <v>0</v>
      </c>
      <c r="F68" s="728">
        <f>'Introducció dades'!E71</f>
        <v>0</v>
      </c>
      <c r="G68" s="738">
        <f>F68</f>
        <v>0</v>
      </c>
      <c r="H68" s="728">
        <f>'Introducció dades'!F71</f>
        <v>0</v>
      </c>
      <c r="I68" s="738">
        <f>H68</f>
        <v>0</v>
      </c>
      <c r="J68" s="728">
        <f>'Introducció dades'!G71</f>
        <v>0</v>
      </c>
      <c r="K68" s="738">
        <f>J68</f>
        <v>0</v>
      </c>
      <c r="L68" s="728">
        <f>'Introducció dades'!H71</f>
        <v>0</v>
      </c>
      <c r="M68" s="738">
        <f>L68</f>
        <v>0</v>
      </c>
      <c r="N68" s="728">
        <f>'Introducció dades'!I71</f>
        <v>0</v>
      </c>
      <c r="O68" s="738">
        <f>N68</f>
        <v>0</v>
      </c>
      <c r="P68" s="728">
        <f>'Introducció dades'!J71</f>
        <v>0</v>
      </c>
      <c r="Q68" s="738">
        <f>P68</f>
        <v>0</v>
      </c>
      <c r="R68" s="728">
        <f>'Introducció dades'!K71</f>
        <v>0</v>
      </c>
      <c r="S68" s="738">
        <f>R68</f>
        <v>0</v>
      </c>
      <c r="T68" s="728">
        <f>'Introducció dades'!L71</f>
        <v>0</v>
      </c>
      <c r="U68" s="738">
        <f>T68</f>
        <v>0</v>
      </c>
      <c r="V68" s="728">
        <f>'Introducció dades'!M71</f>
        <v>0</v>
      </c>
      <c r="W68" s="738">
        <f>V68</f>
        <v>0</v>
      </c>
      <c r="X68" s="728">
        <f>'Introducció dades'!N71</f>
        <v>0</v>
      </c>
      <c r="Y68" s="738">
        <f>X68</f>
        <v>0</v>
      </c>
      <c r="Z68" s="729">
        <f>X68+V68+T68+R68+P68+N68+L68+J68+H68+F68+D68+B68</f>
        <v>0</v>
      </c>
      <c r="AA68" s="730">
        <f>Y68+W68+U68+S68+Q68+O68+M68+K68+I68+G68+E68+C68</f>
        <v>0</v>
      </c>
      <c r="AB68" s="18"/>
    </row>
    <row r="69" spans="1:28" s="9" customFormat="1" ht="13" x14ac:dyDescent="0.3">
      <c r="A69" s="734" t="str">
        <f t="shared" si="9"/>
        <v>Dipòsits a llarg termini</v>
      </c>
      <c r="B69" s="728">
        <f>'Introducció dades'!C72</f>
        <v>0</v>
      </c>
      <c r="C69" s="735">
        <f>B69</f>
        <v>0</v>
      </c>
      <c r="D69" s="728">
        <f>'Introducció dades'!D72</f>
        <v>0</v>
      </c>
      <c r="E69" s="735">
        <f>D69</f>
        <v>0</v>
      </c>
      <c r="F69" s="728">
        <f>'Introducció dades'!E72</f>
        <v>0</v>
      </c>
      <c r="G69" s="735">
        <f>F69</f>
        <v>0</v>
      </c>
      <c r="H69" s="728">
        <f>'Introducció dades'!F72</f>
        <v>0</v>
      </c>
      <c r="I69" s="735">
        <f>H69</f>
        <v>0</v>
      </c>
      <c r="J69" s="728">
        <f>'Introducció dades'!G72</f>
        <v>0</v>
      </c>
      <c r="K69" s="735">
        <f>J69</f>
        <v>0</v>
      </c>
      <c r="L69" s="728">
        <f>'Introducció dades'!H72</f>
        <v>0</v>
      </c>
      <c r="M69" s="735">
        <f>L69</f>
        <v>0</v>
      </c>
      <c r="N69" s="728">
        <f>'Introducció dades'!I72</f>
        <v>0</v>
      </c>
      <c r="O69" s="735">
        <f>N69</f>
        <v>0</v>
      </c>
      <c r="P69" s="728">
        <f>'Introducció dades'!J72</f>
        <v>0</v>
      </c>
      <c r="Q69" s="735">
        <f>P69</f>
        <v>0</v>
      </c>
      <c r="R69" s="728">
        <f>'Introducció dades'!K72</f>
        <v>0</v>
      </c>
      <c r="S69" s="735">
        <f>R69</f>
        <v>0</v>
      </c>
      <c r="T69" s="728">
        <f>'Introducció dades'!L72</f>
        <v>0</v>
      </c>
      <c r="U69" s="735">
        <f>T69</f>
        <v>0</v>
      </c>
      <c r="V69" s="728">
        <f>'Introducció dades'!M72</f>
        <v>0</v>
      </c>
      <c r="W69" s="735">
        <f>V69</f>
        <v>0</v>
      </c>
      <c r="X69" s="728">
        <f>'Introducció dades'!N72</f>
        <v>0</v>
      </c>
      <c r="Y69" s="735">
        <f>X69</f>
        <v>0</v>
      </c>
      <c r="Z69" s="736">
        <f>X69+V69+T69+R69+P69+N69+L69+J69+H69+F69+D69+B69</f>
        <v>0</v>
      </c>
      <c r="AA69" s="737">
        <f>Y69+W69+U69+S69+Q69+O69+M69+K69+I69+G69+E69+C69</f>
        <v>0</v>
      </c>
      <c r="AB69" s="18"/>
    </row>
    <row r="70" spans="1:28" s="9" customFormat="1" ht="13" x14ac:dyDescent="0.3">
      <c r="A70" s="755" t="str">
        <f t="shared" si="9"/>
        <v>TOTAL</v>
      </c>
      <c r="B70" s="756">
        <f t="shared" ref="B70:AA70" si="13">B67+B56+B52</f>
        <v>0</v>
      </c>
      <c r="C70" s="757">
        <f t="shared" si="13"/>
        <v>0</v>
      </c>
      <c r="D70" s="756">
        <f t="shared" si="13"/>
        <v>0</v>
      </c>
      <c r="E70" s="757">
        <f t="shared" si="13"/>
        <v>0</v>
      </c>
      <c r="F70" s="756">
        <f t="shared" si="13"/>
        <v>0</v>
      </c>
      <c r="G70" s="757">
        <f t="shared" si="13"/>
        <v>0</v>
      </c>
      <c r="H70" s="756">
        <f t="shared" si="13"/>
        <v>0</v>
      </c>
      <c r="I70" s="757">
        <f t="shared" si="13"/>
        <v>0</v>
      </c>
      <c r="J70" s="756">
        <f t="shared" si="13"/>
        <v>0</v>
      </c>
      <c r="K70" s="757">
        <f t="shared" si="13"/>
        <v>0</v>
      </c>
      <c r="L70" s="756">
        <f t="shared" si="13"/>
        <v>0</v>
      </c>
      <c r="M70" s="757">
        <f t="shared" si="13"/>
        <v>0</v>
      </c>
      <c r="N70" s="756">
        <f t="shared" si="13"/>
        <v>0</v>
      </c>
      <c r="O70" s="757">
        <f t="shared" si="13"/>
        <v>0</v>
      </c>
      <c r="P70" s="756">
        <f t="shared" si="13"/>
        <v>0</v>
      </c>
      <c r="Q70" s="757">
        <f t="shared" si="13"/>
        <v>0</v>
      </c>
      <c r="R70" s="756">
        <f t="shared" si="13"/>
        <v>0</v>
      </c>
      <c r="S70" s="757">
        <f t="shared" si="13"/>
        <v>0</v>
      </c>
      <c r="T70" s="756">
        <f t="shared" si="13"/>
        <v>0</v>
      </c>
      <c r="U70" s="757">
        <f t="shared" si="13"/>
        <v>0</v>
      </c>
      <c r="V70" s="756">
        <f t="shared" si="13"/>
        <v>0</v>
      </c>
      <c r="W70" s="757">
        <f t="shared" si="13"/>
        <v>0</v>
      </c>
      <c r="X70" s="756">
        <f t="shared" si="13"/>
        <v>0</v>
      </c>
      <c r="Y70" s="757">
        <f t="shared" si="13"/>
        <v>0</v>
      </c>
      <c r="Z70" s="758">
        <f t="shared" si="13"/>
        <v>0</v>
      </c>
      <c r="AA70" s="759">
        <f t="shared" si="13"/>
        <v>0</v>
      </c>
      <c r="AB70" s="18"/>
    </row>
    <row r="71" spans="1:28" s="9" customFormat="1" ht="13" x14ac:dyDescent="0.3">
      <c r="A71" s="760"/>
      <c r="B71" s="18"/>
      <c r="C71" s="18"/>
      <c r="D71" s="18"/>
      <c r="E71" s="18"/>
      <c r="F71" s="18"/>
      <c r="G71" s="18"/>
      <c r="H71" s="18"/>
      <c r="I71" s="18"/>
      <c r="J71" s="18"/>
      <c r="K71" s="18"/>
      <c r="L71" s="18"/>
      <c r="M71" s="18"/>
      <c r="N71" s="18"/>
      <c r="O71" s="18"/>
      <c r="P71" s="18"/>
      <c r="Q71" s="18"/>
      <c r="R71" s="18"/>
      <c r="S71" s="18"/>
      <c r="T71" s="18"/>
      <c r="U71" s="18"/>
      <c r="V71" s="18"/>
      <c r="W71" s="18"/>
      <c r="X71" s="18"/>
      <c r="Y71" s="18"/>
      <c r="Z71" s="761"/>
      <c r="AA71" s="761"/>
      <c r="AB71" s="18"/>
    </row>
    <row r="72" spans="1:28" s="9" customFormat="1" ht="13" x14ac:dyDescent="0.3">
      <c r="A72" s="760"/>
      <c r="B72" s="18"/>
      <c r="C72" s="18"/>
      <c r="D72" s="18"/>
      <c r="E72" s="18"/>
      <c r="F72" s="18"/>
      <c r="G72" s="18"/>
      <c r="H72" s="18"/>
      <c r="I72" s="18"/>
      <c r="J72" s="18"/>
      <c r="K72" s="18"/>
      <c r="L72" s="18"/>
      <c r="M72" s="18"/>
      <c r="N72" s="18"/>
      <c r="O72" s="18"/>
      <c r="P72" s="18"/>
      <c r="Q72" s="18"/>
      <c r="R72" s="18"/>
      <c r="S72" s="18"/>
      <c r="T72" s="18"/>
      <c r="U72" s="18"/>
      <c r="V72" s="18"/>
      <c r="W72" s="18"/>
      <c r="X72" s="18"/>
      <c r="Y72" s="18"/>
      <c r="Z72" s="761"/>
      <c r="AA72" s="761"/>
      <c r="AB72" s="18"/>
    </row>
    <row r="73" spans="1:28" s="9" customFormat="1" ht="13" x14ac:dyDescent="0.3">
      <c r="A73" s="717" t="s">
        <v>57</v>
      </c>
      <c r="B73" s="12"/>
      <c r="C73" s="12"/>
      <c r="D73" s="12"/>
      <c r="E73" s="12"/>
      <c r="F73" s="12"/>
      <c r="G73" s="12"/>
      <c r="H73" s="12"/>
      <c r="I73" s="12"/>
      <c r="J73" s="12"/>
      <c r="K73" s="12"/>
      <c r="L73" s="12"/>
      <c r="M73" s="12"/>
      <c r="N73" s="12"/>
      <c r="O73" s="12"/>
      <c r="P73" s="12"/>
      <c r="Q73" s="12"/>
      <c r="R73" s="12"/>
      <c r="S73" s="12"/>
      <c r="T73" s="12"/>
      <c r="U73" s="12"/>
      <c r="V73" s="12"/>
      <c r="W73" s="12"/>
      <c r="X73" s="12"/>
      <c r="Y73" s="12"/>
      <c r="Z73" s="762"/>
      <c r="AA73" s="762"/>
      <c r="AB73" s="18"/>
    </row>
    <row r="74" spans="1:28" s="9" customFormat="1" ht="13" x14ac:dyDescent="0.3">
      <c r="A74" s="710"/>
      <c r="B74" s="150"/>
      <c r="C74" s="150"/>
      <c r="D74" s="12"/>
      <c r="E74" s="12"/>
      <c r="F74" s="12"/>
      <c r="G74" s="12"/>
      <c r="H74" s="12"/>
      <c r="I74" s="12"/>
      <c r="J74" s="12"/>
      <c r="K74" s="12"/>
      <c r="L74" s="12"/>
      <c r="M74" s="12"/>
      <c r="N74" s="12"/>
      <c r="O74" s="12"/>
      <c r="P74" s="12"/>
      <c r="Q74" s="12"/>
      <c r="R74" s="12"/>
      <c r="S74" s="12"/>
      <c r="T74" s="12"/>
      <c r="U74" s="12"/>
      <c r="V74" s="12"/>
      <c r="W74" s="12"/>
      <c r="X74" s="12"/>
      <c r="Y74" s="12"/>
      <c r="Z74" s="762"/>
      <c r="AA74" s="762"/>
      <c r="AB74" s="18"/>
    </row>
    <row r="75" spans="1:28" s="9" customFormat="1" ht="13" x14ac:dyDescent="0.3">
      <c r="A75" s="21"/>
      <c r="B75" s="1798" t="str">
        <f>B50</f>
        <v>GENER</v>
      </c>
      <c r="C75" s="1798"/>
      <c r="D75" s="1798" t="str">
        <f>D50</f>
        <v>FEBRER</v>
      </c>
      <c r="E75" s="1798"/>
      <c r="F75" s="1798" t="str">
        <f>F50</f>
        <v>MARÇ</v>
      </c>
      <c r="G75" s="1798"/>
      <c r="H75" s="1798" t="str">
        <f>H50</f>
        <v>ABRIL</v>
      </c>
      <c r="I75" s="1798"/>
      <c r="J75" s="1798" t="str">
        <f>J50</f>
        <v>MAIG</v>
      </c>
      <c r="K75" s="1798"/>
      <c r="L75" s="1798" t="str">
        <f>L50</f>
        <v>JUNY</v>
      </c>
      <c r="M75" s="1798"/>
      <c r="N75" s="1798" t="str">
        <f>N50</f>
        <v>JULIOL</v>
      </c>
      <c r="O75" s="1798"/>
      <c r="P75" s="1798" t="str">
        <f>P50</f>
        <v>AGOST</v>
      </c>
      <c r="Q75" s="1798"/>
      <c r="R75" s="1798" t="str">
        <f>R50</f>
        <v>SETEMBRE</v>
      </c>
      <c r="S75" s="1798"/>
      <c r="T75" s="1798" t="str">
        <f>T50</f>
        <v>OCTUBRE</v>
      </c>
      <c r="U75" s="1798"/>
      <c r="V75" s="1798" t="str">
        <f>V50</f>
        <v>NOVEMBRE</v>
      </c>
      <c r="W75" s="1798"/>
      <c r="X75" s="1798" t="str">
        <f>X50</f>
        <v>DESEMBRE</v>
      </c>
      <c r="Y75" s="1798"/>
      <c r="Z75" s="1798" t="str">
        <f>Z50</f>
        <v>TOTAL</v>
      </c>
      <c r="AA75" s="1798"/>
      <c r="AB75" s="18"/>
    </row>
    <row r="76" spans="1:28" s="9" customFormat="1" ht="13" x14ac:dyDescent="0.3">
      <c r="A76" s="718" t="str">
        <f>A51</f>
        <v>INVERSIONS</v>
      </c>
      <c r="B76" s="763" t="s">
        <v>245</v>
      </c>
      <c r="C76" s="764" t="s">
        <v>246</v>
      </c>
      <c r="D76" s="763" t="s">
        <v>245</v>
      </c>
      <c r="E76" s="764" t="s">
        <v>246</v>
      </c>
      <c r="F76" s="763" t="s">
        <v>245</v>
      </c>
      <c r="G76" s="764" t="s">
        <v>246</v>
      </c>
      <c r="H76" s="763" t="s">
        <v>245</v>
      </c>
      <c r="I76" s="764" t="s">
        <v>246</v>
      </c>
      <c r="J76" s="763" t="s">
        <v>245</v>
      </c>
      <c r="K76" s="764" t="s">
        <v>246</v>
      </c>
      <c r="L76" s="763" t="s">
        <v>245</v>
      </c>
      <c r="M76" s="764" t="s">
        <v>246</v>
      </c>
      <c r="N76" s="763" t="s">
        <v>245</v>
      </c>
      <c r="O76" s="764" t="s">
        <v>246</v>
      </c>
      <c r="P76" s="763" t="s">
        <v>245</v>
      </c>
      <c r="Q76" s="764" t="s">
        <v>246</v>
      </c>
      <c r="R76" s="763" t="s">
        <v>245</v>
      </c>
      <c r="S76" s="764" t="s">
        <v>246</v>
      </c>
      <c r="T76" s="763" t="s">
        <v>245</v>
      </c>
      <c r="U76" s="764" t="s">
        <v>246</v>
      </c>
      <c r="V76" s="763" t="s">
        <v>245</v>
      </c>
      <c r="W76" s="764" t="s">
        <v>246</v>
      </c>
      <c r="X76" s="763" t="s">
        <v>245</v>
      </c>
      <c r="Y76" s="764" t="s">
        <v>246</v>
      </c>
      <c r="Z76" s="765" t="s">
        <v>245</v>
      </c>
      <c r="AA76" s="766" t="s">
        <v>246</v>
      </c>
      <c r="AB76" s="18"/>
    </row>
    <row r="77" spans="1:28" s="9" customFormat="1" ht="13" x14ac:dyDescent="0.3">
      <c r="A77" s="153" t="str">
        <f>A52</f>
        <v>INVERSIONS IMMATERIALS</v>
      </c>
      <c r="B77" s="723">
        <f t="shared" ref="B77:AA77" si="14">SUM(B78:B80)</f>
        <v>0</v>
      </c>
      <c r="C77" s="724">
        <f t="shared" si="14"/>
        <v>0</v>
      </c>
      <c r="D77" s="723">
        <f t="shared" si="14"/>
        <v>0</v>
      </c>
      <c r="E77" s="724">
        <f t="shared" si="14"/>
        <v>0</v>
      </c>
      <c r="F77" s="723">
        <f t="shared" si="14"/>
        <v>0</v>
      </c>
      <c r="G77" s="724">
        <f t="shared" si="14"/>
        <v>0</v>
      </c>
      <c r="H77" s="723">
        <f t="shared" si="14"/>
        <v>0</v>
      </c>
      <c r="I77" s="724">
        <f t="shared" si="14"/>
        <v>0</v>
      </c>
      <c r="J77" s="723">
        <f t="shared" si="14"/>
        <v>0</v>
      </c>
      <c r="K77" s="724">
        <f t="shared" si="14"/>
        <v>0</v>
      </c>
      <c r="L77" s="723">
        <f t="shared" si="14"/>
        <v>0</v>
      </c>
      <c r="M77" s="724">
        <f t="shared" si="14"/>
        <v>0</v>
      </c>
      <c r="N77" s="723">
        <f t="shared" si="14"/>
        <v>0</v>
      </c>
      <c r="O77" s="724">
        <f t="shared" si="14"/>
        <v>0</v>
      </c>
      <c r="P77" s="723">
        <f t="shared" si="14"/>
        <v>0</v>
      </c>
      <c r="Q77" s="724">
        <f t="shared" si="14"/>
        <v>0</v>
      </c>
      <c r="R77" s="723">
        <f t="shared" si="14"/>
        <v>0</v>
      </c>
      <c r="S77" s="724">
        <f t="shared" si="14"/>
        <v>0</v>
      </c>
      <c r="T77" s="723">
        <f t="shared" si="14"/>
        <v>0</v>
      </c>
      <c r="U77" s="724">
        <f t="shared" si="14"/>
        <v>0</v>
      </c>
      <c r="V77" s="723">
        <f t="shared" si="14"/>
        <v>0</v>
      </c>
      <c r="W77" s="724">
        <f t="shared" si="14"/>
        <v>0</v>
      </c>
      <c r="X77" s="723">
        <f t="shared" si="14"/>
        <v>0</v>
      </c>
      <c r="Y77" s="724">
        <f t="shared" si="14"/>
        <v>0</v>
      </c>
      <c r="Z77" s="725">
        <f t="shared" si="14"/>
        <v>0</v>
      </c>
      <c r="AA77" s="726">
        <f t="shared" si="14"/>
        <v>0</v>
      </c>
      <c r="AB77" s="18"/>
    </row>
    <row r="78" spans="1:28" s="9" customFormat="1" ht="13" x14ac:dyDescent="0.3">
      <c r="A78" s="727" t="str">
        <f>A53</f>
        <v>Propietat industrial (patents i marques)</v>
      </c>
      <c r="B78" s="728">
        <f>'Introducció dades'!C77</f>
        <v>0</v>
      </c>
      <c r="C78" s="738">
        <f>B78/(1+$C9)</f>
        <v>0</v>
      </c>
      <c r="D78" s="728">
        <f>'Introducció dades'!D77</f>
        <v>0</v>
      </c>
      <c r="E78" s="738">
        <f>D78/(1+$C9)</f>
        <v>0</v>
      </c>
      <c r="F78" s="728">
        <f>'Introducció dades'!E77</f>
        <v>0</v>
      </c>
      <c r="G78" s="738">
        <f>F78/(1+$C9)</f>
        <v>0</v>
      </c>
      <c r="H78" s="728">
        <f>'Introducció dades'!F77</f>
        <v>0</v>
      </c>
      <c r="I78" s="738">
        <f>H78/(1+$C9)</f>
        <v>0</v>
      </c>
      <c r="J78" s="728">
        <f>'Introducció dades'!G77</f>
        <v>0</v>
      </c>
      <c r="K78" s="738">
        <f>J78/(1+$C9)</f>
        <v>0</v>
      </c>
      <c r="L78" s="728">
        <f>'Introducció dades'!H77</f>
        <v>0</v>
      </c>
      <c r="M78" s="738">
        <f>L78/(1+$C9)</f>
        <v>0</v>
      </c>
      <c r="N78" s="728">
        <f>'Introducció dades'!I77</f>
        <v>0</v>
      </c>
      <c r="O78" s="738">
        <f>N78/(1+$C9)</f>
        <v>0</v>
      </c>
      <c r="P78" s="728">
        <f>'Introducció dades'!J77</f>
        <v>0</v>
      </c>
      <c r="Q78" s="738">
        <f>P78/(1+$C9)</f>
        <v>0</v>
      </c>
      <c r="R78" s="728">
        <f>'Introducció dades'!K77</f>
        <v>0</v>
      </c>
      <c r="S78" s="738">
        <f>R78/(1+$C9)</f>
        <v>0</v>
      </c>
      <c r="T78" s="728">
        <v>0</v>
      </c>
      <c r="U78" s="738">
        <f>T78/(1+$C9)</f>
        <v>0</v>
      </c>
      <c r="V78" s="728">
        <f>'Introducció dades'!M77</f>
        <v>0</v>
      </c>
      <c r="W78" s="738">
        <f>V78/(1+$C9)</f>
        <v>0</v>
      </c>
      <c r="X78" s="728">
        <f>'Introducció dades'!N77</f>
        <v>0</v>
      </c>
      <c r="Y78" s="738">
        <f>X78/(1+$C9)</f>
        <v>0</v>
      </c>
      <c r="Z78" s="729">
        <f t="shared" ref="Z78:AA80" si="15">X78+V78+T78+R78+P78+N78+L78+J78+H78+F78+D78+B78</f>
        <v>0</v>
      </c>
      <c r="AA78" s="730">
        <f t="shared" si="15"/>
        <v>0</v>
      </c>
      <c r="AB78" s="18"/>
    </row>
    <row r="79" spans="1:28" s="9" customFormat="1" ht="13" x14ac:dyDescent="0.3">
      <c r="A79" s="731" t="str">
        <f>A54</f>
        <v>Drets de traspàs</v>
      </c>
      <c r="B79" s="728">
        <f>'Introducció dades'!C78</f>
        <v>0</v>
      </c>
      <c r="C79" s="739">
        <f>B79/(1+$C10)</f>
        <v>0</v>
      </c>
      <c r="D79" s="728">
        <f>'Introducció dades'!D78</f>
        <v>0</v>
      </c>
      <c r="E79" s="739">
        <f>D79/(1+$C10)</f>
        <v>0</v>
      </c>
      <c r="F79" s="728">
        <f>'Introducció dades'!E78</f>
        <v>0</v>
      </c>
      <c r="G79" s="739">
        <f>F79/(1+$C10)</f>
        <v>0</v>
      </c>
      <c r="H79" s="728">
        <f>'Introducció dades'!F78</f>
        <v>0</v>
      </c>
      <c r="I79" s="739">
        <f>H79/(1+$C10)</f>
        <v>0</v>
      </c>
      <c r="J79" s="728">
        <f>'Introducció dades'!G78</f>
        <v>0</v>
      </c>
      <c r="K79" s="739">
        <f>J79/(1+$C10)</f>
        <v>0</v>
      </c>
      <c r="L79" s="728">
        <f>'Introducció dades'!H78</f>
        <v>0</v>
      </c>
      <c r="M79" s="739">
        <f>L79/(1+$C10)</f>
        <v>0</v>
      </c>
      <c r="N79" s="728">
        <f>'Introducció dades'!I78</f>
        <v>0</v>
      </c>
      <c r="O79" s="739">
        <f>N79/(1+$C10)</f>
        <v>0</v>
      </c>
      <c r="P79" s="728">
        <f>'Introducció dades'!J78</f>
        <v>0</v>
      </c>
      <c r="Q79" s="739">
        <f>P79/(1+$C10)</f>
        <v>0</v>
      </c>
      <c r="R79" s="728">
        <f>'Introducció dades'!K78</f>
        <v>0</v>
      </c>
      <c r="S79" s="739">
        <f>R79/(1+$C10)</f>
        <v>0</v>
      </c>
      <c r="T79" s="728">
        <v>0</v>
      </c>
      <c r="U79" s="739">
        <f>T79/(1+$C10)</f>
        <v>0</v>
      </c>
      <c r="V79" s="728">
        <f>'Introducció dades'!M78</f>
        <v>0</v>
      </c>
      <c r="W79" s="739">
        <f>V79/(1+$C10)</f>
        <v>0</v>
      </c>
      <c r="X79" s="728">
        <f>'Introducció dades'!N78</f>
        <v>0</v>
      </c>
      <c r="Y79" s="739">
        <f>X79/(1+$C10)</f>
        <v>0</v>
      </c>
      <c r="Z79" s="732">
        <f t="shared" si="15"/>
        <v>0</v>
      </c>
      <c r="AA79" s="733">
        <f t="shared" si="15"/>
        <v>0</v>
      </c>
      <c r="AB79" s="18"/>
    </row>
    <row r="80" spans="1:28" s="9" customFormat="1" ht="13" x14ac:dyDescent="0.3">
      <c r="A80" s="731" t="str">
        <f>A55</f>
        <v>Aplicacions informàtiques</v>
      </c>
      <c r="B80" s="728">
        <f>'Introducció dades'!C79</f>
        <v>0</v>
      </c>
      <c r="C80" s="739">
        <f>B80/(1+$C11)</f>
        <v>0</v>
      </c>
      <c r="D80" s="728">
        <f>'Introducció dades'!D79</f>
        <v>0</v>
      </c>
      <c r="E80" s="739">
        <f>D80/(1+$C11)</f>
        <v>0</v>
      </c>
      <c r="F80" s="728">
        <f>'Introducció dades'!E79</f>
        <v>0</v>
      </c>
      <c r="G80" s="739">
        <f>F80/(1+$C11)</f>
        <v>0</v>
      </c>
      <c r="H80" s="728">
        <f>'Introducció dades'!F79</f>
        <v>0</v>
      </c>
      <c r="I80" s="739">
        <f>H80/(1+$C11)</f>
        <v>0</v>
      </c>
      <c r="J80" s="728">
        <f>'Introducció dades'!G79</f>
        <v>0</v>
      </c>
      <c r="K80" s="739">
        <f>J80/(1+$C11)</f>
        <v>0</v>
      </c>
      <c r="L80" s="728">
        <f>'Introducció dades'!H79</f>
        <v>0</v>
      </c>
      <c r="M80" s="739">
        <f>L80/(1+$C11)</f>
        <v>0</v>
      </c>
      <c r="N80" s="728">
        <f>'Introducció dades'!I79</f>
        <v>0</v>
      </c>
      <c r="O80" s="739">
        <f>N80/(1+$C11)</f>
        <v>0</v>
      </c>
      <c r="P80" s="728">
        <f>'Introducció dades'!J79</f>
        <v>0</v>
      </c>
      <c r="Q80" s="739">
        <f>P80/(1+$C11)</f>
        <v>0</v>
      </c>
      <c r="R80" s="728">
        <f>'Introducció dades'!K79</f>
        <v>0</v>
      </c>
      <c r="S80" s="739">
        <f>R80/(1+$C11)</f>
        <v>0</v>
      </c>
      <c r="T80" s="728">
        <v>0</v>
      </c>
      <c r="U80" s="739">
        <f>T80/(1+$C11)</f>
        <v>0</v>
      </c>
      <c r="V80" s="728">
        <f>'Introducció dades'!M79</f>
        <v>0</v>
      </c>
      <c r="W80" s="739">
        <f>V80/(1+$C11)</f>
        <v>0</v>
      </c>
      <c r="X80" s="728">
        <f>'Introducció dades'!N79</f>
        <v>0</v>
      </c>
      <c r="Y80" s="739">
        <f>X80/(1+$C11)</f>
        <v>0</v>
      </c>
      <c r="Z80" s="732">
        <f t="shared" si="15"/>
        <v>0</v>
      </c>
      <c r="AA80" s="733">
        <f t="shared" si="15"/>
        <v>0</v>
      </c>
      <c r="AB80" s="18"/>
    </row>
    <row r="81" spans="1:28" s="9" customFormat="1" ht="13" x14ac:dyDescent="0.3">
      <c r="A81" s="153" t="str">
        <f t="shared" ref="A81:A95" si="16">A56</f>
        <v>INVERSIONS MATERIALS</v>
      </c>
      <c r="B81" s="723">
        <f>SUM(B82:B85)+SUM(B88:B91)</f>
        <v>0</v>
      </c>
      <c r="C81" s="724">
        <f>SUM(C82:C85)+SUM(C88:C91)</f>
        <v>0</v>
      </c>
      <c r="D81" s="723">
        <f t="shared" ref="D81:Y81" si="17">SUM(D82:D85)+SUM(D88:D91)</f>
        <v>0</v>
      </c>
      <c r="E81" s="724">
        <f t="shared" si="17"/>
        <v>0</v>
      </c>
      <c r="F81" s="723">
        <f t="shared" si="17"/>
        <v>0</v>
      </c>
      <c r="G81" s="724">
        <f t="shared" si="17"/>
        <v>0</v>
      </c>
      <c r="H81" s="723">
        <f t="shared" si="17"/>
        <v>0</v>
      </c>
      <c r="I81" s="724">
        <f t="shared" si="17"/>
        <v>0</v>
      </c>
      <c r="J81" s="723">
        <f t="shared" si="17"/>
        <v>0</v>
      </c>
      <c r="K81" s="724">
        <f t="shared" si="17"/>
        <v>0</v>
      </c>
      <c r="L81" s="723">
        <f t="shared" si="17"/>
        <v>0</v>
      </c>
      <c r="M81" s="724">
        <f t="shared" si="17"/>
        <v>0</v>
      </c>
      <c r="N81" s="723">
        <f t="shared" si="17"/>
        <v>0</v>
      </c>
      <c r="O81" s="724">
        <f t="shared" si="17"/>
        <v>0</v>
      </c>
      <c r="P81" s="723">
        <f t="shared" si="17"/>
        <v>0</v>
      </c>
      <c r="Q81" s="724">
        <f t="shared" si="17"/>
        <v>0</v>
      </c>
      <c r="R81" s="723">
        <f t="shared" si="17"/>
        <v>0</v>
      </c>
      <c r="S81" s="724">
        <f t="shared" si="17"/>
        <v>0</v>
      </c>
      <c r="T81" s="723">
        <f t="shared" si="17"/>
        <v>0</v>
      </c>
      <c r="U81" s="724">
        <f t="shared" si="17"/>
        <v>0</v>
      </c>
      <c r="V81" s="723">
        <f t="shared" si="17"/>
        <v>0</v>
      </c>
      <c r="W81" s="724">
        <f t="shared" si="17"/>
        <v>0</v>
      </c>
      <c r="X81" s="723">
        <f t="shared" si="17"/>
        <v>0</v>
      </c>
      <c r="Y81" s="724">
        <f t="shared" si="17"/>
        <v>0</v>
      </c>
      <c r="Z81" s="725">
        <f>SUM(Z82:Z85)+SUM(Z88:Z91)</f>
        <v>0</v>
      </c>
      <c r="AA81" s="726">
        <f>SUM(AA82:AA85)+SUM(AA88:AA91)</f>
        <v>0</v>
      </c>
      <c r="AB81" s="18"/>
    </row>
    <row r="82" spans="1:28" s="9" customFormat="1" ht="13" x14ac:dyDescent="0.3">
      <c r="A82" s="727" t="str">
        <f t="shared" si="16"/>
        <v>Terrenys</v>
      </c>
      <c r="B82" s="728">
        <f>'Introducció dades'!C81</f>
        <v>0</v>
      </c>
      <c r="C82" s="738">
        <f>B82/(1+$C14)</f>
        <v>0</v>
      </c>
      <c r="D82" s="728">
        <f>'Introducció dades'!D81</f>
        <v>0</v>
      </c>
      <c r="E82" s="738">
        <f>D82/(1+$C14)</f>
        <v>0</v>
      </c>
      <c r="F82" s="728">
        <f>'Introducció dades'!E81</f>
        <v>0</v>
      </c>
      <c r="G82" s="738">
        <f>F82/(1+$C14)</f>
        <v>0</v>
      </c>
      <c r="H82" s="728">
        <f>'Introducció dades'!F81</f>
        <v>0</v>
      </c>
      <c r="I82" s="738">
        <f>H82/(1+$C14)</f>
        <v>0</v>
      </c>
      <c r="J82" s="728">
        <f>'Introducció dades'!G81</f>
        <v>0</v>
      </c>
      <c r="K82" s="738">
        <f>J82/(1+$C14)</f>
        <v>0</v>
      </c>
      <c r="L82" s="728">
        <f>'Introducció dades'!H81</f>
        <v>0</v>
      </c>
      <c r="M82" s="738">
        <f>L82/(1+$C14)</f>
        <v>0</v>
      </c>
      <c r="N82" s="728">
        <f>'Introducció dades'!I81</f>
        <v>0</v>
      </c>
      <c r="O82" s="738">
        <f>N82/(1+$C14)</f>
        <v>0</v>
      </c>
      <c r="P82" s="728">
        <f>'Introducció dades'!J81</f>
        <v>0</v>
      </c>
      <c r="Q82" s="738">
        <f>P82/(1+$C14)</f>
        <v>0</v>
      </c>
      <c r="R82" s="728">
        <f>'Introducció dades'!K81</f>
        <v>0</v>
      </c>
      <c r="S82" s="738">
        <f>R82/(1+$C14)</f>
        <v>0</v>
      </c>
      <c r="T82" s="728">
        <v>0</v>
      </c>
      <c r="U82" s="738">
        <f>T82/(1+$C14)</f>
        <v>0</v>
      </c>
      <c r="V82" s="728">
        <f>'Introducció dades'!M81</f>
        <v>0</v>
      </c>
      <c r="W82" s="738">
        <f>V82/(1+$C14)</f>
        <v>0</v>
      </c>
      <c r="X82" s="728">
        <f>'Introducció dades'!N81</f>
        <v>0</v>
      </c>
      <c r="Y82" s="738">
        <f>X82/(1+$C14)</f>
        <v>0</v>
      </c>
      <c r="Z82" s="729">
        <f t="shared" ref="Z82:AA91" si="18">X82+V82+T82+R82+P82+N82+L82+J82+H82+F82+D82+B82</f>
        <v>0</v>
      </c>
      <c r="AA82" s="730">
        <f t="shared" si="18"/>
        <v>0</v>
      </c>
      <c r="AB82" s="18"/>
    </row>
    <row r="83" spans="1:28" s="9" customFormat="1" ht="13" x14ac:dyDescent="0.3">
      <c r="A83" s="731" t="str">
        <f t="shared" si="16"/>
        <v>Construccions</v>
      </c>
      <c r="B83" s="728">
        <f>'Introducció dades'!C82</f>
        <v>0</v>
      </c>
      <c r="C83" s="739">
        <f>B83/(1+$C15)</f>
        <v>0</v>
      </c>
      <c r="D83" s="728">
        <f>'Introducció dades'!D82</f>
        <v>0</v>
      </c>
      <c r="E83" s="739">
        <f>D83/(1+$C15)</f>
        <v>0</v>
      </c>
      <c r="F83" s="728">
        <f>'Introducció dades'!E82</f>
        <v>0</v>
      </c>
      <c r="G83" s="739">
        <f>F83/(1+$C15)</f>
        <v>0</v>
      </c>
      <c r="H83" s="728">
        <f>'Introducció dades'!F82</f>
        <v>0</v>
      </c>
      <c r="I83" s="739">
        <f>H83/(1+$C15)</f>
        <v>0</v>
      </c>
      <c r="J83" s="728">
        <f>'Introducció dades'!G82</f>
        <v>0</v>
      </c>
      <c r="K83" s="739">
        <f>J83/(1+$C15)</f>
        <v>0</v>
      </c>
      <c r="L83" s="728">
        <f>'Introducció dades'!H82</f>
        <v>0</v>
      </c>
      <c r="M83" s="739">
        <f>L83/(1+$C15)</f>
        <v>0</v>
      </c>
      <c r="N83" s="728">
        <f>'Introducció dades'!I82</f>
        <v>0</v>
      </c>
      <c r="O83" s="739">
        <f>N83/(1+$C15)</f>
        <v>0</v>
      </c>
      <c r="P83" s="728">
        <f>'Introducció dades'!J82</f>
        <v>0</v>
      </c>
      <c r="Q83" s="739">
        <f>P83/(1+$C15)</f>
        <v>0</v>
      </c>
      <c r="R83" s="728">
        <f>'Introducció dades'!K82</f>
        <v>0</v>
      </c>
      <c r="S83" s="739">
        <f>R83/(1+$C15)</f>
        <v>0</v>
      </c>
      <c r="T83" s="728">
        <v>0</v>
      </c>
      <c r="U83" s="739">
        <f>T83/(1+$C15)</f>
        <v>0</v>
      </c>
      <c r="V83" s="728">
        <f>'Introducció dades'!M82</f>
        <v>0</v>
      </c>
      <c r="W83" s="739">
        <f>V83/(1+$C15)</f>
        <v>0</v>
      </c>
      <c r="X83" s="728">
        <f>'Introducció dades'!N82</f>
        <v>0</v>
      </c>
      <c r="Y83" s="739">
        <f>X83/(1+$C15)</f>
        <v>0</v>
      </c>
      <c r="Z83" s="732">
        <f t="shared" si="18"/>
        <v>0</v>
      </c>
      <c r="AA83" s="733">
        <f t="shared" si="18"/>
        <v>0</v>
      </c>
      <c r="AB83" s="18"/>
    </row>
    <row r="84" spans="1:28" s="9" customFormat="1" ht="13" x14ac:dyDescent="0.3">
      <c r="A84" s="731" t="str">
        <f t="shared" si="16"/>
        <v>Maquinària</v>
      </c>
      <c r="B84" s="728">
        <f>'Introducció dades'!C83</f>
        <v>0</v>
      </c>
      <c r="C84" s="739">
        <f>B84/(1+$C16)</f>
        <v>0</v>
      </c>
      <c r="D84" s="728">
        <f>'Introducció dades'!D83</f>
        <v>0</v>
      </c>
      <c r="E84" s="739">
        <f>D84/(1+$C16)</f>
        <v>0</v>
      </c>
      <c r="F84" s="728">
        <f>'Introducció dades'!E83</f>
        <v>0</v>
      </c>
      <c r="G84" s="739">
        <f>F84/(1+$C16)</f>
        <v>0</v>
      </c>
      <c r="H84" s="728">
        <f>'Introducció dades'!F83</f>
        <v>0</v>
      </c>
      <c r="I84" s="739">
        <f>H84/(1+$C16)</f>
        <v>0</v>
      </c>
      <c r="J84" s="728">
        <f>'Introducció dades'!G83</f>
        <v>0</v>
      </c>
      <c r="K84" s="739">
        <f>J84/(1+$C16)</f>
        <v>0</v>
      </c>
      <c r="L84" s="728">
        <f>'Introducció dades'!H83</f>
        <v>0</v>
      </c>
      <c r="M84" s="739">
        <f>L84/(1+$C16)</f>
        <v>0</v>
      </c>
      <c r="N84" s="728">
        <f>'Introducció dades'!I83</f>
        <v>0</v>
      </c>
      <c r="O84" s="739">
        <f>N84/(1+$C16)</f>
        <v>0</v>
      </c>
      <c r="P84" s="728">
        <f>'Introducció dades'!J83</f>
        <v>0</v>
      </c>
      <c r="Q84" s="739">
        <f>P84/(1+$C16)</f>
        <v>0</v>
      </c>
      <c r="R84" s="728">
        <f>'Introducció dades'!K83</f>
        <v>0</v>
      </c>
      <c r="S84" s="739">
        <f>R84/(1+$C16)</f>
        <v>0</v>
      </c>
      <c r="T84" s="728">
        <v>0</v>
      </c>
      <c r="U84" s="739">
        <f>T84/(1+$C16)</f>
        <v>0</v>
      </c>
      <c r="V84" s="728">
        <f>'Introducció dades'!M83</f>
        <v>0</v>
      </c>
      <c r="W84" s="739">
        <f>V84/(1+$C16)</f>
        <v>0</v>
      </c>
      <c r="X84" s="728">
        <f>'Introducció dades'!N83</f>
        <v>0</v>
      </c>
      <c r="Y84" s="739">
        <f>X84/(1+$C16)</f>
        <v>0</v>
      </c>
      <c r="Z84" s="732">
        <f t="shared" si="18"/>
        <v>0</v>
      </c>
      <c r="AA84" s="733">
        <f t="shared" si="18"/>
        <v>0</v>
      </c>
      <c r="AB84" s="18"/>
    </row>
    <row r="85" spans="1:28" s="9" customFormat="1" ht="13" x14ac:dyDescent="0.3">
      <c r="A85" s="740" t="str">
        <f t="shared" si="16"/>
        <v>Altres instal·lacions</v>
      </c>
      <c r="B85" s="741">
        <f>SUM(B86:B87)</f>
        <v>0</v>
      </c>
      <c r="C85" s="746">
        <f>B85/(1+$C17)</f>
        <v>0</v>
      </c>
      <c r="D85" s="741">
        <f>SUM(D86:D87)</f>
        <v>0</v>
      </c>
      <c r="E85" s="746">
        <f>D85/(1+$C17)</f>
        <v>0</v>
      </c>
      <c r="F85" s="741">
        <f>SUM(F86:F87)</f>
        <v>0</v>
      </c>
      <c r="G85" s="746">
        <f>F85/(1+$C17)</f>
        <v>0</v>
      </c>
      <c r="H85" s="741">
        <f>SUM(H86:H87)</f>
        <v>0</v>
      </c>
      <c r="I85" s="746">
        <f>H85/(1+$C17)</f>
        <v>0</v>
      </c>
      <c r="J85" s="741">
        <f>SUM(J86:J87)</f>
        <v>0</v>
      </c>
      <c r="K85" s="746">
        <f>J85/(1+$C17)</f>
        <v>0</v>
      </c>
      <c r="L85" s="741">
        <f>SUM(L86:L87)</f>
        <v>0</v>
      </c>
      <c r="M85" s="746">
        <f>L85/(1+$C17)</f>
        <v>0</v>
      </c>
      <c r="N85" s="741">
        <f>SUM(N86:N87)</f>
        <v>0</v>
      </c>
      <c r="O85" s="746">
        <f>N85/(1+$C17)</f>
        <v>0</v>
      </c>
      <c r="P85" s="741">
        <f>SUM(P86:P87)</f>
        <v>0</v>
      </c>
      <c r="Q85" s="746">
        <f>P85/(1+$C17)</f>
        <v>0</v>
      </c>
      <c r="R85" s="741">
        <f>SUM(R86:R87)</f>
        <v>0</v>
      </c>
      <c r="S85" s="746">
        <f>R85/(1+$C17)</f>
        <v>0</v>
      </c>
      <c r="T85" s="741">
        <f>SUM(T86:T87)</f>
        <v>0</v>
      </c>
      <c r="U85" s="746">
        <f>T85/(1+$C17)</f>
        <v>0</v>
      </c>
      <c r="V85" s="741">
        <f>SUM(V86:V87)</f>
        <v>0</v>
      </c>
      <c r="W85" s="746">
        <f>V85/(1+$C17)</f>
        <v>0</v>
      </c>
      <c r="X85" s="741">
        <f>SUM(X86:X87)</f>
        <v>0</v>
      </c>
      <c r="Y85" s="746">
        <f>X85/(1+$C17)</f>
        <v>0</v>
      </c>
      <c r="Z85" s="747">
        <f t="shared" si="18"/>
        <v>0</v>
      </c>
      <c r="AA85" s="748">
        <f>SUM(AA86:AA87)</f>
        <v>0</v>
      </c>
      <c r="AB85" s="18"/>
    </row>
    <row r="86" spans="1:28" s="9" customFormat="1" ht="13" x14ac:dyDescent="0.3">
      <c r="A86" s="749" t="str">
        <f t="shared" si="16"/>
        <v>Amb projecte</v>
      </c>
      <c r="B86" s="742">
        <f>'Introducció dades'!C85</f>
        <v>0</v>
      </c>
      <c r="C86" s="743">
        <f>B86/(1+$C17)</f>
        <v>0</v>
      </c>
      <c r="D86" s="742">
        <f>'Introducció dades'!D85</f>
        <v>0</v>
      </c>
      <c r="E86" s="743">
        <f>D86/(1+$C17)</f>
        <v>0</v>
      </c>
      <c r="F86" s="742">
        <f>'Introducció dades'!E85</f>
        <v>0</v>
      </c>
      <c r="G86" s="743">
        <f>F86/(1+$C17)</f>
        <v>0</v>
      </c>
      <c r="H86" s="742">
        <f>'Introducció dades'!F85</f>
        <v>0</v>
      </c>
      <c r="I86" s="743">
        <f>H86/(1+$C17)</f>
        <v>0</v>
      </c>
      <c r="J86" s="742">
        <f>'Introducció dades'!G85</f>
        <v>0</v>
      </c>
      <c r="K86" s="743">
        <f>J86/(1+$C17)</f>
        <v>0</v>
      </c>
      <c r="L86" s="742">
        <f>'Introducció dades'!H85</f>
        <v>0</v>
      </c>
      <c r="M86" s="743">
        <f>L86/(1+$C17)</f>
        <v>0</v>
      </c>
      <c r="N86" s="742">
        <f>'Introducció dades'!I85</f>
        <v>0</v>
      </c>
      <c r="O86" s="743">
        <f>N86/(1+$C17)</f>
        <v>0</v>
      </c>
      <c r="P86" s="742">
        <f>'Introducció dades'!J85</f>
        <v>0</v>
      </c>
      <c r="Q86" s="743">
        <f>P86/(1+$C17)</f>
        <v>0</v>
      </c>
      <c r="R86" s="742">
        <f>'Introducció dades'!K85</f>
        <v>0</v>
      </c>
      <c r="S86" s="743">
        <f>R86/(1+$C17)</f>
        <v>0</v>
      </c>
      <c r="T86" s="742">
        <v>0</v>
      </c>
      <c r="U86" s="743">
        <f>T86/(1+$C17)</f>
        <v>0</v>
      </c>
      <c r="V86" s="742">
        <f>'Introducció dades'!M85</f>
        <v>0</v>
      </c>
      <c r="W86" s="743">
        <f>V86/(1+$C17)</f>
        <v>0</v>
      </c>
      <c r="X86" s="742">
        <f>'Introducció dades'!N85</f>
        <v>0</v>
      </c>
      <c r="Y86" s="743">
        <f>X86/(1+$C17)</f>
        <v>0</v>
      </c>
      <c r="Z86" s="744">
        <f t="shared" si="18"/>
        <v>0</v>
      </c>
      <c r="AA86" s="745">
        <f>Y86+W86+U86+S86+Q86+O86+M86+K86+I86+G86+E86+C86</f>
        <v>0</v>
      </c>
      <c r="AB86" s="18"/>
    </row>
    <row r="87" spans="1:28" s="9" customFormat="1" ht="13" x14ac:dyDescent="0.3">
      <c r="A87" s="750" t="str">
        <f t="shared" si="16"/>
        <v>Sense projecte</v>
      </c>
      <c r="B87" s="742">
        <f>'Introducció dades'!C86</f>
        <v>0</v>
      </c>
      <c r="C87" s="751">
        <f>B87/(1+$C17)</f>
        <v>0</v>
      </c>
      <c r="D87" s="742">
        <f>'Introducció dades'!D86</f>
        <v>0</v>
      </c>
      <c r="E87" s="751">
        <f>D87/(1+$C17)</f>
        <v>0</v>
      </c>
      <c r="F87" s="742">
        <f>'Introducció dades'!E86</f>
        <v>0</v>
      </c>
      <c r="G87" s="751">
        <f>F87/(1+$C17)</f>
        <v>0</v>
      </c>
      <c r="H87" s="742">
        <f>'Introducció dades'!F86</f>
        <v>0</v>
      </c>
      <c r="I87" s="751">
        <f>H87/(1+$C17)</f>
        <v>0</v>
      </c>
      <c r="J87" s="742">
        <f>'Introducció dades'!G86</f>
        <v>0</v>
      </c>
      <c r="K87" s="751">
        <f>J87/(1+$C17)</f>
        <v>0</v>
      </c>
      <c r="L87" s="742">
        <f>'Introducció dades'!H86</f>
        <v>0</v>
      </c>
      <c r="M87" s="751">
        <f>L87/(1+$C17)</f>
        <v>0</v>
      </c>
      <c r="N87" s="742">
        <f>'Introducció dades'!I86</f>
        <v>0</v>
      </c>
      <c r="O87" s="751">
        <f>N87/(1+$C17)</f>
        <v>0</v>
      </c>
      <c r="P87" s="742">
        <f>'Introducció dades'!J86</f>
        <v>0</v>
      </c>
      <c r="Q87" s="751">
        <f>P87/(1+$C17)</f>
        <v>0</v>
      </c>
      <c r="R87" s="742">
        <f>'Introducció dades'!K86</f>
        <v>0</v>
      </c>
      <c r="S87" s="751">
        <f>R87/(1+$C17)</f>
        <v>0</v>
      </c>
      <c r="T87" s="742">
        <v>0</v>
      </c>
      <c r="U87" s="751">
        <f>T87/(1+$C17)</f>
        <v>0</v>
      </c>
      <c r="V87" s="742">
        <f>'Introducció dades'!M86</f>
        <v>0</v>
      </c>
      <c r="W87" s="751">
        <f>V87/(1+$C17)</f>
        <v>0</v>
      </c>
      <c r="X87" s="742">
        <f>'Introducció dades'!N86</f>
        <v>0</v>
      </c>
      <c r="Y87" s="751">
        <f>X87/(1+$C17)</f>
        <v>0</v>
      </c>
      <c r="Z87" s="752">
        <f t="shared" si="18"/>
        <v>0</v>
      </c>
      <c r="AA87" s="753">
        <f t="shared" si="18"/>
        <v>0</v>
      </c>
      <c r="AB87" s="18"/>
    </row>
    <row r="88" spans="1:28" s="9" customFormat="1" ht="13" x14ac:dyDescent="0.3">
      <c r="A88" s="731" t="str">
        <f t="shared" si="16"/>
        <v>Mobiliari</v>
      </c>
      <c r="B88" s="754">
        <f>'Introducció dades'!C87</f>
        <v>0</v>
      </c>
      <c r="C88" s="739">
        <f>B88/(1+$C18)</f>
        <v>0</v>
      </c>
      <c r="D88" s="754">
        <f>'Introducció dades'!D87</f>
        <v>0</v>
      </c>
      <c r="E88" s="739">
        <f>D88/(1+$C18)</f>
        <v>0</v>
      </c>
      <c r="F88" s="754">
        <f>'Introducció dades'!E87</f>
        <v>0</v>
      </c>
      <c r="G88" s="739">
        <f>F88/(1+$C18)</f>
        <v>0</v>
      </c>
      <c r="H88" s="754">
        <f>'Introducció dades'!F87</f>
        <v>0</v>
      </c>
      <c r="I88" s="739">
        <f>H88/(1+$C18)</f>
        <v>0</v>
      </c>
      <c r="J88" s="754">
        <f>'Introducció dades'!G87</f>
        <v>0</v>
      </c>
      <c r="K88" s="739">
        <f>J88/(1+$C18)</f>
        <v>0</v>
      </c>
      <c r="L88" s="754">
        <f>'Introducció dades'!H87</f>
        <v>0</v>
      </c>
      <c r="M88" s="739">
        <f>L88/(1+$C18)</f>
        <v>0</v>
      </c>
      <c r="N88" s="754">
        <f>'Introducció dades'!I87</f>
        <v>0</v>
      </c>
      <c r="O88" s="739">
        <f>N88/(1+$C18)</f>
        <v>0</v>
      </c>
      <c r="P88" s="754">
        <f>'Introducció dades'!J87</f>
        <v>0</v>
      </c>
      <c r="Q88" s="739">
        <f>P88/(1+$C18)</f>
        <v>0</v>
      </c>
      <c r="R88" s="754">
        <f>'Introducció dades'!K87</f>
        <v>0</v>
      </c>
      <c r="S88" s="739">
        <f>R88/(1+$C18)</f>
        <v>0</v>
      </c>
      <c r="T88" s="754">
        <v>0</v>
      </c>
      <c r="U88" s="739">
        <f>T88/(1+$C18)</f>
        <v>0</v>
      </c>
      <c r="V88" s="754">
        <f>'Introducció dades'!M87</f>
        <v>0</v>
      </c>
      <c r="W88" s="739">
        <f>V88/(1+$C18)</f>
        <v>0</v>
      </c>
      <c r="X88" s="754">
        <f>'Introducció dades'!N87</f>
        <v>0</v>
      </c>
      <c r="Y88" s="739">
        <f>X88/(1+$C18)</f>
        <v>0</v>
      </c>
      <c r="Z88" s="732">
        <f t="shared" si="18"/>
        <v>0</v>
      </c>
      <c r="AA88" s="733">
        <f t="shared" si="18"/>
        <v>0</v>
      </c>
      <c r="AB88" s="18"/>
    </row>
    <row r="89" spans="1:28" s="9" customFormat="1" ht="13" x14ac:dyDescent="0.3">
      <c r="A89" s="731" t="str">
        <f t="shared" si="16"/>
        <v>Equips processos informació</v>
      </c>
      <c r="B89" s="754">
        <f>'Introducció dades'!C88</f>
        <v>0</v>
      </c>
      <c r="C89" s="739">
        <f>B89/(1+$C19)</f>
        <v>0</v>
      </c>
      <c r="D89" s="754">
        <f>'Introducció dades'!D88</f>
        <v>0</v>
      </c>
      <c r="E89" s="739">
        <f>D89/(1+$C19)</f>
        <v>0</v>
      </c>
      <c r="F89" s="754">
        <f>'Introducció dades'!E88</f>
        <v>0</v>
      </c>
      <c r="G89" s="739">
        <f>F89/(1+$C19)</f>
        <v>0</v>
      </c>
      <c r="H89" s="754">
        <f>'Introducció dades'!F88</f>
        <v>0</v>
      </c>
      <c r="I89" s="739">
        <f>H89/(1+$C19)</f>
        <v>0</v>
      </c>
      <c r="J89" s="754">
        <f>'Introducció dades'!G88</f>
        <v>0</v>
      </c>
      <c r="K89" s="739">
        <f>J89/(1+$C19)</f>
        <v>0</v>
      </c>
      <c r="L89" s="754">
        <f>'Introducció dades'!H88</f>
        <v>0</v>
      </c>
      <c r="M89" s="739">
        <f>L89/(1+$C19)</f>
        <v>0</v>
      </c>
      <c r="N89" s="754">
        <f>'Introducció dades'!I88</f>
        <v>0</v>
      </c>
      <c r="O89" s="739">
        <f>N89/(1+$C19)</f>
        <v>0</v>
      </c>
      <c r="P89" s="754">
        <f>'Introducció dades'!J88</f>
        <v>0</v>
      </c>
      <c r="Q89" s="739">
        <f>P89/(1+$C19)</f>
        <v>0</v>
      </c>
      <c r="R89" s="754">
        <f>'Introducció dades'!K88</f>
        <v>0</v>
      </c>
      <c r="S89" s="739">
        <f>R89/(1+$C19)</f>
        <v>0</v>
      </c>
      <c r="T89" s="754">
        <v>0</v>
      </c>
      <c r="U89" s="739">
        <f>T89/(1+$C19)</f>
        <v>0</v>
      </c>
      <c r="V89" s="754">
        <f>'Introducció dades'!M88</f>
        <v>0</v>
      </c>
      <c r="W89" s="739">
        <f>V89/(1+$C19)</f>
        <v>0</v>
      </c>
      <c r="X89" s="754">
        <f>'Introducció dades'!N88</f>
        <v>0</v>
      </c>
      <c r="Y89" s="739">
        <f>X89/(1+$C19)</f>
        <v>0</v>
      </c>
      <c r="Z89" s="732">
        <f t="shared" si="18"/>
        <v>0</v>
      </c>
      <c r="AA89" s="733">
        <f t="shared" si="18"/>
        <v>0</v>
      </c>
      <c r="AB89" s="18"/>
    </row>
    <row r="90" spans="1:28" s="9" customFormat="1" ht="13" x14ac:dyDescent="0.3">
      <c r="A90" s="731" t="str">
        <f t="shared" si="16"/>
        <v>Elements de transport</v>
      </c>
      <c r="B90" s="754">
        <f>'Introducció dades'!C89</f>
        <v>0</v>
      </c>
      <c r="C90" s="739">
        <f>B90/(1+$C20)</f>
        <v>0</v>
      </c>
      <c r="D90" s="754">
        <f>'Introducció dades'!D89</f>
        <v>0</v>
      </c>
      <c r="E90" s="739">
        <f>D90/(1+$C20)</f>
        <v>0</v>
      </c>
      <c r="F90" s="754">
        <f>'Introducció dades'!E89</f>
        <v>0</v>
      </c>
      <c r="G90" s="739">
        <f>F90/(1+$C20)</f>
        <v>0</v>
      </c>
      <c r="H90" s="754">
        <f>'Introducció dades'!F89</f>
        <v>0</v>
      </c>
      <c r="I90" s="739">
        <f>H90/(1+$C20)</f>
        <v>0</v>
      </c>
      <c r="J90" s="754">
        <f>'Introducció dades'!G89</f>
        <v>0</v>
      </c>
      <c r="K90" s="739">
        <f>J90/(1+$C20)</f>
        <v>0</v>
      </c>
      <c r="L90" s="754">
        <f>'Introducció dades'!H89</f>
        <v>0</v>
      </c>
      <c r="M90" s="739">
        <f>L90/(1+$C20)</f>
        <v>0</v>
      </c>
      <c r="N90" s="754">
        <f>'Introducció dades'!I89</f>
        <v>0</v>
      </c>
      <c r="O90" s="739">
        <f>N90/(1+$C20)</f>
        <v>0</v>
      </c>
      <c r="P90" s="754">
        <f>'Introducció dades'!J89</f>
        <v>0</v>
      </c>
      <c r="Q90" s="739">
        <f>P90/(1+$C20)</f>
        <v>0</v>
      </c>
      <c r="R90" s="754">
        <f>'Introducció dades'!K89</f>
        <v>0</v>
      </c>
      <c r="S90" s="739">
        <f>R90/(1+$C20)</f>
        <v>0</v>
      </c>
      <c r="T90" s="754">
        <v>0</v>
      </c>
      <c r="U90" s="739">
        <f>T90/(1+$C20)</f>
        <v>0</v>
      </c>
      <c r="V90" s="754">
        <f>'Introducció dades'!M89</f>
        <v>0</v>
      </c>
      <c r="W90" s="739">
        <f>V90/(1+$C20)</f>
        <v>0</v>
      </c>
      <c r="X90" s="754">
        <f>'Introducció dades'!N89</f>
        <v>0</v>
      </c>
      <c r="Y90" s="739">
        <f>X90/(1+$C20)</f>
        <v>0</v>
      </c>
      <c r="Z90" s="732">
        <f t="shared" si="18"/>
        <v>0</v>
      </c>
      <c r="AA90" s="733">
        <f t="shared" si="18"/>
        <v>0</v>
      </c>
      <c r="AB90" s="18"/>
    </row>
    <row r="91" spans="1:28" s="9" customFormat="1" ht="13" x14ac:dyDescent="0.3">
      <c r="A91" s="734" t="str">
        <f t="shared" si="16"/>
        <v>Altre immobilitzat material</v>
      </c>
      <c r="B91" s="754">
        <f>'Introducció dades'!C90</f>
        <v>0</v>
      </c>
      <c r="C91" s="735">
        <f>B91/(1+$C21)</f>
        <v>0</v>
      </c>
      <c r="D91" s="754">
        <f>'Introducció dades'!D90</f>
        <v>0</v>
      </c>
      <c r="E91" s="735">
        <f>D91/(1+$C21)</f>
        <v>0</v>
      </c>
      <c r="F91" s="754">
        <f>'Introducció dades'!E90</f>
        <v>0</v>
      </c>
      <c r="G91" s="735">
        <f>F91/(1+$C21)</f>
        <v>0</v>
      </c>
      <c r="H91" s="754">
        <f>'Introducció dades'!F90</f>
        <v>0</v>
      </c>
      <c r="I91" s="735">
        <f>H91/(1+$C21)</f>
        <v>0</v>
      </c>
      <c r="J91" s="754">
        <f>'Introducció dades'!G90</f>
        <v>0</v>
      </c>
      <c r="K91" s="735">
        <f>J91/(1+$C21)</f>
        <v>0</v>
      </c>
      <c r="L91" s="754">
        <f>'Introducció dades'!H90</f>
        <v>0</v>
      </c>
      <c r="M91" s="735">
        <f>L91/(1+$C21)</f>
        <v>0</v>
      </c>
      <c r="N91" s="754">
        <f>'Introducció dades'!I90</f>
        <v>0</v>
      </c>
      <c r="O91" s="735">
        <f>N91/(1+$C21)</f>
        <v>0</v>
      </c>
      <c r="P91" s="754">
        <f>'Introducció dades'!J90</f>
        <v>0</v>
      </c>
      <c r="Q91" s="735">
        <f>P91/(1+$C21)</f>
        <v>0</v>
      </c>
      <c r="R91" s="754">
        <f>'Introducció dades'!K90</f>
        <v>0</v>
      </c>
      <c r="S91" s="735">
        <f>R91/(1+$C21)</f>
        <v>0</v>
      </c>
      <c r="T91" s="754">
        <v>0</v>
      </c>
      <c r="U91" s="735">
        <f>T91/(1+$C21)</f>
        <v>0</v>
      </c>
      <c r="V91" s="754">
        <f>'Introducció dades'!M90</f>
        <v>0</v>
      </c>
      <c r="W91" s="735">
        <f>V91/(1+$C21)</f>
        <v>0</v>
      </c>
      <c r="X91" s="754">
        <f>'Introducció dades'!N90</f>
        <v>0</v>
      </c>
      <c r="Y91" s="735">
        <f>X91/(1+$C21)</f>
        <v>0</v>
      </c>
      <c r="Z91" s="736">
        <f t="shared" si="18"/>
        <v>0</v>
      </c>
      <c r="AA91" s="737">
        <f t="shared" si="18"/>
        <v>0</v>
      </c>
      <c r="AB91" s="18"/>
    </row>
    <row r="92" spans="1:28" s="9" customFormat="1" ht="13" x14ac:dyDescent="0.3">
      <c r="A92" s="153" t="str">
        <f t="shared" si="16"/>
        <v>FIANCES I DIPÒSITS A LLARG TERMINI</v>
      </c>
      <c r="B92" s="723">
        <f t="shared" ref="B92:AA92" si="19">SUM(B93:B94)</f>
        <v>0</v>
      </c>
      <c r="C92" s="724">
        <f t="shared" si="19"/>
        <v>0</v>
      </c>
      <c r="D92" s="723">
        <f t="shared" si="19"/>
        <v>0</v>
      </c>
      <c r="E92" s="724">
        <f t="shared" si="19"/>
        <v>0</v>
      </c>
      <c r="F92" s="723">
        <f t="shared" si="19"/>
        <v>0</v>
      </c>
      <c r="G92" s="724">
        <f t="shared" si="19"/>
        <v>0</v>
      </c>
      <c r="H92" s="723">
        <f t="shared" si="19"/>
        <v>0</v>
      </c>
      <c r="I92" s="724">
        <f t="shared" si="19"/>
        <v>0</v>
      </c>
      <c r="J92" s="723">
        <f t="shared" si="19"/>
        <v>0</v>
      </c>
      <c r="K92" s="724">
        <f t="shared" si="19"/>
        <v>0</v>
      </c>
      <c r="L92" s="723">
        <f t="shared" si="19"/>
        <v>0</v>
      </c>
      <c r="M92" s="724">
        <f t="shared" si="19"/>
        <v>0</v>
      </c>
      <c r="N92" s="723">
        <f t="shared" si="19"/>
        <v>0</v>
      </c>
      <c r="O92" s="724">
        <f t="shared" si="19"/>
        <v>0</v>
      </c>
      <c r="P92" s="723">
        <f t="shared" si="19"/>
        <v>0</v>
      </c>
      <c r="Q92" s="724">
        <f t="shared" si="19"/>
        <v>0</v>
      </c>
      <c r="R92" s="723">
        <f t="shared" si="19"/>
        <v>0</v>
      </c>
      <c r="S92" s="724">
        <f t="shared" si="19"/>
        <v>0</v>
      </c>
      <c r="T92" s="723">
        <f t="shared" si="19"/>
        <v>0</v>
      </c>
      <c r="U92" s="724">
        <f t="shared" si="19"/>
        <v>0</v>
      </c>
      <c r="V92" s="723">
        <f t="shared" si="19"/>
        <v>0</v>
      </c>
      <c r="W92" s="724">
        <f t="shared" si="19"/>
        <v>0</v>
      </c>
      <c r="X92" s="723">
        <f t="shared" si="19"/>
        <v>0</v>
      </c>
      <c r="Y92" s="724">
        <f t="shared" si="19"/>
        <v>0</v>
      </c>
      <c r="Z92" s="725">
        <f t="shared" si="19"/>
        <v>0</v>
      </c>
      <c r="AA92" s="726">
        <f t="shared" si="19"/>
        <v>0</v>
      </c>
      <c r="AB92" s="18"/>
    </row>
    <row r="93" spans="1:28" s="9" customFormat="1" ht="13" x14ac:dyDescent="0.3">
      <c r="A93" s="727" t="str">
        <f t="shared" si="16"/>
        <v>Fiances a llarg termini</v>
      </c>
      <c r="B93" s="728">
        <f>'Introducció dades'!C92</f>
        <v>0</v>
      </c>
      <c r="C93" s="738">
        <f>B93</f>
        <v>0</v>
      </c>
      <c r="D93" s="728">
        <f>'Introducció dades'!D92</f>
        <v>0</v>
      </c>
      <c r="E93" s="738">
        <f>D93</f>
        <v>0</v>
      </c>
      <c r="F93" s="728">
        <f>'Introducció dades'!E92</f>
        <v>0</v>
      </c>
      <c r="G93" s="738">
        <f>F93</f>
        <v>0</v>
      </c>
      <c r="H93" s="728">
        <f>'Introducció dades'!F92</f>
        <v>0</v>
      </c>
      <c r="I93" s="738">
        <f>H93</f>
        <v>0</v>
      </c>
      <c r="J93" s="728">
        <f>'Introducció dades'!G92</f>
        <v>0</v>
      </c>
      <c r="K93" s="738">
        <f>J93</f>
        <v>0</v>
      </c>
      <c r="L93" s="728">
        <f>'Introducció dades'!H92</f>
        <v>0</v>
      </c>
      <c r="M93" s="738">
        <f>L93</f>
        <v>0</v>
      </c>
      <c r="N93" s="728">
        <f>'Introducció dades'!I92</f>
        <v>0</v>
      </c>
      <c r="O93" s="738">
        <f>N93</f>
        <v>0</v>
      </c>
      <c r="P93" s="728">
        <f>'Introducció dades'!J92</f>
        <v>0</v>
      </c>
      <c r="Q93" s="738">
        <f>P93</f>
        <v>0</v>
      </c>
      <c r="R93" s="728">
        <f>'Introducció dades'!K92</f>
        <v>0</v>
      </c>
      <c r="S93" s="738">
        <f>R93</f>
        <v>0</v>
      </c>
      <c r="T93" s="728">
        <v>0</v>
      </c>
      <c r="U93" s="738">
        <f>T93</f>
        <v>0</v>
      </c>
      <c r="V93" s="728">
        <f>'Introducció dades'!M92</f>
        <v>0</v>
      </c>
      <c r="W93" s="738">
        <f>V93</f>
        <v>0</v>
      </c>
      <c r="X93" s="728">
        <f>'Introducció dades'!N92</f>
        <v>0</v>
      </c>
      <c r="Y93" s="738">
        <f>X93</f>
        <v>0</v>
      </c>
      <c r="Z93" s="729">
        <f>X93+V93+T93+R93+P93+N93+L93+J93+H93+F93+D93+B93</f>
        <v>0</v>
      </c>
      <c r="AA93" s="730">
        <f>Y93+W93+U93+S93+Q93+O93+M93+K93+I93+G93+E93+C93</f>
        <v>0</v>
      </c>
      <c r="AB93" s="18"/>
    </row>
    <row r="94" spans="1:28" s="9" customFormat="1" ht="13" x14ac:dyDescent="0.3">
      <c r="A94" s="734" t="str">
        <f t="shared" si="16"/>
        <v>Dipòsits a llarg termini</v>
      </c>
      <c r="B94" s="728">
        <f>'Introducció dades'!C93</f>
        <v>0</v>
      </c>
      <c r="C94" s="735">
        <f>B94</f>
        <v>0</v>
      </c>
      <c r="D94" s="728">
        <f>'Introducció dades'!D93</f>
        <v>0</v>
      </c>
      <c r="E94" s="735">
        <f>D94</f>
        <v>0</v>
      </c>
      <c r="F94" s="728">
        <f>'Introducció dades'!E93</f>
        <v>0</v>
      </c>
      <c r="G94" s="735">
        <f>F94</f>
        <v>0</v>
      </c>
      <c r="H94" s="728">
        <f>'Introducció dades'!F93</f>
        <v>0</v>
      </c>
      <c r="I94" s="735">
        <f>H94</f>
        <v>0</v>
      </c>
      <c r="J94" s="728">
        <f>'Introducció dades'!G93</f>
        <v>0</v>
      </c>
      <c r="K94" s="735">
        <f>J94</f>
        <v>0</v>
      </c>
      <c r="L94" s="728">
        <f>'Introducció dades'!H93</f>
        <v>0</v>
      </c>
      <c r="M94" s="735">
        <f>L94</f>
        <v>0</v>
      </c>
      <c r="N94" s="728">
        <f>'Introducció dades'!I93</f>
        <v>0</v>
      </c>
      <c r="O94" s="735">
        <f>N94</f>
        <v>0</v>
      </c>
      <c r="P94" s="728">
        <f>'Introducció dades'!J93</f>
        <v>0</v>
      </c>
      <c r="Q94" s="735">
        <f>P94</f>
        <v>0</v>
      </c>
      <c r="R94" s="728">
        <f>'Introducció dades'!K93</f>
        <v>0</v>
      </c>
      <c r="S94" s="735">
        <f>R94</f>
        <v>0</v>
      </c>
      <c r="T94" s="728">
        <v>0</v>
      </c>
      <c r="U94" s="735">
        <f>T94</f>
        <v>0</v>
      </c>
      <c r="V94" s="728">
        <f>'Introducció dades'!M93</f>
        <v>0</v>
      </c>
      <c r="W94" s="735">
        <f>V94</f>
        <v>0</v>
      </c>
      <c r="X94" s="728">
        <f>'Introducció dades'!N93</f>
        <v>0</v>
      </c>
      <c r="Y94" s="735">
        <f>X94</f>
        <v>0</v>
      </c>
      <c r="Z94" s="736">
        <f>X94+V94+T94+R94+P94+N94+L94+J94+H94+F94+D94+B94</f>
        <v>0</v>
      </c>
      <c r="AA94" s="737">
        <f>Y94+W94+U94+S94+Q94+O94+M94+K94+I94+G94+E94+C94</f>
        <v>0</v>
      </c>
      <c r="AB94" s="18"/>
    </row>
    <row r="95" spans="1:28" s="9" customFormat="1" ht="13" x14ac:dyDescent="0.3">
      <c r="A95" s="755" t="str">
        <f t="shared" si="16"/>
        <v>TOTAL</v>
      </c>
      <c r="B95" s="756">
        <f t="shared" ref="B95:AA95" si="20">B92+B81+B77</f>
        <v>0</v>
      </c>
      <c r="C95" s="756">
        <f t="shared" si="20"/>
        <v>0</v>
      </c>
      <c r="D95" s="756">
        <f t="shared" si="20"/>
        <v>0</v>
      </c>
      <c r="E95" s="756">
        <f t="shared" si="20"/>
        <v>0</v>
      </c>
      <c r="F95" s="756">
        <f t="shared" si="20"/>
        <v>0</v>
      </c>
      <c r="G95" s="756">
        <f t="shared" si="20"/>
        <v>0</v>
      </c>
      <c r="H95" s="756">
        <f t="shared" si="20"/>
        <v>0</v>
      </c>
      <c r="I95" s="756">
        <f t="shared" si="20"/>
        <v>0</v>
      </c>
      <c r="J95" s="756">
        <f t="shared" si="20"/>
        <v>0</v>
      </c>
      <c r="K95" s="756">
        <f t="shared" si="20"/>
        <v>0</v>
      </c>
      <c r="L95" s="756">
        <f t="shared" si="20"/>
        <v>0</v>
      </c>
      <c r="M95" s="756">
        <f t="shared" si="20"/>
        <v>0</v>
      </c>
      <c r="N95" s="756">
        <f t="shared" si="20"/>
        <v>0</v>
      </c>
      <c r="O95" s="756">
        <f t="shared" si="20"/>
        <v>0</v>
      </c>
      <c r="P95" s="756">
        <f t="shared" si="20"/>
        <v>0</v>
      </c>
      <c r="Q95" s="756">
        <f t="shared" si="20"/>
        <v>0</v>
      </c>
      <c r="R95" s="756">
        <f t="shared" si="20"/>
        <v>0</v>
      </c>
      <c r="S95" s="756">
        <f t="shared" si="20"/>
        <v>0</v>
      </c>
      <c r="T95" s="756">
        <f t="shared" si="20"/>
        <v>0</v>
      </c>
      <c r="U95" s="756">
        <f t="shared" si="20"/>
        <v>0</v>
      </c>
      <c r="V95" s="756">
        <f t="shared" si="20"/>
        <v>0</v>
      </c>
      <c r="W95" s="756">
        <f t="shared" si="20"/>
        <v>0</v>
      </c>
      <c r="X95" s="756">
        <f t="shared" si="20"/>
        <v>0</v>
      </c>
      <c r="Y95" s="756">
        <f t="shared" si="20"/>
        <v>0</v>
      </c>
      <c r="Z95" s="756">
        <f t="shared" si="20"/>
        <v>0</v>
      </c>
      <c r="AA95" s="756">
        <f t="shared" si="20"/>
        <v>0</v>
      </c>
      <c r="AB95" s="18"/>
    </row>
    <row r="96" spans="1:28" s="9" customFormat="1" ht="13" x14ac:dyDescent="0.3">
      <c r="A96" s="760"/>
      <c r="B96" s="18"/>
      <c r="C96" s="18"/>
      <c r="D96" s="18"/>
      <c r="E96" s="18"/>
      <c r="F96" s="18"/>
      <c r="G96" s="18"/>
      <c r="H96" s="18"/>
      <c r="I96" s="18"/>
      <c r="J96" s="18"/>
      <c r="K96" s="18"/>
      <c r="L96" s="18"/>
      <c r="M96" s="18"/>
      <c r="N96" s="18"/>
      <c r="O96" s="18"/>
      <c r="P96" s="18"/>
      <c r="Q96" s="18"/>
      <c r="R96" s="18"/>
      <c r="S96" s="18"/>
      <c r="T96" s="18"/>
      <c r="U96" s="18"/>
      <c r="V96" s="18"/>
      <c r="W96" s="18"/>
      <c r="X96" s="18"/>
      <c r="Y96" s="18"/>
      <c r="Z96" s="761"/>
      <c r="AA96" s="761"/>
      <c r="AB96" s="18"/>
    </row>
    <row r="97" spans="1:28" s="9" customFormat="1" ht="13" x14ac:dyDescent="0.3">
      <c r="A97" s="760"/>
      <c r="B97" s="18"/>
      <c r="C97" s="18"/>
      <c r="D97" s="18"/>
      <c r="E97" s="18"/>
      <c r="F97" s="18"/>
      <c r="G97" s="18"/>
      <c r="H97" s="18"/>
      <c r="I97" s="18"/>
      <c r="J97" s="18"/>
      <c r="K97" s="18"/>
      <c r="L97" s="18"/>
      <c r="M97" s="18"/>
      <c r="N97" s="18"/>
      <c r="O97" s="18"/>
      <c r="P97" s="18"/>
      <c r="Q97" s="18"/>
      <c r="R97" s="18"/>
      <c r="S97" s="18"/>
      <c r="T97" s="18"/>
      <c r="U97" s="18"/>
      <c r="V97" s="18"/>
      <c r="W97" s="18"/>
      <c r="X97" s="18"/>
      <c r="Y97" s="18"/>
      <c r="Z97" s="761"/>
      <c r="AA97" s="761"/>
      <c r="AB97" s="18"/>
    </row>
    <row r="98" spans="1:28" x14ac:dyDescent="0.25">
      <c r="B98" s="12"/>
      <c r="C98" s="12"/>
      <c r="D98" s="12"/>
      <c r="E98" s="12"/>
      <c r="F98" s="12"/>
      <c r="G98" s="12"/>
      <c r="H98" s="12"/>
      <c r="I98" s="12"/>
      <c r="J98" s="12"/>
      <c r="K98" s="12"/>
      <c r="L98" s="12"/>
      <c r="M98" s="12"/>
      <c r="N98" s="12"/>
      <c r="O98" s="12"/>
      <c r="P98" s="12"/>
      <c r="Q98" s="12"/>
      <c r="R98" s="12"/>
      <c r="S98" s="12"/>
      <c r="T98" s="12"/>
      <c r="U98" s="12"/>
      <c r="V98" s="12"/>
      <c r="W98" s="12"/>
      <c r="X98" s="12"/>
      <c r="Y98" s="12"/>
      <c r="Z98" s="762"/>
      <c r="AA98" s="762"/>
      <c r="AB98" s="12"/>
    </row>
    <row r="99" spans="1:28" ht="13" x14ac:dyDescent="0.3">
      <c r="B99" s="1799" t="s">
        <v>123</v>
      </c>
      <c r="C99" s="1799"/>
      <c r="D99" s="1799"/>
      <c r="E99" s="1799" t="s">
        <v>124</v>
      </c>
      <c r="F99" s="1799"/>
      <c r="G99" s="1799"/>
      <c r="H99" s="1799"/>
      <c r="I99" s="1799" t="s">
        <v>125</v>
      </c>
      <c r="J99" s="1799"/>
      <c r="K99" s="1799"/>
      <c r="L99" s="1799"/>
      <c r="M99" s="12"/>
      <c r="N99" s="12"/>
      <c r="O99" s="12"/>
      <c r="P99" s="12"/>
      <c r="Q99" s="12"/>
      <c r="R99" s="12"/>
      <c r="S99" s="12"/>
      <c r="T99" s="12"/>
      <c r="U99" s="12"/>
      <c r="V99" s="12"/>
      <c r="W99" s="12"/>
      <c r="X99" s="12"/>
      <c r="Y99" s="12"/>
      <c r="Z99" s="12"/>
      <c r="AA99" s="762"/>
      <c r="AB99" s="12"/>
    </row>
    <row r="100" spans="1:28" ht="13" x14ac:dyDescent="0.3">
      <c r="A100" s="83" t="s">
        <v>110</v>
      </c>
      <c r="B100" s="768" t="s">
        <v>252</v>
      </c>
      <c r="C100" s="769" t="s">
        <v>253</v>
      </c>
      <c r="D100" s="770" t="s">
        <v>254</v>
      </c>
      <c r="E100" s="771" t="s">
        <v>255</v>
      </c>
      <c r="F100" s="769" t="s">
        <v>252</v>
      </c>
      <c r="G100" s="769" t="s">
        <v>253</v>
      </c>
      <c r="H100" s="770" t="s">
        <v>254</v>
      </c>
      <c r="I100" s="771" t="s">
        <v>255</v>
      </c>
      <c r="J100" s="769" t="s">
        <v>252</v>
      </c>
      <c r="K100" s="769" t="s">
        <v>253</v>
      </c>
      <c r="L100" s="770" t="s">
        <v>254</v>
      </c>
      <c r="M100" s="12"/>
      <c r="N100" s="12"/>
      <c r="O100" s="12"/>
      <c r="P100" s="12"/>
      <c r="Q100" s="12"/>
      <c r="R100" s="12"/>
      <c r="S100" s="12"/>
      <c r="T100" s="12"/>
      <c r="U100" s="12"/>
      <c r="V100" s="12"/>
      <c r="W100" s="12"/>
      <c r="X100" s="12"/>
      <c r="Y100" s="12"/>
      <c r="Z100" s="12"/>
      <c r="AA100" s="762"/>
      <c r="AB100" s="12"/>
    </row>
    <row r="101" spans="1:28" s="9" customFormat="1" ht="13" x14ac:dyDescent="0.3">
      <c r="A101" s="153" t="str">
        <f>A27</f>
        <v>INVERSIONS IMMATERIALS</v>
      </c>
      <c r="B101" s="772">
        <f t="shared" ref="B101:L101" si="21">SUM(B102:B104)</f>
        <v>0</v>
      </c>
      <c r="C101" s="772">
        <f t="shared" si="21"/>
        <v>0</v>
      </c>
      <c r="D101" s="724">
        <f t="shared" si="21"/>
        <v>0</v>
      </c>
      <c r="E101" s="773">
        <f t="shared" si="21"/>
        <v>0</v>
      </c>
      <c r="F101" s="772">
        <f t="shared" si="21"/>
        <v>0</v>
      </c>
      <c r="G101" s="772">
        <f t="shared" si="21"/>
        <v>0</v>
      </c>
      <c r="H101" s="724">
        <f t="shared" si="21"/>
        <v>0</v>
      </c>
      <c r="I101" s="773">
        <f t="shared" si="21"/>
        <v>0</v>
      </c>
      <c r="J101" s="772">
        <f t="shared" si="21"/>
        <v>0</v>
      </c>
      <c r="K101" s="772">
        <f t="shared" si="21"/>
        <v>0</v>
      </c>
      <c r="L101" s="724">
        <f t="shared" si="21"/>
        <v>0</v>
      </c>
      <c r="M101" s="12"/>
      <c r="N101" s="12"/>
      <c r="O101" s="12"/>
      <c r="P101" s="12"/>
      <c r="Q101" s="12"/>
      <c r="R101" s="12"/>
      <c r="S101" s="12"/>
      <c r="T101" s="12"/>
      <c r="U101" s="12"/>
      <c r="V101" s="12"/>
      <c r="W101" s="12"/>
      <c r="X101" s="12"/>
      <c r="Y101" s="12"/>
      <c r="Z101" s="12"/>
      <c r="AA101" s="761"/>
      <c r="AB101" s="18"/>
    </row>
    <row r="102" spans="1:28" s="776" customFormat="1" x14ac:dyDescent="0.25">
      <c r="A102" s="727" t="str">
        <f>A28</f>
        <v>Propietat industrial (patents i marques)</v>
      </c>
      <c r="B102" s="157">
        <f>IF(OR(Fiscalitat!$H$21="a",Fiscalitat!$H$21="B",Fiscalitat!$H$21="D"),Z28,AA28)</f>
        <v>0</v>
      </c>
      <c r="C102" s="166">
        <f>'Introducció dades'!C104</f>
        <v>0</v>
      </c>
      <c r="D102" s="158">
        <f>B102-C102</f>
        <v>0</v>
      </c>
      <c r="E102" s="774">
        <f>D102</f>
        <v>0</v>
      </c>
      <c r="F102" s="157">
        <f>IF(OR(Fiscalitat!$H$21="a",Fiscalitat!$H$21="B",Fiscalitat!$H$21="D"),Z53,AA53)</f>
        <v>0</v>
      </c>
      <c r="G102" s="166">
        <f>'Introducció dades'!D104</f>
        <v>0</v>
      </c>
      <c r="H102" s="158">
        <f>E102+F102-G102</f>
        <v>0</v>
      </c>
      <c r="I102" s="774">
        <f>H102</f>
        <v>0</v>
      </c>
      <c r="J102" s="157">
        <f>IF(OR(Fiscalitat!$H$21="a",Fiscalitat!$H$21="B",Fiscalitat!$H$21="D"),Z78,AA78)</f>
        <v>0</v>
      </c>
      <c r="K102" s="166">
        <f>'Introducció dades'!E104</f>
        <v>0</v>
      </c>
      <c r="L102" s="158">
        <f>I102+J102-K102</f>
        <v>0</v>
      </c>
      <c r="M102" s="12"/>
      <c r="N102" s="12"/>
      <c r="O102" s="12"/>
      <c r="P102" s="12"/>
      <c r="Q102" s="12"/>
      <c r="R102" s="12"/>
      <c r="S102" s="12"/>
      <c r="T102" s="12"/>
      <c r="U102" s="12"/>
      <c r="V102" s="12"/>
      <c r="W102" s="12"/>
      <c r="X102" s="12"/>
      <c r="Y102" s="12"/>
      <c r="Z102" s="12"/>
      <c r="AA102" s="775"/>
      <c r="AB102" s="159"/>
    </row>
    <row r="103" spans="1:28" s="776" customFormat="1" x14ac:dyDescent="0.25">
      <c r="A103" s="731" t="str">
        <f>A29</f>
        <v>Drets de traspàs</v>
      </c>
      <c r="B103" s="157">
        <f>IF(OR(Fiscalitat!$H$21="a",Fiscalitat!$H$21="B",Fiscalitat!$H$21="D"),Z29,AA29)</f>
        <v>0</v>
      </c>
      <c r="C103" s="166">
        <f>'Introducció dades'!C105</f>
        <v>0</v>
      </c>
      <c r="D103" s="161">
        <f>B103-C103</f>
        <v>0</v>
      </c>
      <c r="E103" s="777">
        <f>D103</f>
        <v>0</v>
      </c>
      <c r="F103" s="157">
        <f>IF(OR(Fiscalitat!$H$21="a",Fiscalitat!$H$21="B",Fiscalitat!$H$21="D"),Z54,AA54)</f>
        <v>0</v>
      </c>
      <c r="G103" s="166">
        <f>'Introducció dades'!D105</f>
        <v>0</v>
      </c>
      <c r="H103" s="161">
        <f>E103+F103-G103</f>
        <v>0</v>
      </c>
      <c r="I103" s="777">
        <f>H103</f>
        <v>0</v>
      </c>
      <c r="J103" s="157">
        <f>IF(OR(Fiscalitat!$H$21="a",Fiscalitat!$H$21="B",Fiscalitat!$H$21="D"),Z79,AA79)</f>
        <v>0</v>
      </c>
      <c r="K103" s="166">
        <f>'Introducció dades'!E105</f>
        <v>0</v>
      </c>
      <c r="L103" s="161">
        <f>I103+J103-K103</f>
        <v>0</v>
      </c>
      <c r="M103" s="12"/>
      <c r="N103" s="12"/>
      <c r="O103" s="12"/>
      <c r="P103" s="12"/>
      <c r="Q103" s="12"/>
      <c r="R103" s="12"/>
      <c r="S103" s="12"/>
      <c r="T103" s="12"/>
      <c r="U103" s="12"/>
      <c r="V103" s="12"/>
      <c r="W103" s="12"/>
      <c r="X103" s="12"/>
      <c r="Y103" s="12"/>
      <c r="Z103" s="12"/>
      <c r="AA103" s="775"/>
      <c r="AB103" s="159"/>
    </row>
    <row r="104" spans="1:28" s="776" customFormat="1" x14ac:dyDescent="0.25">
      <c r="A104" s="731" t="str">
        <f>A30</f>
        <v>Aplicacions informàtiques</v>
      </c>
      <c r="B104" s="157">
        <f>IF(OR(Fiscalitat!$H$21="a",Fiscalitat!$H$21="B",Fiscalitat!$H$21="D"),Z30,AA30)</f>
        <v>0</v>
      </c>
      <c r="C104" s="166">
        <f>'Introducció dades'!C106</f>
        <v>0</v>
      </c>
      <c r="D104" s="161">
        <f>B104-C104</f>
        <v>0</v>
      </c>
      <c r="E104" s="777">
        <f>D104</f>
        <v>0</v>
      </c>
      <c r="F104" s="157">
        <f>IF(OR(Fiscalitat!$H$21="a",Fiscalitat!$H$21="B",Fiscalitat!$H$21="D"),Z55,AA55)</f>
        <v>0</v>
      </c>
      <c r="G104" s="166">
        <f>'Introducció dades'!D106</f>
        <v>0</v>
      </c>
      <c r="H104" s="161">
        <f>E104+F104-G104</f>
        <v>0</v>
      </c>
      <c r="I104" s="777">
        <f>H104</f>
        <v>0</v>
      </c>
      <c r="J104" s="157">
        <f>IF(OR(Fiscalitat!$H$21="a",Fiscalitat!$H$21="B",Fiscalitat!$H$21="D"),Z80,AA80)</f>
        <v>0</v>
      </c>
      <c r="K104" s="166">
        <f>'Introducció dades'!E106</f>
        <v>0</v>
      </c>
      <c r="L104" s="161">
        <f>I104+J104-K104</f>
        <v>0</v>
      </c>
      <c r="M104" s="12"/>
      <c r="N104" s="12"/>
      <c r="O104" s="12"/>
      <c r="P104" s="12"/>
      <c r="Q104" s="12"/>
      <c r="R104" s="12"/>
      <c r="S104" s="12"/>
      <c r="T104" s="12"/>
      <c r="U104" s="12"/>
      <c r="V104" s="12"/>
      <c r="W104" s="12"/>
      <c r="X104" s="12"/>
      <c r="Y104" s="12"/>
      <c r="Z104" s="12"/>
      <c r="AA104" s="775"/>
      <c r="AB104" s="159"/>
    </row>
    <row r="105" spans="1:28" s="9" customFormat="1" ht="13" x14ac:dyDescent="0.3">
      <c r="A105" s="153" t="str">
        <f>A31</f>
        <v>INVERSIONS MATERIALS</v>
      </c>
      <c r="B105" s="772">
        <f t="shared" ref="B105:L105" si="22">SUM(B106:B113)</f>
        <v>0</v>
      </c>
      <c r="C105" s="772">
        <f t="shared" si="22"/>
        <v>0</v>
      </c>
      <c r="D105" s="724">
        <f t="shared" si="22"/>
        <v>0</v>
      </c>
      <c r="E105" s="773">
        <f t="shared" si="22"/>
        <v>0</v>
      </c>
      <c r="F105" s="772">
        <f t="shared" si="22"/>
        <v>0</v>
      </c>
      <c r="G105" s="772">
        <f t="shared" si="22"/>
        <v>0</v>
      </c>
      <c r="H105" s="724">
        <f t="shared" si="22"/>
        <v>0</v>
      </c>
      <c r="I105" s="773">
        <f t="shared" si="22"/>
        <v>0</v>
      </c>
      <c r="J105" s="772">
        <f t="shared" si="22"/>
        <v>0</v>
      </c>
      <c r="K105" s="772">
        <f t="shared" si="22"/>
        <v>0</v>
      </c>
      <c r="L105" s="724">
        <f t="shared" si="22"/>
        <v>0</v>
      </c>
      <c r="M105" s="12"/>
      <c r="N105" s="12"/>
      <c r="O105" s="12"/>
      <c r="P105" s="12"/>
      <c r="Q105" s="12"/>
      <c r="R105" s="12"/>
      <c r="S105" s="12"/>
      <c r="T105" s="12"/>
      <c r="U105" s="12"/>
      <c r="V105" s="12"/>
      <c r="W105" s="12"/>
      <c r="X105" s="12"/>
      <c r="Y105" s="12"/>
      <c r="Z105" s="12"/>
      <c r="AA105" s="761"/>
      <c r="AB105" s="18"/>
    </row>
    <row r="106" spans="1:28" s="776" customFormat="1" x14ac:dyDescent="0.25">
      <c r="A106" s="727" t="str">
        <f t="shared" ref="A106:A113" si="23">A14</f>
        <v>Terrenys</v>
      </c>
      <c r="B106" s="157">
        <f>IF(OR(Fiscalitat!$H$21="a",Fiscalitat!$H$21="B",Fiscalitat!$H$21="D"),Z32,AA32)</f>
        <v>0</v>
      </c>
      <c r="C106" s="166">
        <f>'Introducció dades'!C112</f>
        <v>0</v>
      </c>
      <c r="D106" s="158">
        <f t="shared" ref="D106:D113" si="24">B106-C106</f>
        <v>0</v>
      </c>
      <c r="E106" s="774">
        <f t="shared" ref="E106:E113" si="25">D106</f>
        <v>0</v>
      </c>
      <c r="F106" s="157">
        <f>IF(OR(Fiscalitat!$H$21="a",Fiscalitat!$H$21="B",Fiscalitat!$H$21="D"),Z57,AA57)</f>
        <v>0</v>
      </c>
      <c r="G106" s="166">
        <f>'Introducció dades'!D112</f>
        <v>0</v>
      </c>
      <c r="H106" s="158">
        <f t="shared" ref="H106:H113" si="26">E106+F106-G106</f>
        <v>0</v>
      </c>
      <c r="I106" s="774">
        <f t="shared" ref="I106:I113" si="27">H106</f>
        <v>0</v>
      </c>
      <c r="J106" s="157">
        <f>IF(OR(Fiscalitat!$H$21="a",Fiscalitat!$H$21="B",Fiscalitat!$H$21="D"),Z82,AA82)</f>
        <v>0</v>
      </c>
      <c r="K106" s="166">
        <f>'Introducció dades'!E112</f>
        <v>0</v>
      </c>
      <c r="L106" s="158">
        <f t="shared" ref="L106:L113" si="28">I106+J106-K106</f>
        <v>0</v>
      </c>
      <c r="M106" s="12"/>
      <c r="N106" s="12"/>
      <c r="O106" s="12"/>
      <c r="P106" s="12"/>
      <c r="Q106" s="12"/>
      <c r="R106" s="12"/>
      <c r="S106" s="12"/>
      <c r="T106" s="12"/>
      <c r="U106" s="12"/>
      <c r="V106" s="12"/>
      <c r="W106" s="12"/>
      <c r="X106" s="12"/>
      <c r="Y106" s="12"/>
      <c r="Z106" s="12"/>
      <c r="AA106" s="775"/>
      <c r="AB106" s="159"/>
    </row>
    <row r="107" spans="1:28" s="776" customFormat="1" x14ac:dyDescent="0.25">
      <c r="A107" s="731" t="str">
        <f t="shared" si="23"/>
        <v>Construccions</v>
      </c>
      <c r="B107" s="157">
        <f>IF(OR(Fiscalitat!$H$21="a",Fiscalitat!$H$21="B",Fiscalitat!$H$21="D"),Z33,AA33)</f>
        <v>0</v>
      </c>
      <c r="C107" s="166">
        <f>'Introducció dades'!C113</f>
        <v>0</v>
      </c>
      <c r="D107" s="161">
        <f t="shared" si="24"/>
        <v>0</v>
      </c>
      <c r="E107" s="777">
        <f t="shared" si="25"/>
        <v>0</v>
      </c>
      <c r="F107" s="157">
        <f>IF(OR(Fiscalitat!$H$21="a",Fiscalitat!$H$21="B",Fiscalitat!$H$21="D"),Z58,AA58)</f>
        <v>0</v>
      </c>
      <c r="G107" s="166">
        <f>'Introducció dades'!D113</f>
        <v>0</v>
      </c>
      <c r="H107" s="161">
        <f t="shared" si="26"/>
        <v>0</v>
      </c>
      <c r="I107" s="777">
        <f t="shared" si="27"/>
        <v>0</v>
      </c>
      <c r="J107" s="157">
        <f>IF(OR(Fiscalitat!$H$21="a",Fiscalitat!$H$21="B",Fiscalitat!$H$21="D"),Z83,AA83)</f>
        <v>0</v>
      </c>
      <c r="K107" s="166">
        <f>'Introducció dades'!E113</f>
        <v>0</v>
      </c>
      <c r="L107" s="161">
        <f t="shared" si="28"/>
        <v>0</v>
      </c>
      <c r="M107" s="12"/>
      <c r="N107" s="12"/>
      <c r="O107" s="12"/>
      <c r="P107" s="12"/>
      <c r="Q107" s="12"/>
      <c r="R107" s="12"/>
      <c r="S107" s="12"/>
      <c r="T107" s="12"/>
      <c r="U107" s="12"/>
      <c r="V107" s="12"/>
      <c r="W107" s="12"/>
      <c r="X107" s="12"/>
      <c r="Y107" s="12"/>
      <c r="Z107" s="12"/>
      <c r="AA107" s="775"/>
      <c r="AB107" s="159"/>
    </row>
    <row r="108" spans="1:28" s="776" customFormat="1" x14ac:dyDescent="0.25">
      <c r="A108" s="731" t="str">
        <f t="shared" si="23"/>
        <v>Maquinària</v>
      </c>
      <c r="B108" s="157">
        <f>IF(OR(Fiscalitat!$H$21="a",Fiscalitat!$H$21="B",Fiscalitat!$H$21="D"),Z34,AA34)</f>
        <v>0</v>
      </c>
      <c r="C108" s="166">
        <f>'Introducció dades'!C114</f>
        <v>0</v>
      </c>
      <c r="D108" s="161">
        <f t="shared" si="24"/>
        <v>0</v>
      </c>
      <c r="E108" s="777">
        <f t="shared" si="25"/>
        <v>0</v>
      </c>
      <c r="F108" s="157">
        <f>IF(OR(Fiscalitat!$H$21="a",Fiscalitat!$H$21="B",Fiscalitat!$H$21="D"),Z59,AA59)</f>
        <v>0</v>
      </c>
      <c r="G108" s="166">
        <f>'Introducció dades'!D114</f>
        <v>0</v>
      </c>
      <c r="H108" s="161">
        <f t="shared" si="26"/>
        <v>0</v>
      </c>
      <c r="I108" s="777">
        <f t="shared" si="27"/>
        <v>0</v>
      </c>
      <c r="J108" s="157">
        <f>IF(OR(Fiscalitat!$H$21="a",Fiscalitat!$H$21="B",Fiscalitat!$H$21="D"),Z84,AA84)</f>
        <v>0</v>
      </c>
      <c r="K108" s="166">
        <f>'Introducció dades'!E114</f>
        <v>0</v>
      </c>
      <c r="L108" s="161">
        <f t="shared" si="28"/>
        <v>0</v>
      </c>
      <c r="M108" s="12"/>
      <c r="N108" s="12"/>
      <c r="O108" s="12"/>
      <c r="P108" s="12"/>
      <c r="Q108" s="12"/>
      <c r="R108" s="12"/>
      <c r="S108" s="12"/>
      <c r="T108" s="12"/>
      <c r="U108" s="12"/>
      <c r="V108" s="12"/>
      <c r="W108" s="12"/>
      <c r="X108" s="12"/>
      <c r="Y108" s="12"/>
      <c r="Z108" s="12"/>
      <c r="AA108" s="775"/>
      <c r="AB108" s="159"/>
    </row>
    <row r="109" spans="1:28" s="776" customFormat="1" x14ac:dyDescent="0.25">
      <c r="A109" s="731" t="str">
        <f t="shared" si="23"/>
        <v>Altres instal·lacions</v>
      </c>
      <c r="B109" s="157">
        <f>IF(OR(Fiscalitat!$H$21="a",Fiscalitat!$H$21="B",Fiscalitat!$H$21="D"),Z35,AA35)</f>
        <v>0</v>
      </c>
      <c r="C109" s="166">
        <f>'Introducció dades'!C115</f>
        <v>0</v>
      </c>
      <c r="D109" s="161">
        <f t="shared" si="24"/>
        <v>0</v>
      </c>
      <c r="E109" s="777">
        <f t="shared" si="25"/>
        <v>0</v>
      </c>
      <c r="F109" s="157">
        <f>IF(OR(Fiscalitat!$H$21="a",Fiscalitat!$H$21="B",Fiscalitat!$H$21="D"),Z60,AA60)</f>
        <v>0</v>
      </c>
      <c r="G109" s="166">
        <f>'Introducció dades'!D115</f>
        <v>0</v>
      </c>
      <c r="H109" s="161">
        <f t="shared" si="26"/>
        <v>0</v>
      </c>
      <c r="I109" s="777">
        <f t="shared" si="27"/>
        <v>0</v>
      </c>
      <c r="J109" s="157">
        <f>IF(OR(Fiscalitat!$H$21="a",Fiscalitat!$H$21="B",Fiscalitat!$H$21="D"),Z85,AA85)</f>
        <v>0</v>
      </c>
      <c r="K109" s="166">
        <f>'Introducció dades'!E115</f>
        <v>0</v>
      </c>
      <c r="L109" s="161">
        <f t="shared" si="28"/>
        <v>0</v>
      </c>
      <c r="M109" s="12"/>
      <c r="N109" s="12"/>
      <c r="O109" s="12"/>
      <c r="P109" s="12"/>
      <c r="Q109" s="12"/>
      <c r="R109" s="12"/>
      <c r="S109" s="12"/>
      <c r="T109" s="12"/>
      <c r="U109" s="12"/>
      <c r="V109" s="12"/>
      <c r="W109" s="12"/>
      <c r="X109" s="12"/>
      <c r="Y109" s="12"/>
      <c r="Z109" s="12"/>
      <c r="AA109" s="775"/>
      <c r="AB109" s="159"/>
    </row>
    <row r="110" spans="1:28" s="776" customFormat="1" x14ac:dyDescent="0.25">
      <c r="A110" s="731" t="str">
        <f t="shared" si="23"/>
        <v>Mobiliari</v>
      </c>
      <c r="B110" s="157">
        <f>IF(OR(Fiscalitat!$H$21="a",Fiscalitat!$H$21="B",Fiscalitat!$H$21="D"),Z38,AA38)</f>
        <v>0</v>
      </c>
      <c r="C110" s="166">
        <f>'Introducció dades'!C116</f>
        <v>0</v>
      </c>
      <c r="D110" s="161">
        <f t="shared" si="24"/>
        <v>0</v>
      </c>
      <c r="E110" s="777">
        <f t="shared" si="25"/>
        <v>0</v>
      </c>
      <c r="F110" s="157">
        <f>IF(OR(Fiscalitat!$H$21="a",Fiscalitat!$H$21="B",Fiscalitat!$H$21="D"),Z63,AA63)</f>
        <v>0</v>
      </c>
      <c r="G110" s="166">
        <f>'Introducció dades'!D116</f>
        <v>0</v>
      </c>
      <c r="H110" s="161">
        <f t="shared" si="26"/>
        <v>0</v>
      </c>
      <c r="I110" s="777">
        <f t="shared" si="27"/>
        <v>0</v>
      </c>
      <c r="J110" s="157">
        <f>IF(OR(Fiscalitat!$H$21="a",Fiscalitat!$H$21="B",Fiscalitat!$H$21="D"),Z88,AA88)</f>
        <v>0</v>
      </c>
      <c r="K110" s="166">
        <f>'Introducció dades'!E116</f>
        <v>0</v>
      </c>
      <c r="L110" s="161">
        <f t="shared" si="28"/>
        <v>0</v>
      </c>
      <c r="M110" s="12"/>
      <c r="N110" s="12"/>
      <c r="O110" s="12"/>
      <c r="P110" s="12"/>
      <c r="Q110" s="12"/>
      <c r="R110" s="12"/>
      <c r="S110" s="12"/>
      <c r="T110" s="12"/>
      <c r="U110" s="12"/>
      <c r="V110" s="12"/>
      <c r="W110" s="12"/>
      <c r="X110" s="12"/>
      <c r="Y110" s="12"/>
      <c r="Z110" s="12"/>
      <c r="AA110" s="775"/>
      <c r="AB110" s="159"/>
    </row>
    <row r="111" spans="1:28" s="776" customFormat="1" x14ac:dyDescent="0.25">
      <c r="A111" s="731" t="str">
        <f t="shared" si="23"/>
        <v>Equips processos informació</v>
      </c>
      <c r="B111" s="157">
        <f>IF(OR(Fiscalitat!$H$21="a",Fiscalitat!$H$21="B",Fiscalitat!$H$21="D"),Z39,AA39)</f>
        <v>0</v>
      </c>
      <c r="C111" s="166">
        <f>'Introducció dades'!C117</f>
        <v>0</v>
      </c>
      <c r="D111" s="161">
        <f t="shared" si="24"/>
        <v>0</v>
      </c>
      <c r="E111" s="777">
        <f t="shared" si="25"/>
        <v>0</v>
      </c>
      <c r="F111" s="157">
        <f>IF(OR(Fiscalitat!$H$21="a",Fiscalitat!$H$21="B",Fiscalitat!$H$21="D"),Z64,AA64)</f>
        <v>0</v>
      </c>
      <c r="G111" s="166">
        <f>'Introducció dades'!D117</f>
        <v>0</v>
      </c>
      <c r="H111" s="161">
        <f t="shared" si="26"/>
        <v>0</v>
      </c>
      <c r="I111" s="777">
        <f t="shared" si="27"/>
        <v>0</v>
      </c>
      <c r="J111" s="157">
        <f>IF(OR(Fiscalitat!$H$21="a",Fiscalitat!$H$21="B",Fiscalitat!$H$21="D"),Z89,AA89)</f>
        <v>0</v>
      </c>
      <c r="K111" s="166">
        <f>'Introducció dades'!E117</f>
        <v>0</v>
      </c>
      <c r="L111" s="161">
        <f t="shared" si="28"/>
        <v>0</v>
      </c>
      <c r="M111" s="12"/>
      <c r="N111" s="12"/>
      <c r="O111" s="12"/>
      <c r="P111" s="12"/>
      <c r="Q111" s="12"/>
      <c r="R111" s="12"/>
      <c r="S111" s="12"/>
      <c r="T111" s="12"/>
      <c r="U111" s="12"/>
      <c r="V111" s="12"/>
      <c r="W111" s="12"/>
      <c r="X111" s="12"/>
      <c r="Y111" s="12"/>
      <c r="Z111" s="12"/>
      <c r="AA111" s="775"/>
      <c r="AB111" s="159"/>
    </row>
    <row r="112" spans="1:28" s="776" customFormat="1" x14ac:dyDescent="0.25">
      <c r="A112" s="731" t="str">
        <f t="shared" si="23"/>
        <v>Elements de transport</v>
      </c>
      <c r="B112" s="157">
        <f>IF(OR(Fiscalitat!$H$21="a",Fiscalitat!$H$21="B",Fiscalitat!$H$21="D"),Z40,AA40)</f>
        <v>0</v>
      </c>
      <c r="C112" s="166">
        <f>'Introducció dades'!C118</f>
        <v>0</v>
      </c>
      <c r="D112" s="161">
        <f t="shared" si="24"/>
        <v>0</v>
      </c>
      <c r="E112" s="777">
        <f t="shared" si="25"/>
        <v>0</v>
      </c>
      <c r="F112" s="157">
        <f>IF(OR(Fiscalitat!$H$21="a",Fiscalitat!$H$21="B",Fiscalitat!$H$21="D"),Z65,AA65)</f>
        <v>0</v>
      </c>
      <c r="G112" s="166">
        <f>'Introducció dades'!D118</f>
        <v>0</v>
      </c>
      <c r="H112" s="161">
        <f t="shared" si="26"/>
        <v>0</v>
      </c>
      <c r="I112" s="777">
        <f t="shared" si="27"/>
        <v>0</v>
      </c>
      <c r="J112" s="157">
        <f>IF(OR(Fiscalitat!$H$21="a",Fiscalitat!$H$21="B",Fiscalitat!$H$21="D"),Z90,AA90)</f>
        <v>0</v>
      </c>
      <c r="K112" s="166">
        <f>'Introducció dades'!E118</f>
        <v>0</v>
      </c>
      <c r="L112" s="161">
        <f t="shared" si="28"/>
        <v>0</v>
      </c>
      <c r="M112" s="12"/>
      <c r="N112" s="12"/>
      <c r="O112" s="12"/>
      <c r="P112" s="12"/>
      <c r="Q112" s="12"/>
      <c r="R112" s="12"/>
      <c r="S112" s="12"/>
      <c r="T112" s="12"/>
      <c r="U112" s="12"/>
      <c r="V112" s="12"/>
      <c r="W112" s="12"/>
      <c r="X112" s="12"/>
      <c r="Y112" s="12"/>
      <c r="Z112" s="12"/>
      <c r="AA112" s="775"/>
      <c r="AB112" s="159"/>
    </row>
    <row r="113" spans="1:30" s="776" customFormat="1" x14ac:dyDescent="0.25">
      <c r="A113" s="734" t="str">
        <f t="shared" si="23"/>
        <v>Altre immobilitzat material</v>
      </c>
      <c r="B113" s="157">
        <f>IF(OR(Fiscalitat!$H$21="a",Fiscalitat!$H$21="B",Fiscalitat!$H$21="D"),Z41,AA41)</f>
        <v>0</v>
      </c>
      <c r="C113" s="166">
        <f>'Introducció dades'!C119</f>
        <v>0</v>
      </c>
      <c r="D113" s="163">
        <f t="shared" si="24"/>
        <v>0</v>
      </c>
      <c r="E113" s="778">
        <f t="shared" si="25"/>
        <v>0</v>
      </c>
      <c r="F113" s="157">
        <f>IF(OR(Fiscalitat!$H$21="a",Fiscalitat!$H$21="B",Fiscalitat!$H$21="D"),Z66,AA66)</f>
        <v>0</v>
      </c>
      <c r="G113" s="166">
        <f>'Introducció dades'!D119</f>
        <v>0</v>
      </c>
      <c r="H113" s="163">
        <f t="shared" si="26"/>
        <v>0</v>
      </c>
      <c r="I113" s="778">
        <f t="shared" si="27"/>
        <v>0</v>
      </c>
      <c r="J113" s="157">
        <f>IF(OR(Fiscalitat!$H$21="a",Fiscalitat!$H$21="B",Fiscalitat!$H$21="D"),Z91,AA91)</f>
        <v>0</v>
      </c>
      <c r="K113" s="166">
        <f>'Introducció dades'!E119</f>
        <v>0</v>
      </c>
      <c r="L113" s="163">
        <f t="shared" si="28"/>
        <v>0</v>
      </c>
      <c r="M113" s="12"/>
      <c r="N113" s="12"/>
      <c r="O113" s="12"/>
      <c r="P113" s="12"/>
      <c r="Q113" s="12"/>
      <c r="R113" s="12"/>
      <c r="S113" s="12"/>
      <c r="T113" s="12"/>
      <c r="U113" s="12"/>
      <c r="V113" s="12"/>
      <c r="W113" s="12"/>
      <c r="X113" s="12"/>
      <c r="Y113" s="12"/>
      <c r="Z113" s="12"/>
      <c r="AA113" s="775"/>
      <c r="AB113" s="159"/>
    </row>
    <row r="114" spans="1:30" s="9" customFormat="1" ht="13" x14ac:dyDescent="0.3">
      <c r="A114" s="153" t="str">
        <f>A42</f>
        <v>FIANCES I DIPÒSITS A LLARG TERMINI</v>
      </c>
      <c r="B114" s="772">
        <f t="shared" ref="B114:L114" si="29">SUM(B115:B116)</f>
        <v>0</v>
      </c>
      <c r="C114" s="772">
        <f t="shared" si="29"/>
        <v>0</v>
      </c>
      <c r="D114" s="724">
        <f t="shared" si="29"/>
        <v>0</v>
      </c>
      <c r="E114" s="773">
        <f t="shared" si="29"/>
        <v>0</v>
      </c>
      <c r="F114" s="772">
        <f t="shared" si="29"/>
        <v>0</v>
      </c>
      <c r="G114" s="772">
        <f t="shared" si="29"/>
        <v>0</v>
      </c>
      <c r="H114" s="724">
        <f t="shared" si="29"/>
        <v>0</v>
      </c>
      <c r="I114" s="773">
        <f t="shared" si="29"/>
        <v>0</v>
      </c>
      <c r="J114" s="772">
        <f t="shared" si="29"/>
        <v>0</v>
      </c>
      <c r="K114" s="772">
        <f t="shared" si="29"/>
        <v>0</v>
      </c>
      <c r="L114" s="724">
        <f t="shared" si="29"/>
        <v>0</v>
      </c>
      <c r="M114" s="12"/>
      <c r="N114" s="12"/>
      <c r="O114" s="12"/>
      <c r="P114" s="12"/>
      <c r="Q114" s="12"/>
      <c r="R114" s="12"/>
      <c r="S114" s="12"/>
      <c r="T114" s="12"/>
      <c r="U114" s="12"/>
      <c r="V114" s="12"/>
      <c r="W114" s="12"/>
      <c r="X114" s="12"/>
      <c r="Y114" s="12"/>
      <c r="Z114" s="12"/>
      <c r="AA114" s="761"/>
      <c r="AB114" s="18"/>
    </row>
    <row r="115" spans="1:30" s="776" customFormat="1" x14ac:dyDescent="0.25">
      <c r="A115" s="727" t="str">
        <f>A43</f>
        <v>Fiances a llarg termini</v>
      </c>
      <c r="B115" s="157">
        <f>IF(OR(Fiscalitat!$H$21="a",Fiscalitat!$H$21="B",Fiscalitat!$H$21="D"),Z43,AA43)</f>
        <v>0</v>
      </c>
      <c r="C115" s="166">
        <f>'Introducció dades'!C121</f>
        <v>0</v>
      </c>
      <c r="D115" s="158">
        <f>B115-C115</f>
        <v>0</v>
      </c>
      <c r="E115" s="774">
        <f>D115</f>
        <v>0</v>
      </c>
      <c r="F115" s="157">
        <f>IF(OR(Fiscalitat!$H$21="a",Fiscalitat!$H$21="B",Fiscalitat!$H$21="D"),Z68,AA68)</f>
        <v>0</v>
      </c>
      <c r="G115" s="166">
        <f>'Introducció dades'!D121</f>
        <v>0</v>
      </c>
      <c r="H115" s="158">
        <f>E115+F115-G115</f>
        <v>0</v>
      </c>
      <c r="I115" s="774">
        <f>H115</f>
        <v>0</v>
      </c>
      <c r="J115" s="157">
        <f>IF(OR(Fiscalitat!$H$21="a",Fiscalitat!$H$21="B",Fiscalitat!$H$21="D"),Z93,AA93)</f>
        <v>0</v>
      </c>
      <c r="K115" s="166">
        <f>'Introducció dades'!E121</f>
        <v>0</v>
      </c>
      <c r="L115" s="158">
        <f>I115+J115-K115</f>
        <v>0</v>
      </c>
      <c r="M115" s="12"/>
      <c r="N115" s="12"/>
      <c r="O115" s="12"/>
      <c r="P115" s="12"/>
      <c r="Q115" s="12"/>
      <c r="R115" s="12"/>
      <c r="S115" s="12"/>
      <c r="T115" s="12"/>
      <c r="U115" s="12"/>
      <c r="V115" s="12"/>
      <c r="W115" s="12"/>
      <c r="X115" s="12"/>
      <c r="Y115" s="12"/>
      <c r="Z115" s="12"/>
      <c r="AA115" s="775"/>
      <c r="AB115" s="159"/>
    </row>
    <row r="116" spans="1:30" s="776" customFormat="1" x14ac:dyDescent="0.25">
      <c r="A116" s="734" t="str">
        <f>A44</f>
        <v>Dipòsits a llarg termini</v>
      </c>
      <c r="B116" s="157">
        <f>IF(OR(Fiscalitat!$H$21="a",Fiscalitat!$H$21="B",Fiscalitat!$H$21="D"),Z44,AA44)</f>
        <v>0</v>
      </c>
      <c r="C116" s="166">
        <f>'Introducció dades'!C122</f>
        <v>0</v>
      </c>
      <c r="D116" s="163">
        <f>B116-C116</f>
        <v>0</v>
      </c>
      <c r="E116" s="778">
        <f>D116</f>
        <v>0</v>
      </c>
      <c r="F116" s="157">
        <f>IF(OR(Fiscalitat!$H$21="a",Fiscalitat!$H$21="B",Fiscalitat!$H$21="D"),Z69,AA69)</f>
        <v>0</v>
      </c>
      <c r="G116" s="166">
        <f>'Introducció dades'!D122</f>
        <v>0</v>
      </c>
      <c r="H116" s="163">
        <f>E116+F116-G116</f>
        <v>0</v>
      </c>
      <c r="I116" s="778">
        <f>H116</f>
        <v>0</v>
      </c>
      <c r="J116" s="157">
        <f>IF(OR(Fiscalitat!$H$21="a",Fiscalitat!$H$21="B",Fiscalitat!$H$21="D"),Z94,AA94)</f>
        <v>0</v>
      </c>
      <c r="K116" s="166">
        <f>'Introducció dades'!E122</f>
        <v>0</v>
      </c>
      <c r="L116" s="163">
        <f>I116+J116-K116</f>
        <v>0</v>
      </c>
      <c r="M116" s="12"/>
      <c r="N116" s="12"/>
      <c r="O116" s="12"/>
      <c r="P116" s="12"/>
      <c r="Q116" s="12"/>
      <c r="R116" s="12"/>
      <c r="S116" s="12"/>
      <c r="T116" s="12"/>
      <c r="U116" s="12"/>
      <c r="V116" s="12"/>
      <c r="W116" s="12"/>
      <c r="X116" s="12"/>
      <c r="Y116" s="12"/>
      <c r="Z116" s="12"/>
      <c r="AA116" s="775"/>
      <c r="AB116" s="159"/>
    </row>
    <row r="117" spans="1:30" ht="13" x14ac:dyDescent="0.3">
      <c r="A117" s="755" t="s">
        <v>245</v>
      </c>
      <c r="B117" s="779">
        <f>B114+B105+B101</f>
        <v>0</v>
      </c>
      <c r="C117" s="779">
        <f t="shared" ref="C117:L117" si="30">C114+C105+C101</f>
        <v>0</v>
      </c>
      <c r="D117" s="779">
        <f t="shared" si="30"/>
        <v>0</v>
      </c>
      <c r="E117" s="779">
        <f t="shared" si="30"/>
        <v>0</v>
      </c>
      <c r="F117" s="779">
        <f t="shared" si="30"/>
        <v>0</v>
      </c>
      <c r="G117" s="779">
        <f t="shared" si="30"/>
        <v>0</v>
      </c>
      <c r="H117" s="779">
        <f t="shared" si="30"/>
        <v>0</v>
      </c>
      <c r="I117" s="779">
        <f t="shared" si="30"/>
        <v>0</v>
      </c>
      <c r="J117" s="779">
        <f t="shared" si="30"/>
        <v>0</v>
      </c>
      <c r="K117" s="779">
        <f t="shared" si="30"/>
        <v>0</v>
      </c>
      <c r="L117" s="779">
        <f t="shared" si="30"/>
        <v>0</v>
      </c>
      <c r="M117" s="12"/>
      <c r="N117" s="12"/>
      <c r="O117" s="12"/>
      <c r="P117" s="12"/>
      <c r="Q117" s="12"/>
      <c r="R117" s="12"/>
      <c r="S117" s="12"/>
      <c r="T117" s="12"/>
      <c r="U117" s="12"/>
      <c r="V117" s="12"/>
      <c r="W117" s="12"/>
      <c r="X117" s="12"/>
      <c r="Y117" s="12"/>
      <c r="Z117" s="12"/>
      <c r="AA117" s="762"/>
      <c r="AB117" s="12"/>
    </row>
    <row r="118" spans="1:30" x14ac:dyDescent="0.25">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762"/>
      <c r="AA118" s="762"/>
      <c r="AB118" s="12"/>
    </row>
    <row r="119" spans="1:30" x14ac:dyDescent="0.25">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762"/>
      <c r="AA119" s="762"/>
      <c r="AB119" s="12"/>
    </row>
    <row r="120" spans="1:30" ht="13" x14ac:dyDescent="0.3">
      <c r="B120" s="1799" t="s">
        <v>123</v>
      </c>
      <c r="C120" s="1799"/>
      <c r="D120" s="1799" t="s">
        <v>124</v>
      </c>
      <c r="E120" s="1799"/>
      <c r="F120" s="1799" t="s">
        <v>125</v>
      </c>
      <c r="G120" s="1799"/>
      <c r="H120" s="12"/>
      <c r="I120" s="12"/>
      <c r="J120" s="12"/>
      <c r="K120" s="12"/>
      <c r="L120" s="12"/>
      <c r="M120" s="12"/>
      <c r="N120" s="12"/>
      <c r="O120" s="12"/>
      <c r="P120" s="12"/>
      <c r="Q120" s="12"/>
      <c r="R120" s="12"/>
      <c r="S120" s="12"/>
      <c r="T120" s="12"/>
      <c r="U120" s="12"/>
      <c r="V120" s="12"/>
      <c r="W120" s="12"/>
      <c r="X120" s="12"/>
      <c r="Y120" s="12"/>
      <c r="Z120" s="12"/>
      <c r="AA120" s="12"/>
      <c r="AB120" s="12"/>
      <c r="AC120"/>
      <c r="AD120"/>
    </row>
    <row r="121" spans="1:30" ht="13" x14ac:dyDescent="0.3">
      <c r="A121" s="83" t="s">
        <v>256</v>
      </c>
      <c r="B121" s="781" t="s">
        <v>257</v>
      </c>
      <c r="C121" s="770" t="s">
        <v>63</v>
      </c>
      <c r="D121" s="782" t="s">
        <v>257</v>
      </c>
      <c r="E121" s="782" t="s">
        <v>63</v>
      </c>
      <c r="F121" s="782" t="s">
        <v>257</v>
      </c>
      <c r="G121" s="782" t="s">
        <v>63</v>
      </c>
      <c r="H121" s="12"/>
      <c r="I121" s="12"/>
      <c r="J121" s="12"/>
      <c r="K121" s="12"/>
      <c r="L121" s="12"/>
      <c r="M121" s="12"/>
      <c r="N121" s="12"/>
      <c r="O121" s="12"/>
      <c r="P121" s="12"/>
      <c r="Q121" s="12"/>
      <c r="R121" s="12"/>
      <c r="S121" s="12"/>
      <c r="T121" s="12"/>
      <c r="U121" s="12"/>
      <c r="V121" s="12"/>
      <c r="W121" s="12"/>
      <c r="X121" s="12"/>
      <c r="Y121" s="12"/>
      <c r="Z121" s="12"/>
      <c r="AA121" s="12"/>
      <c r="AB121" s="12"/>
      <c r="AC121"/>
      <c r="AD121"/>
    </row>
    <row r="122" spans="1:30" s="9" customFormat="1" ht="13" x14ac:dyDescent="0.3">
      <c r="A122" s="153" t="str">
        <f t="shared" ref="A122:A127" si="31">A101</f>
        <v>INVERSIONS IMMATERIALS</v>
      </c>
      <c r="B122" s="773">
        <f t="shared" ref="B122:G122" si="32">SUM(B123:B125)</f>
        <v>0</v>
      </c>
      <c r="C122" s="724">
        <f t="shared" si="32"/>
        <v>0</v>
      </c>
      <c r="D122" s="783">
        <f t="shared" si="32"/>
        <v>0</v>
      </c>
      <c r="E122" s="783">
        <f t="shared" si="32"/>
        <v>0</v>
      </c>
      <c r="F122" s="783">
        <f t="shared" si="32"/>
        <v>0</v>
      </c>
      <c r="G122" s="783">
        <f t="shared" si="32"/>
        <v>0</v>
      </c>
      <c r="H122" s="12"/>
      <c r="I122" s="12"/>
      <c r="J122" s="12"/>
      <c r="K122" s="12"/>
      <c r="L122" s="12"/>
      <c r="M122" s="12"/>
      <c r="N122" s="18"/>
      <c r="O122" s="18"/>
      <c r="P122" s="18"/>
      <c r="Q122" s="18"/>
      <c r="R122" s="18"/>
      <c r="S122" s="18"/>
      <c r="T122" s="18"/>
      <c r="U122" s="18"/>
      <c r="V122" s="18"/>
      <c r="W122" s="18"/>
      <c r="X122" s="18"/>
      <c r="Y122" s="18"/>
      <c r="Z122" s="18"/>
      <c r="AA122" s="18"/>
      <c r="AB122" s="18"/>
      <c r="AC122" s="7"/>
      <c r="AD122" s="7"/>
    </row>
    <row r="123" spans="1:30" s="776" customFormat="1" x14ac:dyDescent="0.25">
      <c r="A123" s="727" t="str">
        <f t="shared" si="31"/>
        <v>Propietat industrial (patents i marques)</v>
      </c>
      <c r="B123" s="784">
        <f>D102*B9</f>
        <v>0</v>
      </c>
      <c r="C123" s="738">
        <f>B123</f>
        <v>0</v>
      </c>
      <c r="D123" s="785">
        <f>B9*H102</f>
        <v>0</v>
      </c>
      <c r="E123" s="738">
        <f>C123+D123</f>
        <v>0</v>
      </c>
      <c r="F123" s="785">
        <f>B9*L102</f>
        <v>0</v>
      </c>
      <c r="G123" s="738">
        <f>E123+F123</f>
        <v>0</v>
      </c>
      <c r="H123" s="12"/>
      <c r="I123" s="12"/>
      <c r="J123" s="12"/>
      <c r="K123" s="12"/>
      <c r="L123" s="12"/>
      <c r="M123" s="12"/>
      <c r="N123" s="12"/>
      <c r="O123" s="12"/>
      <c r="P123" s="12"/>
      <c r="Q123" s="12"/>
      <c r="R123" s="12"/>
      <c r="S123" s="12"/>
      <c r="T123" s="12"/>
      <c r="U123" s="12"/>
      <c r="V123" s="12"/>
      <c r="W123" s="12"/>
      <c r="X123" s="12"/>
      <c r="Y123" s="12"/>
      <c r="Z123" s="12"/>
      <c r="AA123" s="12"/>
      <c r="AB123" s="12"/>
      <c r="AC123"/>
      <c r="AD123"/>
    </row>
    <row r="124" spans="1:30" s="776" customFormat="1" x14ac:dyDescent="0.25">
      <c r="A124" s="731" t="str">
        <f t="shared" si="31"/>
        <v>Drets de traspàs</v>
      </c>
      <c r="B124" s="786">
        <f>D103*B10</f>
        <v>0</v>
      </c>
      <c r="C124" s="739">
        <f>B124</f>
        <v>0</v>
      </c>
      <c r="D124" s="787">
        <f>B10*H103</f>
        <v>0</v>
      </c>
      <c r="E124" s="739">
        <f t="shared" ref="E124:G125" si="33">C124+D124</f>
        <v>0</v>
      </c>
      <c r="F124" s="787">
        <f>B10*L103</f>
        <v>0</v>
      </c>
      <c r="G124" s="739">
        <f t="shared" si="33"/>
        <v>0</v>
      </c>
      <c r="H124" s="12"/>
      <c r="I124" s="12"/>
      <c r="J124" s="12"/>
      <c r="K124" s="12"/>
      <c r="L124" s="12"/>
      <c r="M124" s="12"/>
      <c r="N124" s="12"/>
      <c r="O124" s="12"/>
      <c r="P124" s="12"/>
      <c r="Q124" s="12"/>
      <c r="R124" s="12"/>
      <c r="S124" s="12"/>
      <c r="T124" s="12"/>
      <c r="U124" s="12"/>
      <c r="V124" s="12"/>
      <c r="W124" s="12"/>
      <c r="X124" s="12"/>
      <c r="Y124" s="12"/>
      <c r="Z124" s="12"/>
      <c r="AA124" s="12"/>
      <c r="AB124" s="12"/>
      <c r="AC124"/>
      <c r="AD124"/>
    </row>
    <row r="125" spans="1:30" s="776" customFormat="1" x14ac:dyDescent="0.25">
      <c r="A125" s="731" t="str">
        <f t="shared" si="31"/>
        <v>Aplicacions informàtiques</v>
      </c>
      <c r="B125" s="786">
        <f>D104*B11</f>
        <v>0</v>
      </c>
      <c r="C125" s="739">
        <f>B125</f>
        <v>0</v>
      </c>
      <c r="D125" s="787">
        <f>B11*H104</f>
        <v>0</v>
      </c>
      <c r="E125" s="739">
        <f t="shared" si="33"/>
        <v>0</v>
      </c>
      <c r="F125" s="787">
        <f>B11*L104</f>
        <v>0</v>
      </c>
      <c r="G125" s="739">
        <f t="shared" si="33"/>
        <v>0</v>
      </c>
      <c r="H125" s="12"/>
      <c r="I125" s="12"/>
      <c r="J125" s="12"/>
      <c r="K125" s="12"/>
      <c r="L125" s="12"/>
      <c r="M125" s="12"/>
      <c r="N125" s="12"/>
      <c r="O125" s="12"/>
      <c r="P125" s="12"/>
      <c r="Q125" s="12"/>
      <c r="R125" s="12"/>
      <c r="S125" s="12"/>
      <c r="T125" s="12"/>
      <c r="U125" s="12"/>
      <c r="V125" s="12"/>
      <c r="W125" s="12"/>
      <c r="X125" s="12"/>
      <c r="Y125" s="12"/>
      <c r="Z125" s="12"/>
      <c r="AA125" s="12"/>
      <c r="AB125" s="12"/>
      <c r="AC125"/>
      <c r="AD125"/>
    </row>
    <row r="126" spans="1:30" s="9" customFormat="1" ht="13" x14ac:dyDescent="0.3">
      <c r="A126" s="153" t="str">
        <f t="shared" si="31"/>
        <v>INVERSIONS MATERIALS</v>
      </c>
      <c r="B126" s="773">
        <f t="shared" ref="B126:G126" si="34">SUM(B127:B134)</f>
        <v>0</v>
      </c>
      <c r="C126" s="724">
        <f t="shared" si="34"/>
        <v>0</v>
      </c>
      <c r="D126" s="783">
        <f t="shared" si="34"/>
        <v>0</v>
      </c>
      <c r="E126" s="724">
        <f t="shared" si="34"/>
        <v>0</v>
      </c>
      <c r="F126" s="783">
        <f t="shared" si="34"/>
        <v>0</v>
      </c>
      <c r="G126" s="724">
        <f t="shared" si="34"/>
        <v>0</v>
      </c>
      <c r="H126" s="12"/>
      <c r="I126" s="12"/>
      <c r="J126" s="12"/>
      <c r="K126" s="12"/>
      <c r="L126" s="12"/>
      <c r="M126" s="12"/>
      <c r="N126" s="18"/>
      <c r="O126" s="18"/>
      <c r="P126" s="18"/>
      <c r="Q126" s="18"/>
      <c r="R126" s="18"/>
      <c r="S126" s="18"/>
      <c r="T126" s="18"/>
      <c r="U126" s="18"/>
      <c r="V126" s="18"/>
      <c r="W126" s="18"/>
      <c r="X126" s="18"/>
      <c r="Y126" s="18"/>
      <c r="Z126" s="18"/>
      <c r="AA126" s="18"/>
      <c r="AB126" s="18"/>
      <c r="AC126" s="7"/>
      <c r="AD126" s="7"/>
    </row>
    <row r="127" spans="1:30" s="776" customFormat="1" x14ac:dyDescent="0.25">
      <c r="A127" s="727" t="str">
        <f t="shared" si="31"/>
        <v>Terrenys</v>
      </c>
      <c r="B127" s="784">
        <f t="shared" ref="B127:B134" si="35">B14*D106</f>
        <v>0</v>
      </c>
      <c r="C127" s="738">
        <f t="shared" ref="C127:C134" si="36">B127</f>
        <v>0</v>
      </c>
      <c r="D127" s="785">
        <f t="shared" ref="D127:D134" si="37">B14*H106</f>
        <v>0</v>
      </c>
      <c r="E127" s="738">
        <f t="shared" ref="E127:G134" si="38">C127+D127</f>
        <v>0</v>
      </c>
      <c r="F127" s="785">
        <f t="shared" ref="F127:F134" si="39">B14*L106</f>
        <v>0</v>
      </c>
      <c r="G127" s="738">
        <f t="shared" si="38"/>
        <v>0</v>
      </c>
      <c r="H127" s="12"/>
      <c r="I127" s="12"/>
      <c r="J127" s="12"/>
      <c r="K127" s="12"/>
      <c r="L127" s="12"/>
      <c r="M127" s="12"/>
      <c r="N127" s="12"/>
      <c r="O127" s="12"/>
      <c r="P127" s="12"/>
      <c r="Q127" s="12"/>
      <c r="R127" s="12"/>
      <c r="S127" s="12"/>
      <c r="T127" s="12"/>
      <c r="U127" s="12"/>
      <c r="V127" s="12"/>
      <c r="W127" s="12"/>
      <c r="X127" s="12"/>
      <c r="Y127" s="12"/>
      <c r="Z127" s="12"/>
      <c r="AA127" s="12"/>
      <c r="AB127" s="12"/>
      <c r="AC127"/>
      <c r="AD127"/>
    </row>
    <row r="128" spans="1:30" s="776" customFormat="1" x14ac:dyDescent="0.25">
      <c r="A128" s="731" t="str">
        <f t="shared" ref="A128:A134" si="40">A107</f>
        <v>Construccions</v>
      </c>
      <c r="B128" s="786">
        <f t="shared" si="35"/>
        <v>0</v>
      </c>
      <c r="C128" s="739">
        <f t="shared" si="36"/>
        <v>0</v>
      </c>
      <c r="D128" s="787">
        <f t="shared" si="37"/>
        <v>0</v>
      </c>
      <c r="E128" s="739">
        <f t="shared" si="38"/>
        <v>0</v>
      </c>
      <c r="F128" s="787">
        <f t="shared" si="39"/>
        <v>0</v>
      </c>
      <c r="G128" s="739">
        <f t="shared" si="38"/>
        <v>0</v>
      </c>
      <c r="H128" s="12"/>
      <c r="I128" s="12"/>
      <c r="J128" s="12"/>
      <c r="K128" s="12"/>
      <c r="L128" s="12"/>
      <c r="M128" s="12"/>
      <c r="N128" s="12"/>
      <c r="O128" s="12"/>
      <c r="P128" s="12"/>
      <c r="Q128" s="12"/>
      <c r="R128" s="12"/>
      <c r="S128" s="12"/>
      <c r="T128" s="12"/>
      <c r="U128" s="12"/>
      <c r="V128" s="12"/>
      <c r="W128" s="12"/>
      <c r="X128" s="12"/>
      <c r="Y128" s="12"/>
      <c r="Z128" s="12"/>
      <c r="AA128" s="12"/>
      <c r="AB128" s="12"/>
      <c r="AC128"/>
      <c r="AD128"/>
    </row>
    <row r="129" spans="1:30" s="776" customFormat="1" x14ac:dyDescent="0.25">
      <c r="A129" s="731" t="str">
        <f t="shared" si="40"/>
        <v>Maquinària</v>
      </c>
      <c r="B129" s="786">
        <f t="shared" si="35"/>
        <v>0</v>
      </c>
      <c r="C129" s="739">
        <f t="shared" si="36"/>
        <v>0</v>
      </c>
      <c r="D129" s="787">
        <f t="shared" si="37"/>
        <v>0</v>
      </c>
      <c r="E129" s="739">
        <f t="shared" si="38"/>
        <v>0</v>
      </c>
      <c r="F129" s="787">
        <f t="shared" si="39"/>
        <v>0</v>
      </c>
      <c r="G129" s="739">
        <f t="shared" si="38"/>
        <v>0</v>
      </c>
      <c r="H129" s="12"/>
      <c r="I129" s="12"/>
      <c r="J129" s="12"/>
      <c r="K129" s="12"/>
      <c r="L129" s="12"/>
      <c r="M129" s="12"/>
      <c r="N129" s="12"/>
      <c r="O129" s="12"/>
      <c r="P129" s="12"/>
      <c r="Q129" s="12"/>
      <c r="R129" s="12"/>
      <c r="S129" s="12"/>
      <c r="T129" s="12"/>
      <c r="U129" s="12"/>
      <c r="V129" s="12"/>
      <c r="W129" s="12"/>
      <c r="X129" s="12"/>
      <c r="Y129" s="12"/>
      <c r="Z129" s="12"/>
      <c r="AA129" s="12"/>
      <c r="AB129" s="12"/>
      <c r="AC129"/>
      <c r="AD129"/>
    </row>
    <row r="130" spans="1:30" s="776" customFormat="1" x14ac:dyDescent="0.25">
      <c r="A130" s="731" t="str">
        <f t="shared" si="40"/>
        <v>Altres instal·lacions</v>
      </c>
      <c r="B130" s="786">
        <f t="shared" si="35"/>
        <v>0</v>
      </c>
      <c r="C130" s="739">
        <f t="shared" si="36"/>
        <v>0</v>
      </c>
      <c r="D130" s="787">
        <f t="shared" si="37"/>
        <v>0</v>
      </c>
      <c r="E130" s="739">
        <f t="shared" si="38"/>
        <v>0</v>
      </c>
      <c r="F130" s="787">
        <f t="shared" si="39"/>
        <v>0</v>
      </c>
      <c r="G130" s="739">
        <f t="shared" si="38"/>
        <v>0</v>
      </c>
      <c r="H130" s="12"/>
      <c r="I130" s="12"/>
      <c r="J130" s="12"/>
      <c r="K130" s="12"/>
      <c r="L130" s="12"/>
      <c r="M130" s="12"/>
      <c r="N130" s="12"/>
      <c r="O130" s="12"/>
      <c r="P130" s="12"/>
      <c r="Q130" s="12"/>
      <c r="R130" s="12"/>
      <c r="S130" s="12"/>
      <c r="T130" s="12"/>
      <c r="U130" s="12"/>
      <c r="V130" s="12"/>
      <c r="W130" s="12"/>
      <c r="X130" s="12"/>
      <c r="Y130" s="12"/>
      <c r="Z130" s="12"/>
      <c r="AA130" s="12"/>
      <c r="AB130" s="12"/>
      <c r="AC130"/>
      <c r="AD130"/>
    </row>
    <row r="131" spans="1:30" s="776" customFormat="1" x14ac:dyDescent="0.25">
      <c r="A131" s="731" t="str">
        <f t="shared" si="40"/>
        <v>Mobiliari</v>
      </c>
      <c r="B131" s="786">
        <f t="shared" si="35"/>
        <v>0</v>
      </c>
      <c r="C131" s="739">
        <f t="shared" si="36"/>
        <v>0</v>
      </c>
      <c r="D131" s="787">
        <f t="shared" si="37"/>
        <v>0</v>
      </c>
      <c r="E131" s="739">
        <f t="shared" si="38"/>
        <v>0</v>
      </c>
      <c r="F131" s="787">
        <f t="shared" si="39"/>
        <v>0</v>
      </c>
      <c r="G131" s="739">
        <f t="shared" si="38"/>
        <v>0</v>
      </c>
      <c r="H131" s="12"/>
      <c r="I131" s="12"/>
      <c r="J131" s="12"/>
      <c r="K131" s="12"/>
      <c r="L131" s="12"/>
      <c r="M131" s="12"/>
      <c r="N131" s="12"/>
      <c r="O131" s="12"/>
      <c r="P131" s="12"/>
      <c r="Q131" s="12"/>
      <c r="R131" s="12"/>
      <c r="S131" s="12"/>
      <c r="T131" s="12"/>
      <c r="U131" s="12"/>
      <c r="V131" s="12"/>
      <c r="W131" s="12"/>
      <c r="X131" s="12"/>
      <c r="Y131" s="12"/>
      <c r="Z131" s="12"/>
      <c r="AA131" s="12"/>
      <c r="AB131" s="12"/>
      <c r="AC131"/>
      <c r="AD131"/>
    </row>
    <row r="132" spans="1:30" s="776" customFormat="1" x14ac:dyDescent="0.25">
      <c r="A132" s="731" t="str">
        <f t="shared" si="40"/>
        <v>Equips processos informació</v>
      </c>
      <c r="B132" s="786">
        <f t="shared" si="35"/>
        <v>0</v>
      </c>
      <c r="C132" s="739">
        <f t="shared" si="36"/>
        <v>0</v>
      </c>
      <c r="D132" s="787">
        <f t="shared" si="37"/>
        <v>0</v>
      </c>
      <c r="E132" s="739">
        <f t="shared" si="38"/>
        <v>0</v>
      </c>
      <c r="F132" s="787">
        <f t="shared" si="39"/>
        <v>0</v>
      </c>
      <c r="G132" s="739">
        <f t="shared" si="38"/>
        <v>0</v>
      </c>
      <c r="H132" s="12"/>
      <c r="I132" s="12"/>
      <c r="J132" s="12"/>
      <c r="K132" s="12"/>
      <c r="L132" s="12"/>
      <c r="M132" s="12"/>
      <c r="N132" s="12"/>
      <c r="O132" s="12"/>
      <c r="P132" s="12"/>
      <c r="Q132" s="12"/>
      <c r="R132" s="12"/>
      <c r="S132" s="12"/>
      <c r="T132" s="12"/>
      <c r="U132" s="12"/>
      <c r="V132" s="12"/>
      <c r="W132" s="12"/>
      <c r="X132" s="12"/>
      <c r="Y132" s="12"/>
      <c r="Z132" s="12"/>
      <c r="AA132" s="12"/>
      <c r="AB132" s="12"/>
      <c r="AC132"/>
      <c r="AD132"/>
    </row>
    <row r="133" spans="1:30" s="776" customFormat="1" x14ac:dyDescent="0.25">
      <c r="A133" s="731" t="str">
        <f t="shared" si="40"/>
        <v>Elements de transport</v>
      </c>
      <c r="B133" s="786">
        <f t="shared" si="35"/>
        <v>0</v>
      </c>
      <c r="C133" s="739">
        <f t="shared" si="36"/>
        <v>0</v>
      </c>
      <c r="D133" s="787">
        <f t="shared" si="37"/>
        <v>0</v>
      </c>
      <c r="E133" s="739">
        <f t="shared" si="38"/>
        <v>0</v>
      </c>
      <c r="F133" s="787">
        <f t="shared" si="39"/>
        <v>0</v>
      </c>
      <c r="G133" s="739">
        <f t="shared" si="38"/>
        <v>0</v>
      </c>
      <c r="H133" s="12"/>
      <c r="I133" s="12"/>
      <c r="J133" s="12"/>
      <c r="K133" s="12"/>
      <c r="L133" s="12"/>
      <c r="M133" s="12"/>
      <c r="N133" s="12"/>
      <c r="O133" s="12"/>
      <c r="P133" s="12"/>
      <c r="Q133" s="12"/>
      <c r="R133" s="12"/>
      <c r="S133" s="12"/>
      <c r="T133" s="12"/>
      <c r="U133" s="12"/>
      <c r="V133" s="12"/>
      <c r="W133" s="12"/>
      <c r="X133" s="12"/>
      <c r="Y133" s="12"/>
      <c r="Z133" s="12"/>
      <c r="AA133" s="12"/>
      <c r="AB133" s="12"/>
      <c r="AC133"/>
      <c r="AD133"/>
    </row>
    <row r="134" spans="1:30" s="776" customFormat="1" x14ac:dyDescent="0.25">
      <c r="A134" s="734" t="str">
        <f t="shared" si="40"/>
        <v>Altre immobilitzat material</v>
      </c>
      <c r="B134" s="789">
        <f t="shared" si="35"/>
        <v>0</v>
      </c>
      <c r="C134" s="735">
        <f t="shared" si="36"/>
        <v>0</v>
      </c>
      <c r="D134" s="790">
        <f t="shared" si="37"/>
        <v>0</v>
      </c>
      <c r="E134" s="735">
        <f t="shared" si="38"/>
        <v>0</v>
      </c>
      <c r="F134" s="790">
        <f t="shared" si="39"/>
        <v>0</v>
      </c>
      <c r="G134" s="735">
        <f t="shared" si="38"/>
        <v>0</v>
      </c>
      <c r="H134" s="12"/>
      <c r="I134" s="12"/>
      <c r="J134" s="12"/>
      <c r="K134" s="12"/>
      <c r="L134" s="12"/>
      <c r="M134" s="12"/>
      <c r="N134" s="12"/>
      <c r="O134" s="12"/>
      <c r="P134" s="12"/>
      <c r="Q134" s="12"/>
      <c r="R134" s="12"/>
      <c r="S134" s="12"/>
      <c r="T134" s="12"/>
      <c r="U134" s="12"/>
      <c r="V134" s="12"/>
      <c r="W134" s="12"/>
      <c r="X134" s="12"/>
      <c r="Y134" s="12"/>
      <c r="Z134" s="12"/>
      <c r="AA134" s="12"/>
      <c r="AB134" s="12"/>
      <c r="AC134"/>
      <c r="AD134"/>
    </row>
    <row r="135" spans="1:30" s="9" customFormat="1" ht="13" x14ac:dyDescent="0.3">
      <c r="A135" s="755" t="s">
        <v>245</v>
      </c>
      <c r="B135" s="780">
        <f t="shared" ref="B135:G135" si="41">B126+B122</f>
        <v>0</v>
      </c>
      <c r="C135" s="757">
        <f t="shared" si="41"/>
        <v>0</v>
      </c>
      <c r="D135" s="791">
        <f t="shared" si="41"/>
        <v>0</v>
      </c>
      <c r="E135" s="791">
        <f t="shared" si="41"/>
        <v>0</v>
      </c>
      <c r="F135" s="791">
        <f t="shared" si="41"/>
        <v>0</v>
      </c>
      <c r="G135" s="791">
        <f t="shared" si="41"/>
        <v>0</v>
      </c>
      <c r="H135" s="12"/>
      <c r="I135" s="12"/>
      <c r="J135" s="12"/>
      <c r="K135" s="12"/>
      <c r="L135" s="12"/>
      <c r="M135" s="12"/>
      <c r="N135" s="18"/>
      <c r="O135" s="18"/>
      <c r="P135" s="18"/>
      <c r="Q135" s="18"/>
      <c r="R135" s="18"/>
      <c r="S135" s="18"/>
      <c r="T135" s="18"/>
      <c r="U135" s="18"/>
      <c r="V135" s="18"/>
      <c r="W135" s="18"/>
      <c r="X135" s="18"/>
      <c r="Y135" s="18"/>
      <c r="Z135" s="18"/>
      <c r="AA135" s="18"/>
      <c r="AB135" s="18"/>
      <c r="AC135" s="7"/>
      <c r="AD135" s="7"/>
    </row>
    <row r="136" spans="1:30" x14ac:dyDescent="0.25">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c r="AD136"/>
    </row>
    <row r="137" spans="1:30" x14ac:dyDescent="0.25">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762"/>
      <c r="AA137" s="762"/>
      <c r="AB137" s="12"/>
    </row>
    <row r="138" spans="1:30" ht="13" x14ac:dyDescent="0.3">
      <c r="B138" s="1799" t="s">
        <v>123</v>
      </c>
      <c r="C138" s="1799"/>
      <c r="D138" s="1799"/>
      <c r="E138" s="1799" t="s">
        <v>124</v>
      </c>
      <c r="F138" s="1799"/>
      <c r="G138" s="1799"/>
      <c r="H138" s="1799"/>
      <c r="I138" s="1799" t="s">
        <v>125</v>
      </c>
      <c r="J138" s="1799"/>
      <c r="K138" s="1799"/>
      <c r="L138" s="1799"/>
      <c r="M138" s="12"/>
      <c r="N138" s="12"/>
      <c r="O138" s="12"/>
      <c r="P138" s="12"/>
      <c r="Q138" s="12"/>
      <c r="R138" s="12"/>
      <c r="S138" s="12"/>
      <c r="T138" s="12"/>
      <c r="U138" s="12"/>
      <c r="V138" s="12"/>
      <c r="W138" s="12"/>
      <c r="X138" s="12"/>
      <c r="Y138" s="12"/>
      <c r="Z138" s="12"/>
      <c r="AA138" s="762"/>
      <c r="AB138" s="12"/>
    </row>
    <row r="139" spans="1:30" ht="13" x14ac:dyDescent="0.3">
      <c r="A139" s="792" t="s">
        <v>258</v>
      </c>
      <c r="B139" s="768" t="s">
        <v>252</v>
      </c>
      <c r="C139" s="769" t="s">
        <v>253</v>
      </c>
      <c r="D139" s="770" t="s">
        <v>254</v>
      </c>
      <c r="E139" s="771" t="s">
        <v>255</v>
      </c>
      <c r="F139" s="769" t="s">
        <v>252</v>
      </c>
      <c r="G139" s="769" t="s">
        <v>253</v>
      </c>
      <c r="H139" s="770" t="s">
        <v>254</v>
      </c>
      <c r="I139" s="771" t="s">
        <v>255</v>
      </c>
      <c r="J139" s="769" t="s">
        <v>252</v>
      </c>
      <c r="K139" s="769" t="s">
        <v>253</v>
      </c>
      <c r="L139" s="770" t="s">
        <v>254</v>
      </c>
      <c r="M139" s="12"/>
      <c r="N139" s="12"/>
      <c r="O139" s="12"/>
      <c r="P139" s="12"/>
      <c r="Q139" s="12"/>
      <c r="R139" s="12"/>
      <c r="S139" s="12"/>
      <c r="T139" s="12"/>
      <c r="U139" s="12"/>
      <c r="V139" s="12"/>
      <c r="W139" s="12"/>
      <c r="X139" s="12"/>
      <c r="Y139" s="12"/>
      <c r="Z139" s="12"/>
      <c r="AA139" s="762"/>
      <c r="AB139" s="12"/>
    </row>
    <row r="140" spans="1:30" s="9" customFormat="1" ht="13" x14ac:dyDescent="0.3">
      <c r="A140" s="153" t="str">
        <f>A101</f>
        <v>INVERSIONS IMMATERIALS</v>
      </c>
      <c r="B140" s="773">
        <f t="shared" ref="B140:L140" si="42">SUM(B141:B143)</f>
        <v>0</v>
      </c>
      <c r="C140" s="772">
        <f t="shared" si="42"/>
        <v>0</v>
      </c>
      <c r="D140" s="724">
        <f t="shared" si="42"/>
        <v>0</v>
      </c>
      <c r="E140" s="773">
        <f t="shared" si="42"/>
        <v>0</v>
      </c>
      <c r="F140" s="772">
        <f t="shared" si="42"/>
        <v>0</v>
      </c>
      <c r="G140" s="772">
        <f t="shared" si="42"/>
        <v>0</v>
      </c>
      <c r="H140" s="724">
        <f t="shared" si="42"/>
        <v>0</v>
      </c>
      <c r="I140" s="773">
        <f t="shared" si="42"/>
        <v>0</v>
      </c>
      <c r="J140" s="772">
        <f t="shared" si="42"/>
        <v>0</v>
      </c>
      <c r="K140" s="772">
        <f t="shared" si="42"/>
        <v>0</v>
      </c>
      <c r="L140" s="724">
        <f t="shared" si="42"/>
        <v>0</v>
      </c>
      <c r="M140" s="18"/>
      <c r="N140" s="18"/>
      <c r="O140" s="18"/>
      <c r="P140" s="18"/>
      <c r="Q140" s="18"/>
      <c r="R140" s="18"/>
      <c r="S140" s="18"/>
      <c r="T140" s="18"/>
      <c r="U140" s="18"/>
      <c r="V140" s="18"/>
      <c r="W140" s="18"/>
      <c r="X140" s="18"/>
      <c r="Y140" s="18"/>
      <c r="Z140" s="18"/>
      <c r="AA140" s="761"/>
      <c r="AB140" s="18"/>
    </row>
    <row r="141" spans="1:30" s="776" customFormat="1" x14ac:dyDescent="0.25">
      <c r="A141" s="727" t="str">
        <f>A102</f>
        <v>Propietat industrial (patents i marques)</v>
      </c>
      <c r="B141" s="784">
        <f>B102</f>
        <v>0</v>
      </c>
      <c r="C141" s="793">
        <f>C102+B123</f>
        <v>0</v>
      </c>
      <c r="D141" s="738">
        <f>B141-C141</f>
        <v>0</v>
      </c>
      <c r="E141" s="784">
        <f>D141</f>
        <v>0</v>
      </c>
      <c r="F141" s="793">
        <f>F102</f>
        <v>0</v>
      </c>
      <c r="G141" s="793">
        <f>G102+D123</f>
        <v>0</v>
      </c>
      <c r="H141" s="738">
        <f>E141+F141-G141</f>
        <v>0</v>
      </c>
      <c r="I141" s="784">
        <f>H141</f>
        <v>0</v>
      </c>
      <c r="J141" s="793">
        <f>J102</f>
        <v>0</v>
      </c>
      <c r="K141" s="793">
        <f>K102+F123</f>
        <v>0</v>
      </c>
      <c r="L141" s="738">
        <f>I141+J141-K141</f>
        <v>0</v>
      </c>
      <c r="M141" s="12"/>
      <c r="N141" s="12"/>
      <c r="O141" s="12"/>
      <c r="P141" s="12"/>
      <c r="Q141" s="12"/>
      <c r="R141" s="12"/>
      <c r="S141" s="12"/>
      <c r="T141" s="12"/>
      <c r="U141" s="12"/>
      <c r="V141" s="12"/>
      <c r="W141" s="12"/>
      <c r="X141" s="12"/>
      <c r="Y141" s="12"/>
      <c r="Z141" s="12"/>
      <c r="AA141" s="775"/>
      <c r="AB141" s="159"/>
    </row>
    <row r="142" spans="1:30" s="776" customFormat="1" x14ac:dyDescent="0.25">
      <c r="A142" s="731" t="str">
        <f>A103</f>
        <v>Drets de traspàs</v>
      </c>
      <c r="B142" s="786">
        <f>B103</f>
        <v>0</v>
      </c>
      <c r="C142" s="794">
        <f>C103+B124</f>
        <v>0</v>
      </c>
      <c r="D142" s="739">
        <f>B142-C142</f>
        <v>0</v>
      </c>
      <c r="E142" s="786">
        <f>D142</f>
        <v>0</v>
      </c>
      <c r="F142" s="794">
        <f>F103</f>
        <v>0</v>
      </c>
      <c r="G142" s="794">
        <f>G103+D124</f>
        <v>0</v>
      </c>
      <c r="H142" s="739">
        <f>E142+F142-G142</f>
        <v>0</v>
      </c>
      <c r="I142" s="786">
        <f>H142</f>
        <v>0</v>
      </c>
      <c r="J142" s="794">
        <f>J103</f>
        <v>0</v>
      </c>
      <c r="K142" s="794">
        <f>K103+F124</f>
        <v>0</v>
      </c>
      <c r="L142" s="739">
        <f>I142+J142-K142</f>
        <v>0</v>
      </c>
      <c r="M142" s="12"/>
      <c r="N142" s="12"/>
      <c r="O142" s="12"/>
      <c r="P142" s="12"/>
      <c r="Q142" s="12"/>
      <c r="R142" s="12"/>
      <c r="S142" s="12"/>
      <c r="T142" s="12"/>
      <c r="U142" s="12"/>
      <c r="V142" s="12"/>
      <c r="W142" s="12"/>
      <c r="X142" s="12"/>
      <c r="Y142" s="12"/>
      <c r="Z142" s="12"/>
      <c r="AA142" s="775"/>
      <c r="AB142" s="159"/>
    </row>
    <row r="143" spans="1:30" s="776" customFormat="1" x14ac:dyDescent="0.25">
      <c r="A143" s="731" t="str">
        <f>A104</f>
        <v>Aplicacions informàtiques</v>
      </c>
      <c r="B143" s="786">
        <f>B104</f>
        <v>0</v>
      </c>
      <c r="C143" s="794">
        <f>C104+B125</f>
        <v>0</v>
      </c>
      <c r="D143" s="739">
        <f>B143-C143</f>
        <v>0</v>
      </c>
      <c r="E143" s="786">
        <f>D143</f>
        <v>0</v>
      </c>
      <c r="F143" s="794">
        <f>F104</f>
        <v>0</v>
      </c>
      <c r="G143" s="794">
        <f>G104+D125</f>
        <v>0</v>
      </c>
      <c r="H143" s="739">
        <f>E143+F143-G143</f>
        <v>0</v>
      </c>
      <c r="I143" s="786">
        <f>H143</f>
        <v>0</v>
      </c>
      <c r="J143" s="794">
        <f>J104</f>
        <v>0</v>
      </c>
      <c r="K143" s="794">
        <f>K104+F125</f>
        <v>0</v>
      </c>
      <c r="L143" s="739">
        <f>I143+J143-K143</f>
        <v>0</v>
      </c>
      <c r="M143" s="12"/>
      <c r="N143" s="12"/>
      <c r="O143" s="12"/>
      <c r="P143" s="12"/>
      <c r="Q143" s="12"/>
      <c r="R143" s="12"/>
      <c r="S143" s="12"/>
      <c r="T143" s="12"/>
      <c r="U143" s="12"/>
      <c r="V143" s="12"/>
      <c r="W143" s="12"/>
      <c r="X143" s="12"/>
      <c r="Y143" s="12"/>
      <c r="Z143" s="12"/>
      <c r="AA143" s="775"/>
      <c r="AB143" s="159"/>
    </row>
    <row r="144" spans="1:30" s="9" customFormat="1" ht="13" x14ac:dyDescent="0.3">
      <c r="A144" s="153" t="str">
        <f>A126</f>
        <v>INVERSIONS MATERIALS</v>
      </c>
      <c r="B144" s="773">
        <f>SUM(B145:B152)</f>
        <v>0</v>
      </c>
      <c r="C144" s="772">
        <f t="shared" ref="C144:L144" si="43">SUM(C145:C152)</f>
        <v>0</v>
      </c>
      <c r="D144" s="724">
        <f t="shared" si="43"/>
        <v>0</v>
      </c>
      <c r="E144" s="773">
        <f t="shared" si="43"/>
        <v>0</v>
      </c>
      <c r="F144" s="772">
        <f t="shared" si="43"/>
        <v>0</v>
      </c>
      <c r="G144" s="772">
        <f t="shared" si="43"/>
        <v>0</v>
      </c>
      <c r="H144" s="724">
        <f t="shared" si="43"/>
        <v>0</v>
      </c>
      <c r="I144" s="773">
        <f t="shared" si="43"/>
        <v>0</v>
      </c>
      <c r="J144" s="772">
        <f t="shared" si="43"/>
        <v>0</v>
      </c>
      <c r="K144" s="772">
        <f t="shared" si="43"/>
        <v>0</v>
      </c>
      <c r="L144" s="724">
        <f t="shared" si="43"/>
        <v>0</v>
      </c>
      <c r="M144" s="18"/>
      <c r="N144" s="18"/>
      <c r="O144" s="18"/>
      <c r="P144" s="18"/>
      <c r="Q144" s="18"/>
      <c r="R144" s="18"/>
      <c r="S144" s="18"/>
      <c r="T144" s="18"/>
      <c r="U144" s="18"/>
      <c r="V144" s="18"/>
      <c r="W144" s="18"/>
      <c r="X144" s="18"/>
      <c r="Y144" s="18"/>
      <c r="Z144" s="18"/>
      <c r="AA144" s="761"/>
      <c r="AB144" s="18"/>
    </row>
    <row r="145" spans="1:28" s="776" customFormat="1" x14ac:dyDescent="0.25">
      <c r="A145" s="727" t="str">
        <f>A127</f>
        <v>Terrenys</v>
      </c>
      <c r="B145" s="784">
        <f t="shared" ref="B145:B152" si="44">B106</f>
        <v>0</v>
      </c>
      <c r="C145" s="793">
        <f t="shared" ref="C145:C152" si="45">C106+B127</f>
        <v>0</v>
      </c>
      <c r="D145" s="738">
        <f t="shared" ref="D145:D153" si="46">B145-C145</f>
        <v>0</v>
      </c>
      <c r="E145" s="784">
        <f t="shared" ref="E145:E153" si="47">D145</f>
        <v>0</v>
      </c>
      <c r="F145" s="793">
        <f t="shared" ref="F145:F152" si="48">F106</f>
        <v>0</v>
      </c>
      <c r="G145" s="793">
        <f t="shared" ref="G145:G152" si="49">G106+D127</f>
        <v>0</v>
      </c>
      <c r="H145" s="738">
        <f t="shared" ref="H145:H153" si="50">E145+F145-G145</f>
        <v>0</v>
      </c>
      <c r="I145" s="784">
        <f t="shared" ref="I145:I153" si="51">H145</f>
        <v>0</v>
      </c>
      <c r="J145" s="793">
        <f t="shared" ref="J145:J153" si="52">J106</f>
        <v>0</v>
      </c>
      <c r="K145" s="793">
        <f t="shared" ref="K145:K152" si="53">K106+F127</f>
        <v>0</v>
      </c>
      <c r="L145" s="738">
        <f t="shared" ref="L145:L153" si="54">I145+J145-K145</f>
        <v>0</v>
      </c>
      <c r="M145" s="12"/>
      <c r="N145" s="12"/>
      <c r="O145" s="12"/>
      <c r="P145" s="12"/>
      <c r="Q145" s="12"/>
      <c r="R145" s="12"/>
      <c r="S145" s="12"/>
      <c r="T145" s="12"/>
      <c r="U145" s="12"/>
      <c r="V145" s="12"/>
      <c r="W145" s="12"/>
      <c r="X145" s="12"/>
      <c r="Y145" s="12"/>
      <c r="Z145" s="12"/>
      <c r="AA145" s="775"/>
      <c r="AB145" s="159"/>
    </row>
    <row r="146" spans="1:28" s="776" customFormat="1" x14ac:dyDescent="0.25">
      <c r="A146" s="731" t="str">
        <f t="shared" ref="A146:A152" si="55">A128</f>
        <v>Construccions</v>
      </c>
      <c r="B146" s="786">
        <f t="shared" si="44"/>
        <v>0</v>
      </c>
      <c r="C146" s="794">
        <f t="shared" si="45"/>
        <v>0</v>
      </c>
      <c r="D146" s="739">
        <f t="shared" si="46"/>
        <v>0</v>
      </c>
      <c r="E146" s="786">
        <f t="shared" si="47"/>
        <v>0</v>
      </c>
      <c r="F146" s="794">
        <f t="shared" si="48"/>
        <v>0</v>
      </c>
      <c r="G146" s="794">
        <f t="shared" si="49"/>
        <v>0</v>
      </c>
      <c r="H146" s="739">
        <f t="shared" si="50"/>
        <v>0</v>
      </c>
      <c r="I146" s="786">
        <f t="shared" si="51"/>
        <v>0</v>
      </c>
      <c r="J146" s="794">
        <f t="shared" si="52"/>
        <v>0</v>
      </c>
      <c r="K146" s="794">
        <f t="shared" si="53"/>
        <v>0</v>
      </c>
      <c r="L146" s="739">
        <f t="shared" si="54"/>
        <v>0</v>
      </c>
      <c r="M146" s="12"/>
      <c r="N146" s="12"/>
      <c r="O146" s="12"/>
      <c r="P146" s="12"/>
      <c r="Q146" s="12"/>
      <c r="R146" s="12"/>
      <c r="S146" s="12"/>
      <c r="T146" s="12"/>
      <c r="U146" s="12"/>
      <c r="V146" s="12"/>
      <c r="W146" s="12"/>
      <c r="X146" s="12"/>
      <c r="Y146" s="12"/>
      <c r="Z146" s="12"/>
      <c r="AA146" s="775"/>
      <c r="AB146" s="159"/>
    </row>
    <row r="147" spans="1:28" s="776" customFormat="1" x14ac:dyDescent="0.25">
      <c r="A147" s="731" t="str">
        <f t="shared" si="55"/>
        <v>Maquinària</v>
      </c>
      <c r="B147" s="786">
        <f t="shared" si="44"/>
        <v>0</v>
      </c>
      <c r="C147" s="794">
        <f t="shared" si="45"/>
        <v>0</v>
      </c>
      <c r="D147" s="739">
        <f t="shared" si="46"/>
        <v>0</v>
      </c>
      <c r="E147" s="786">
        <f t="shared" si="47"/>
        <v>0</v>
      </c>
      <c r="F147" s="794">
        <f t="shared" si="48"/>
        <v>0</v>
      </c>
      <c r="G147" s="794">
        <f t="shared" si="49"/>
        <v>0</v>
      </c>
      <c r="H147" s="739">
        <f t="shared" si="50"/>
        <v>0</v>
      </c>
      <c r="I147" s="786">
        <f t="shared" si="51"/>
        <v>0</v>
      </c>
      <c r="J147" s="794">
        <f t="shared" si="52"/>
        <v>0</v>
      </c>
      <c r="K147" s="794">
        <f t="shared" si="53"/>
        <v>0</v>
      </c>
      <c r="L147" s="739">
        <f t="shared" si="54"/>
        <v>0</v>
      </c>
      <c r="M147" s="12"/>
      <c r="N147" s="12"/>
      <c r="O147" s="12"/>
      <c r="P147" s="12"/>
      <c r="Q147" s="12"/>
      <c r="R147" s="12"/>
      <c r="S147" s="12"/>
      <c r="T147" s="12"/>
      <c r="U147" s="12"/>
      <c r="V147" s="12"/>
      <c r="W147" s="12"/>
      <c r="X147" s="12"/>
      <c r="Y147" s="12"/>
      <c r="Z147" s="12"/>
      <c r="AA147" s="775"/>
      <c r="AB147" s="159"/>
    </row>
    <row r="148" spans="1:28" s="776" customFormat="1" x14ac:dyDescent="0.25">
      <c r="A148" s="731" t="str">
        <f t="shared" si="55"/>
        <v>Altres instal·lacions</v>
      </c>
      <c r="B148" s="786">
        <f t="shared" si="44"/>
        <v>0</v>
      </c>
      <c r="C148" s="794">
        <f t="shared" si="45"/>
        <v>0</v>
      </c>
      <c r="D148" s="739">
        <f t="shared" si="46"/>
        <v>0</v>
      </c>
      <c r="E148" s="786">
        <f t="shared" si="47"/>
        <v>0</v>
      </c>
      <c r="F148" s="794">
        <f t="shared" si="48"/>
        <v>0</v>
      </c>
      <c r="G148" s="794">
        <f t="shared" si="49"/>
        <v>0</v>
      </c>
      <c r="H148" s="739">
        <f t="shared" si="50"/>
        <v>0</v>
      </c>
      <c r="I148" s="786">
        <f t="shared" si="51"/>
        <v>0</v>
      </c>
      <c r="J148" s="794">
        <f t="shared" si="52"/>
        <v>0</v>
      </c>
      <c r="K148" s="794">
        <f t="shared" si="53"/>
        <v>0</v>
      </c>
      <c r="L148" s="739">
        <f t="shared" si="54"/>
        <v>0</v>
      </c>
      <c r="M148" s="12"/>
      <c r="N148" s="12"/>
      <c r="O148" s="12"/>
      <c r="P148" s="12"/>
      <c r="Q148" s="12"/>
      <c r="R148" s="12"/>
      <c r="S148" s="12"/>
      <c r="T148" s="12"/>
      <c r="U148" s="12"/>
      <c r="V148" s="12"/>
      <c r="W148" s="12"/>
      <c r="X148" s="12"/>
      <c r="Y148" s="12"/>
      <c r="Z148" s="12"/>
      <c r="AA148" s="775"/>
      <c r="AB148" s="159"/>
    </row>
    <row r="149" spans="1:28" s="776" customFormat="1" x14ac:dyDescent="0.25">
      <c r="A149" s="731" t="str">
        <f t="shared" si="55"/>
        <v>Mobiliari</v>
      </c>
      <c r="B149" s="786">
        <f t="shared" si="44"/>
        <v>0</v>
      </c>
      <c r="C149" s="794">
        <f t="shared" si="45"/>
        <v>0</v>
      </c>
      <c r="D149" s="739">
        <f t="shared" si="46"/>
        <v>0</v>
      </c>
      <c r="E149" s="786">
        <f t="shared" si="47"/>
        <v>0</v>
      </c>
      <c r="F149" s="794">
        <f t="shared" si="48"/>
        <v>0</v>
      </c>
      <c r="G149" s="794">
        <f t="shared" si="49"/>
        <v>0</v>
      </c>
      <c r="H149" s="739">
        <f t="shared" si="50"/>
        <v>0</v>
      </c>
      <c r="I149" s="786">
        <f t="shared" si="51"/>
        <v>0</v>
      </c>
      <c r="J149" s="794">
        <f t="shared" si="52"/>
        <v>0</v>
      </c>
      <c r="K149" s="794">
        <f t="shared" si="53"/>
        <v>0</v>
      </c>
      <c r="L149" s="739">
        <f t="shared" si="54"/>
        <v>0</v>
      </c>
      <c r="M149" s="12"/>
      <c r="N149" s="12"/>
      <c r="O149" s="12"/>
      <c r="P149" s="12"/>
      <c r="Q149" s="12"/>
      <c r="R149" s="12"/>
      <c r="S149" s="12"/>
      <c r="T149" s="12"/>
      <c r="U149" s="12"/>
      <c r="V149" s="12"/>
      <c r="W149" s="12"/>
      <c r="X149" s="12"/>
      <c r="Y149" s="12"/>
      <c r="Z149" s="12"/>
      <c r="AA149" s="775"/>
      <c r="AB149" s="159"/>
    </row>
    <row r="150" spans="1:28" s="776" customFormat="1" x14ac:dyDescent="0.25">
      <c r="A150" s="731" t="str">
        <f t="shared" si="55"/>
        <v>Equips processos informació</v>
      </c>
      <c r="B150" s="786">
        <f t="shared" si="44"/>
        <v>0</v>
      </c>
      <c r="C150" s="794">
        <f t="shared" si="45"/>
        <v>0</v>
      </c>
      <c r="D150" s="739">
        <f t="shared" si="46"/>
        <v>0</v>
      </c>
      <c r="E150" s="786">
        <f t="shared" si="47"/>
        <v>0</v>
      </c>
      <c r="F150" s="794">
        <f t="shared" si="48"/>
        <v>0</v>
      </c>
      <c r="G150" s="794">
        <f t="shared" si="49"/>
        <v>0</v>
      </c>
      <c r="H150" s="739">
        <f t="shared" si="50"/>
        <v>0</v>
      </c>
      <c r="I150" s="786">
        <f t="shared" si="51"/>
        <v>0</v>
      </c>
      <c r="J150" s="794">
        <f t="shared" si="52"/>
        <v>0</v>
      </c>
      <c r="K150" s="794">
        <f t="shared" si="53"/>
        <v>0</v>
      </c>
      <c r="L150" s="739">
        <f t="shared" si="54"/>
        <v>0</v>
      </c>
      <c r="M150" s="12"/>
      <c r="N150" s="12"/>
      <c r="O150" s="12"/>
      <c r="P150" s="12"/>
      <c r="Q150" s="12"/>
      <c r="R150" s="12"/>
      <c r="S150" s="12"/>
      <c r="T150" s="12"/>
      <c r="U150" s="12"/>
      <c r="V150" s="12"/>
      <c r="W150" s="12"/>
      <c r="X150" s="12"/>
      <c r="Y150" s="12"/>
      <c r="Z150" s="12"/>
      <c r="AA150" s="775"/>
      <c r="AB150" s="159"/>
    </row>
    <row r="151" spans="1:28" s="776" customFormat="1" x14ac:dyDescent="0.25">
      <c r="A151" s="731" t="str">
        <f t="shared" si="55"/>
        <v>Elements de transport</v>
      </c>
      <c r="B151" s="786">
        <f t="shared" si="44"/>
        <v>0</v>
      </c>
      <c r="C151" s="794">
        <f t="shared" si="45"/>
        <v>0</v>
      </c>
      <c r="D151" s="739">
        <f t="shared" si="46"/>
        <v>0</v>
      </c>
      <c r="E151" s="786">
        <f t="shared" si="47"/>
        <v>0</v>
      </c>
      <c r="F151" s="794">
        <f t="shared" si="48"/>
        <v>0</v>
      </c>
      <c r="G151" s="794">
        <f t="shared" si="49"/>
        <v>0</v>
      </c>
      <c r="H151" s="739">
        <f t="shared" si="50"/>
        <v>0</v>
      </c>
      <c r="I151" s="786">
        <f t="shared" si="51"/>
        <v>0</v>
      </c>
      <c r="J151" s="794">
        <f t="shared" si="52"/>
        <v>0</v>
      </c>
      <c r="K151" s="794">
        <f t="shared" si="53"/>
        <v>0</v>
      </c>
      <c r="L151" s="739">
        <f t="shared" si="54"/>
        <v>0</v>
      </c>
      <c r="M151" s="12"/>
      <c r="N151" s="12"/>
      <c r="O151" s="12"/>
      <c r="P151" s="12"/>
      <c r="Q151" s="12"/>
      <c r="R151" s="12"/>
      <c r="S151" s="12"/>
      <c r="T151" s="12"/>
      <c r="U151" s="12"/>
      <c r="V151" s="12"/>
      <c r="W151" s="12"/>
      <c r="X151" s="12"/>
      <c r="Y151" s="12"/>
      <c r="Z151" s="12"/>
      <c r="AA151" s="775"/>
      <c r="AB151" s="159"/>
    </row>
    <row r="152" spans="1:28" s="776" customFormat="1" x14ac:dyDescent="0.25">
      <c r="A152" s="734" t="str">
        <f t="shared" si="55"/>
        <v>Altre immobilitzat material</v>
      </c>
      <c r="B152" s="789">
        <f t="shared" si="44"/>
        <v>0</v>
      </c>
      <c r="C152" s="795">
        <f t="shared" si="45"/>
        <v>0</v>
      </c>
      <c r="D152" s="735">
        <f t="shared" si="46"/>
        <v>0</v>
      </c>
      <c r="E152" s="789">
        <f t="shared" si="47"/>
        <v>0</v>
      </c>
      <c r="F152" s="795">
        <f t="shared" si="48"/>
        <v>0</v>
      </c>
      <c r="G152" s="795">
        <f t="shared" si="49"/>
        <v>0</v>
      </c>
      <c r="H152" s="735">
        <f t="shared" si="50"/>
        <v>0</v>
      </c>
      <c r="I152" s="789">
        <f t="shared" si="51"/>
        <v>0</v>
      </c>
      <c r="J152" s="795">
        <f t="shared" si="52"/>
        <v>0</v>
      </c>
      <c r="K152" s="795">
        <f t="shared" si="53"/>
        <v>0</v>
      </c>
      <c r="L152" s="735">
        <f t="shared" si="54"/>
        <v>0</v>
      </c>
      <c r="M152" s="12"/>
      <c r="N152" s="12"/>
      <c r="O152" s="12"/>
      <c r="P152" s="12"/>
      <c r="Q152" s="12"/>
      <c r="R152" s="12"/>
      <c r="S152" s="12"/>
      <c r="T152" s="12"/>
      <c r="U152" s="12"/>
      <c r="V152" s="12"/>
      <c r="W152" s="12"/>
      <c r="X152" s="12"/>
      <c r="Y152" s="12"/>
      <c r="Z152" s="12"/>
      <c r="AA152" s="775"/>
      <c r="AB152" s="159"/>
    </row>
    <row r="153" spans="1:28" s="9" customFormat="1" ht="13" x14ac:dyDescent="0.3">
      <c r="A153" s="797" t="str">
        <f>A114</f>
        <v>FIANCES I DIPÒSITS A LLARG TERMINI</v>
      </c>
      <c r="B153" s="780">
        <f>AA42</f>
        <v>0</v>
      </c>
      <c r="C153" s="779">
        <f>C114</f>
        <v>0</v>
      </c>
      <c r="D153" s="757">
        <f t="shared" si="46"/>
        <v>0</v>
      </c>
      <c r="E153" s="780">
        <f t="shared" si="47"/>
        <v>0</v>
      </c>
      <c r="F153" s="779">
        <f>F114</f>
        <v>0</v>
      </c>
      <c r="G153" s="779">
        <f>G114</f>
        <v>0</v>
      </c>
      <c r="H153" s="757">
        <f t="shared" si="50"/>
        <v>0</v>
      </c>
      <c r="I153" s="780">
        <f t="shared" si="51"/>
        <v>0</v>
      </c>
      <c r="J153" s="779">
        <f t="shared" si="52"/>
        <v>0</v>
      </c>
      <c r="K153" s="779">
        <f>K114</f>
        <v>0</v>
      </c>
      <c r="L153" s="757">
        <f t="shared" si="54"/>
        <v>0</v>
      </c>
      <c r="M153" s="18"/>
      <c r="N153" s="18"/>
      <c r="O153" s="18"/>
      <c r="P153" s="18"/>
      <c r="Q153" s="18"/>
      <c r="R153" s="18"/>
      <c r="S153" s="18"/>
      <c r="T153" s="18"/>
      <c r="U153" s="18"/>
      <c r="V153" s="18"/>
      <c r="W153" s="18"/>
      <c r="X153" s="18"/>
      <c r="Y153" s="18"/>
      <c r="Z153" s="18"/>
      <c r="AA153" s="761"/>
      <c r="AB153" s="18"/>
    </row>
    <row r="154" spans="1:28" s="9" customFormat="1" ht="13" x14ac:dyDescent="0.3">
      <c r="A154" s="755" t="s">
        <v>245</v>
      </c>
      <c r="B154" s="780">
        <f>B153+B144+B140</f>
        <v>0</v>
      </c>
      <c r="C154" s="780">
        <f t="shared" ref="C154:L154" si="56">C153+C144+C140</f>
        <v>0</v>
      </c>
      <c r="D154" s="780">
        <f t="shared" si="56"/>
        <v>0</v>
      </c>
      <c r="E154" s="780">
        <f t="shared" si="56"/>
        <v>0</v>
      </c>
      <c r="F154" s="780">
        <f t="shared" si="56"/>
        <v>0</v>
      </c>
      <c r="G154" s="780">
        <f t="shared" si="56"/>
        <v>0</v>
      </c>
      <c r="H154" s="780">
        <f t="shared" si="56"/>
        <v>0</v>
      </c>
      <c r="I154" s="780">
        <f t="shared" si="56"/>
        <v>0</v>
      </c>
      <c r="J154" s="780">
        <f t="shared" si="56"/>
        <v>0</v>
      </c>
      <c r="K154" s="780">
        <f t="shared" si="56"/>
        <v>0</v>
      </c>
      <c r="L154" s="780">
        <f t="shared" si="56"/>
        <v>0</v>
      </c>
      <c r="M154" s="18"/>
      <c r="N154" s="18"/>
      <c r="O154" s="18"/>
      <c r="P154" s="18"/>
      <c r="Q154" s="18"/>
      <c r="R154" s="18"/>
      <c r="S154" s="18"/>
      <c r="T154" s="18"/>
      <c r="U154" s="18"/>
      <c r="V154" s="18"/>
      <c r="W154" s="18"/>
      <c r="X154" s="18"/>
      <c r="Y154" s="18"/>
      <c r="Z154" s="18"/>
      <c r="AA154" s="761"/>
      <c r="AB154" s="18"/>
    </row>
    <row r="155" spans="1:28" s="776" customFormat="1" x14ac:dyDescent="0.25">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798"/>
    </row>
    <row r="163" spans="4:9" x14ac:dyDescent="0.25">
      <c r="H163"/>
      <c r="I163"/>
    </row>
    <row r="164" spans="4:9" x14ac:dyDescent="0.25">
      <c r="H164"/>
      <c r="I164"/>
    </row>
    <row r="165" spans="4:9" x14ac:dyDescent="0.25">
      <c r="H165"/>
      <c r="I165"/>
    </row>
    <row r="166" spans="4:9" x14ac:dyDescent="0.25">
      <c r="H166"/>
      <c r="I166"/>
    </row>
    <row r="167" spans="4:9" x14ac:dyDescent="0.25">
      <c r="F167"/>
      <c r="G167"/>
      <c r="H167"/>
      <c r="I167"/>
    </row>
    <row r="168" spans="4:9" x14ac:dyDescent="0.25">
      <c r="F168"/>
      <c r="G168"/>
      <c r="H168"/>
      <c r="I168"/>
    </row>
    <row r="169" spans="4:9" x14ac:dyDescent="0.25">
      <c r="F169"/>
      <c r="G169"/>
      <c r="H169"/>
      <c r="I169"/>
    </row>
    <row r="170" spans="4:9" x14ac:dyDescent="0.25">
      <c r="F170"/>
      <c r="G170"/>
      <c r="H170"/>
      <c r="I170"/>
    </row>
    <row r="171" spans="4:9" x14ac:dyDescent="0.25">
      <c r="F171"/>
      <c r="G171"/>
      <c r="H171"/>
      <c r="I171"/>
    </row>
    <row r="172" spans="4:9" x14ac:dyDescent="0.25">
      <c r="F172"/>
      <c r="G172"/>
      <c r="H172"/>
      <c r="I172"/>
    </row>
    <row r="173" spans="4:9" x14ac:dyDescent="0.25">
      <c r="D173"/>
      <c r="E173"/>
      <c r="F173"/>
      <c r="G173"/>
      <c r="H173"/>
      <c r="I173"/>
    </row>
    <row r="174" spans="4:9" x14ac:dyDescent="0.25">
      <c r="D174"/>
      <c r="E174"/>
      <c r="H174"/>
      <c r="I174"/>
    </row>
    <row r="175" spans="4:9" x14ac:dyDescent="0.25">
      <c r="D175"/>
      <c r="E175"/>
      <c r="H175"/>
      <c r="I175"/>
    </row>
    <row r="176" spans="4:9" x14ac:dyDescent="0.25">
      <c r="H176"/>
      <c r="I176"/>
    </row>
  </sheetData>
  <mergeCells count="48">
    <mergeCell ref="B99:D99"/>
    <mergeCell ref="E99:H99"/>
    <mergeCell ref="I99:L99"/>
    <mergeCell ref="I138:L138"/>
    <mergeCell ref="B120:C120"/>
    <mergeCell ref="D120:E120"/>
    <mergeCell ref="F120:G120"/>
    <mergeCell ref="B138:D138"/>
    <mergeCell ref="E138:H138"/>
    <mergeCell ref="J75:K75"/>
    <mergeCell ref="L75:M75"/>
    <mergeCell ref="B75:C75"/>
    <mergeCell ref="D75:E75"/>
    <mergeCell ref="F75:G75"/>
    <mergeCell ref="H75:I75"/>
    <mergeCell ref="N75:O75"/>
    <mergeCell ref="P75:Q75"/>
    <mergeCell ref="V75:W75"/>
    <mergeCell ref="X75:Y75"/>
    <mergeCell ref="Z75:AA75"/>
    <mergeCell ref="R75:S75"/>
    <mergeCell ref="T75:U75"/>
    <mergeCell ref="V25:W25"/>
    <mergeCell ref="X25:Y25"/>
    <mergeCell ref="Z25:AA25"/>
    <mergeCell ref="B50:C50"/>
    <mergeCell ref="D50:E50"/>
    <mergeCell ref="F50:G50"/>
    <mergeCell ref="H50:I50"/>
    <mergeCell ref="J50:K50"/>
    <mergeCell ref="L50:M50"/>
    <mergeCell ref="N50:O50"/>
    <mergeCell ref="P50:Q50"/>
    <mergeCell ref="R50:S50"/>
    <mergeCell ref="T50:U50"/>
    <mergeCell ref="V50:W50"/>
    <mergeCell ref="X50:Y50"/>
    <mergeCell ref="Z50:AA50"/>
    <mergeCell ref="L25:M25"/>
    <mergeCell ref="N25:O25"/>
    <mergeCell ref="P25:Q25"/>
    <mergeCell ref="R25:S25"/>
    <mergeCell ref="T25:U25"/>
    <mergeCell ref="B25:C25"/>
    <mergeCell ref="D25:E25"/>
    <mergeCell ref="F25:G25"/>
    <mergeCell ref="H25:I25"/>
    <mergeCell ref="J25:K25"/>
  </mergeCells>
  <phoneticPr fontId="22" type="noConversion"/>
  <pageMargins left="0.74791666666666667" right="0.74791666666666667" top="0.98402777777777783" bottom="0.98402777777777783" header="0.51180555555555562" footer="0.51180555555555562"/>
  <pageSetup paperSize="9" scale="35" firstPageNumber="0" fitToHeight="2" orientation="landscape" horizontalDpi="300" verticalDpi="300"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pageSetUpPr fitToPage="1"/>
  </sheetPr>
  <dimension ref="A1:D16"/>
  <sheetViews>
    <sheetView workbookViewId="0">
      <selection activeCell="B9" sqref="B9"/>
    </sheetView>
  </sheetViews>
  <sheetFormatPr defaultColWidth="11.453125" defaultRowHeight="12.5" x14ac:dyDescent="0.25"/>
  <cols>
    <col min="1" max="1" width="37.26953125" customWidth="1"/>
    <col min="2" max="4" width="13.7265625" customWidth="1"/>
  </cols>
  <sheetData>
    <row r="1" spans="1:4" s="21" customFormat="1" ht="13" x14ac:dyDescent="0.3">
      <c r="A1" s="108" t="str">
        <f>'Pla inversions i finançament'!A20</f>
        <v>PROVISIÓ DE FONS</v>
      </c>
      <c r="B1" s="15">
        <f>'Pla inversions i finançament'!B20</f>
        <v>0</v>
      </c>
      <c r="C1" s="15">
        <f>'Pla inversions i finançament'!C20</f>
        <v>0</v>
      </c>
      <c r="D1" s="15">
        <f>'Pla inversions i finançament'!D20</f>
        <v>0</v>
      </c>
    </row>
    <row r="2" spans="1:4" ht="13" x14ac:dyDescent="0.3">
      <c r="A2" s="71" t="s">
        <v>259</v>
      </c>
      <c r="B2" s="799">
        <f>'Pla inversions i finançament'!B21</f>
        <v>0</v>
      </c>
      <c r="C2" s="799">
        <f>'Pla inversions i finançament'!C21</f>
        <v>0</v>
      </c>
      <c r="D2" s="799">
        <f>'Pla inversions i finançament'!D21</f>
        <v>0</v>
      </c>
    </row>
    <row r="3" spans="1:4" x14ac:dyDescent="0.25">
      <c r="B3" s="12"/>
      <c r="C3" s="12"/>
      <c r="D3" s="12"/>
    </row>
    <row r="4" spans="1:4" ht="13" x14ac:dyDescent="0.3">
      <c r="A4" s="7"/>
      <c r="B4" s="18"/>
      <c r="C4" s="12"/>
      <c r="D4" s="12"/>
    </row>
    <row r="5" spans="1:4" ht="13" x14ac:dyDescent="0.3">
      <c r="A5" s="7"/>
      <c r="B5" s="19" t="s">
        <v>123</v>
      </c>
      <c r="C5" s="19" t="s">
        <v>124</v>
      </c>
      <c r="D5" s="19" t="s">
        <v>125</v>
      </c>
    </row>
    <row r="6" spans="1:4" ht="15.5" x14ac:dyDescent="0.35">
      <c r="A6" s="800" t="s">
        <v>260</v>
      </c>
      <c r="B6" s="801" t="s">
        <v>261</v>
      </c>
      <c r="C6" s="801" t="s">
        <v>261</v>
      </c>
      <c r="D6" s="801" t="s">
        <v>261</v>
      </c>
    </row>
    <row r="7" spans="1:4" ht="13" x14ac:dyDescent="0.3">
      <c r="A7" s="802" t="s">
        <v>112</v>
      </c>
      <c r="B7" s="154">
        <f>SUM(B8:B9)</f>
        <v>0</v>
      </c>
      <c r="C7" s="154">
        <f>SUM(C8:C9)</f>
        <v>0</v>
      </c>
      <c r="D7" s="154">
        <f>SUM(D8:D9)</f>
        <v>0</v>
      </c>
    </row>
    <row r="8" spans="1:4" ht="13" x14ac:dyDescent="0.3">
      <c r="A8" s="803" t="s">
        <v>225</v>
      </c>
      <c r="B8" s="804">
        <f>'Introducció dades'!C129</f>
        <v>0</v>
      </c>
      <c r="C8" s="804">
        <f>'Introducció dades'!D129</f>
        <v>0</v>
      </c>
      <c r="D8" s="804">
        <f>'Introducció dades'!E129</f>
        <v>0</v>
      </c>
    </row>
    <row r="9" spans="1:4" ht="13" x14ac:dyDescent="0.3">
      <c r="A9" s="803" t="s">
        <v>113</v>
      </c>
      <c r="B9" s="805">
        <f>'Introducció dades'!C130</f>
        <v>0</v>
      </c>
      <c r="C9" s="805">
        <f>'Introducció dades'!D130</f>
        <v>0</v>
      </c>
      <c r="D9" s="805">
        <f>'Introducció dades'!E130</f>
        <v>0</v>
      </c>
    </row>
    <row r="10" spans="1:4" ht="13" x14ac:dyDescent="0.3">
      <c r="A10" s="806" t="s">
        <v>226</v>
      </c>
      <c r="B10" s="807">
        <f>'Introducció dades'!C131</f>
        <v>0</v>
      </c>
      <c r="C10" s="807">
        <f>'Introducció dades'!D131</f>
        <v>0</v>
      </c>
      <c r="D10" s="807">
        <f>'Introducció dades'!E131</f>
        <v>0</v>
      </c>
    </row>
    <row r="11" spans="1:4" ht="13" x14ac:dyDescent="0.3">
      <c r="A11" s="806" t="s">
        <v>114</v>
      </c>
      <c r="B11" s="807">
        <f>'Introducció dades'!C132</f>
        <v>0</v>
      </c>
      <c r="C11" s="807">
        <f>'Introducció dades'!D132</f>
        <v>0</v>
      </c>
      <c r="D11" s="807">
        <f>'Introducció dades'!E132</f>
        <v>0</v>
      </c>
    </row>
    <row r="12" spans="1:4" ht="13" x14ac:dyDescent="0.3">
      <c r="A12" s="806" t="s">
        <v>119</v>
      </c>
      <c r="B12" s="807">
        <f>'Introducció dades'!C133</f>
        <v>0</v>
      </c>
      <c r="C12" s="807">
        <f>'Introducció dades'!D133</f>
        <v>0</v>
      </c>
      <c r="D12" s="807">
        <f>'Introducció dades'!E133</f>
        <v>0</v>
      </c>
    </row>
    <row r="13" spans="1:4" ht="13" x14ac:dyDescent="0.3">
      <c r="A13" s="741" t="s">
        <v>27</v>
      </c>
      <c r="B13" s="808">
        <f>INVERSIONS!C101+INVERSIONS!C105+INVERSIONS!C114</f>
        <v>0</v>
      </c>
      <c r="C13" s="808">
        <f>INVERSIONS!G101+INVERSIONS!G105+INVERSIONS!G114</f>
        <v>0</v>
      </c>
      <c r="D13" s="808">
        <f>INVERSIONS!K101+INVERSIONS!K105+INVERSIONS!K114</f>
        <v>0</v>
      </c>
    </row>
    <row r="14" spans="1:4" ht="13" x14ac:dyDescent="0.3">
      <c r="A14" s="809" t="s">
        <v>120</v>
      </c>
      <c r="B14" s="799">
        <f>SUM(B8:B13)</f>
        <v>0</v>
      </c>
      <c r="C14" s="799">
        <f>SUM(C8:C13)</f>
        <v>0</v>
      </c>
      <c r="D14" s="799">
        <f>SUM(D8:D13)</f>
        <v>0</v>
      </c>
    </row>
    <row r="15" spans="1:4" x14ac:dyDescent="0.25">
      <c r="B15" s="810"/>
    </row>
    <row r="16" spans="1:4" ht="13" x14ac:dyDescent="0.3">
      <c r="A16" s="15" t="s">
        <v>121</v>
      </c>
      <c r="B16" s="531" t="str">
        <f>'Introducció dades'!C136</f>
        <v>DESEMBRE</v>
      </c>
      <c r="C16" s="531" t="str">
        <f>'Introducció dades'!D136</f>
        <v>DESEMBRE</v>
      </c>
      <c r="D16" s="531" t="str">
        <f>'Introducció dades'!E136</f>
        <v>DESEMBRE</v>
      </c>
    </row>
  </sheetData>
  <sheetProtection password="CC2F" sheet="1" objects="1" scenarios="1"/>
  <phoneticPr fontId="22" type="noConversion"/>
  <pageMargins left="0.78749999999999998" right="0.78749999999999998" top="0.98402777777777772" bottom="0.78749999999999998" header="0.59027777777777779" footer="0.51180555555555562"/>
  <pageSetup paperSize="9" firstPageNumber="0" orientation="portrait" horizontalDpi="300" verticalDpi="300" r:id="rId1"/>
  <headerFooter alignWithMargins="0">
    <oddHeader>&amp;L&amp;"Arial,Negrita Cursiva"&amp;12PLA D'INVERSIONS I FINANÇAMENT INICIAL</oddHead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8"/>
  <dimension ref="A1:EL260"/>
  <sheetViews>
    <sheetView topLeftCell="BS4" workbookViewId="0">
      <selection activeCell="BS13" sqref="BS13:CD13"/>
    </sheetView>
  </sheetViews>
  <sheetFormatPr defaultColWidth="11.453125" defaultRowHeight="12.5" x14ac:dyDescent="0.25"/>
  <cols>
    <col min="1" max="1" width="4.7265625" style="811" customWidth="1"/>
    <col min="2" max="2" width="11.7265625" style="811" customWidth="1"/>
    <col min="3" max="3" width="12.7265625" style="811" customWidth="1"/>
    <col min="4" max="13" width="11.7265625" style="811" customWidth="1"/>
    <col min="14" max="14" width="4.26953125" style="811" customWidth="1"/>
    <col min="15" max="15" width="4.7265625" style="811" customWidth="1"/>
    <col min="16" max="27" width="11.7265625" style="811" customWidth="1"/>
    <col min="28" max="28" width="4.26953125" style="811" customWidth="1"/>
    <col min="29" max="29" width="4.7265625" style="811" customWidth="1"/>
    <col min="30" max="41" width="11.7265625" style="811" customWidth="1"/>
    <col min="42" max="42" width="6.26953125" style="811" customWidth="1"/>
    <col min="43" max="43" width="4.7265625" style="811" customWidth="1"/>
    <col min="44" max="44" width="11.7265625" style="811" customWidth="1"/>
    <col min="45" max="45" width="14" style="811" customWidth="1"/>
    <col min="46" max="55" width="11.7265625" style="811" customWidth="1"/>
    <col min="56" max="56" width="6.26953125" style="811" customWidth="1"/>
    <col min="57" max="57" width="5.7265625" style="812" customWidth="1"/>
    <col min="58" max="58" width="11.7265625" style="811" customWidth="1"/>
    <col min="59" max="68" width="12.7265625" style="811" customWidth="1"/>
    <col min="69" max="69" width="11.453125" style="811"/>
    <col min="70" max="70" width="23.7265625" style="811" customWidth="1"/>
    <col min="71" max="16384" width="11.453125" style="811"/>
  </cols>
  <sheetData>
    <row r="1" spans="1:142" ht="24.75" customHeight="1" x14ac:dyDescent="0.25">
      <c r="A1" s="1800" t="s">
        <v>262</v>
      </c>
      <c r="B1" s="1800"/>
      <c r="C1" s="1800"/>
      <c r="D1" s="1800"/>
      <c r="E1" s="813"/>
      <c r="F1" s="813"/>
    </row>
    <row r="2" spans="1:142" x14ac:dyDescent="0.25">
      <c r="G2" s="814"/>
      <c r="H2" s="814"/>
      <c r="I2" s="814"/>
      <c r="J2" s="814"/>
      <c r="K2" s="814"/>
    </row>
    <row r="3" spans="1:142" x14ac:dyDescent="0.25">
      <c r="G3" s="814"/>
      <c r="H3" s="814"/>
      <c r="I3" s="814"/>
      <c r="J3" s="814"/>
      <c r="K3" s="814"/>
    </row>
    <row r="4" spans="1:142" ht="15.5" x14ac:dyDescent="0.25">
      <c r="A4" s="1801" t="s">
        <v>17</v>
      </c>
      <c r="B4" s="1801"/>
      <c r="C4" s="1801"/>
      <c r="G4" s="814"/>
      <c r="H4" s="814"/>
      <c r="I4" s="814"/>
      <c r="J4" s="814"/>
      <c r="K4" s="814"/>
      <c r="O4" s="1801" t="s">
        <v>17</v>
      </c>
      <c r="P4" s="1801"/>
      <c r="Q4" s="1801"/>
      <c r="AC4" s="1801" t="s">
        <v>17</v>
      </c>
      <c r="AD4" s="1801"/>
      <c r="AE4" s="1801"/>
      <c r="AQ4" s="1801" t="s">
        <v>17</v>
      </c>
      <c r="AR4" s="1801"/>
      <c r="AS4" s="1801"/>
    </row>
    <row r="5" spans="1:142" x14ac:dyDescent="0.25">
      <c r="G5" s="814"/>
      <c r="H5" s="814"/>
      <c r="I5" s="814"/>
      <c r="J5" s="814"/>
      <c r="K5" s="814"/>
    </row>
    <row r="6" spans="1:142" x14ac:dyDescent="0.25">
      <c r="G6" s="814"/>
      <c r="H6" s="814"/>
      <c r="I6" s="814"/>
      <c r="J6" s="814"/>
      <c r="K6" s="814"/>
    </row>
    <row r="7" spans="1:142" ht="13" x14ac:dyDescent="0.25">
      <c r="A7" s="1802" t="s">
        <v>122</v>
      </c>
      <c r="B7" s="1802"/>
      <c r="C7" s="1802"/>
      <c r="E7" s="1803"/>
      <c r="F7" s="1803"/>
      <c r="G7" s="1803"/>
      <c r="H7" s="814"/>
      <c r="O7" s="1802" t="s">
        <v>126</v>
      </c>
      <c r="P7" s="1802"/>
      <c r="Q7" s="1802"/>
      <c r="S7" s="1803"/>
      <c r="T7" s="1803"/>
      <c r="U7" s="1803"/>
      <c r="AC7" s="1802" t="s">
        <v>127</v>
      </c>
      <c r="AD7" s="1802"/>
      <c r="AE7" s="1802"/>
      <c r="AG7" s="1803"/>
      <c r="AH7" s="1803"/>
      <c r="AI7" s="1803"/>
      <c r="AQ7" s="1802" t="s">
        <v>263</v>
      </c>
      <c r="AR7" s="1802"/>
      <c r="AS7" s="1802"/>
      <c r="AU7" s="1803"/>
      <c r="AV7" s="1803"/>
      <c r="AW7" s="1803"/>
    </row>
    <row r="8" spans="1:142" ht="13" x14ac:dyDescent="0.25">
      <c r="A8" s="1804" t="s">
        <v>264</v>
      </c>
      <c r="B8" s="1804"/>
      <c r="C8" s="815">
        <f>+'Introducció dades'!F219</f>
        <v>0</v>
      </c>
      <c r="E8" s="1805"/>
      <c r="F8" s="1805"/>
      <c r="G8" s="816"/>
      <c r="O8" s="1804" t="s">
        <v>264</v>
      </c>
      <c r="P8" s="1804"/>
      <c r="Q8" s="815">
        <v>0</v>
      </c>
      <c r="S8" s="1805"/>
      <c r="T8" s="1805"/>
      <c r="U8" s="816"/>
      <c r="AC8" s="1804" t="s">
        <v>264</v>
      </c>
      <c r="AD8" s="1804"/>
      <c r="AE8" s="815">
        <v>0</v>
      </c>
      <c r="AG8" s="1805"/>
      <c r="AH8" s="1805"/>
      <c r="AI8" s="816"/>
      <c r="AQ8" s="1804" t="s">
        <v>265</v>
      </c>
      <c r="AR8" s="1804"/>
      <c r="AS8" s="815">
        <f>C8+Q8+AE8</f>
        <v>0</v>
      </c>
      <c r="AU8" s="1805"/>
      <c r="AV8" s="1805"/>
      <c r="AW8" s="816"/>
    </row>
    <row r="9" spans="1:142" ht="13" x14ac:dyDescent="0.25">
      <c r="A9" s="1806" t="s">
        <v>115</v>
      </c>
      <c r="B9" s="1806"/>
      <c r="C9" s="817">
        <f>+'Introducció dades'!F220</f>
        <v>0.06</v>
      </c>
      <c r="O9" s="1806" t="s">
        <v>266</v>
      </c>
      <c r="P9" s="1806"/>
      <c r="Q9" s="817">
        <v>0</v>
      </c>
      <c r="AC9" s="1806" t="s">
        <v>266</v>
      </c>
      <c r="AD9" s="1806"/>
      <c r="AE9" s="817">
        <v>0</v>
      </c>
      <c r="AQ9" s="1807"/>
      <c r="AR9" s="1807"/>
      <c r="AS9" s="818"/>
    </row>
    <row r="10" spans="1:142" ht="13" x14ac:dyDescent="0.25">
      <c r="A10" s="1806" t="s">
        <v>89</v>
      </c>
      <c r="B10" s="1806"/>
      <c r="C10" s="819">
        <v>0.16</v>
      </c>
      <c r="D10" s="820"/>
      <c r="O10" s="1806" t="s">
        <v>89</v>
      </c>
      <c r="P10" s="1806"/>
      <c r="Q10" s="819">
        <v>0.16</v>
      </c>
      <c r="R10" s="820"/>
      <c r="AC10" s="1806" t="s">
        <v>89</v>
      </c>
      <c r="AD10" s="1806"/>
      <c r="AE10" s="819">
        <v>0.16</v>
      </c>
      <c r="AF10" s="820"/>
      <c r="AQ10" s="1807"/>
      <c r="AR10" s="1807"/>
      <c r="AS10" s="818"/>
      <c r="AT10" s="820"/>
    </row>
    <row r="11" spans="1:142" ht="12.75" customHeight="1" x14ac:dyDescent="0.25">
      <c r="A11" s="1806" t="s">
        <v>116</v>
      </c>
      <c r="B11" s="1806"/>
      <c r="C11" s="1646">
        <f>+'Introducció dades'!F221</f>
        <v>5</v>
      </c>
      <c r="D11" s="812"/>
      <c r="O11" s="1806" t="s">
        <v>116</v>
      </c>
      <c r="P11" s="1806"/>
      <c r="Q11" s="821">
        <v>0</v>
      </c>
      <c r="R11" s="812"/>
      <c r="AC11" s="1806" t="s">
        <v>116</v>
      </c>
      <c r="AD11" s="1806"/>
      <c r="AE11" s="821">
        <v>0</v>
      </c>
      <c r="AF11" s="812"/>
      <c r="AQ11" s="1806" t="s">
        <v>116</v>
      </c>
      <c r="AR11" s="1806"/>
      <c r="AS11" s="822">
        <f>MAX(C11,Q11,AE11)</f>
        <v>5</v>
      </c>
      <c r="AT11" s="812"/>
      <c r="BE11" s="1809" t="s">
        <v>267</v>
      </c>
      <c r="BF11" s="1809" t="s">
        <v>61</v>
      </c>
      <c r="BG11" s="1808" t="s">
        <v>268</v>
      </c>
      <c r="BH11" s="1808" t="s">
        <v>269</v>
      </c>
      <c r="BI11" s="1811" t="s">
        <v>270</v>
      </c>
      <c r="BJ11" s="1808" t="s">
        <v>271</v>
      </c>
      <c r="BK11" s="1811" t="s">
        <v>89</v>
      </c>
      <c r="BL11" s="1808" t="s">
        <v>272</v>
      </c>
      <c r="BM11" s="1808" t="s">
        <v>273</v>
      </c>
      <c r="BN11" s="1808" t="s">
        <v>274</v>
      </c>
      <c r="BO11" s="1808" t="s">
        <v>275</v>
      </c>
      <c r="BQ11" s="823"/>
      <c r="BR11" s="824"/>
      <c r="BS11" s="825" t="str">
        <f>PRÉSTECS!AC2</f>
        <v>GENER</v>
      </c>
      <c r="BT11" s="825" t="str">
        <f>PRÉSTECS!AD2</f>
        <v>FEBRER</v>
      </c>
      <c r="BU11" s="825" t="str">
        <f>PRÉSTECS!AE2</f>
        <v>MARÇ</v>
      </c>
      <c r="BV11" s="825" t="str">
        <f>PRÉSTECS!AF2</f>
        <v>ABRIL</v>
      </c>
      <c r="BW11" s="825" t="str">
        <f>PRÉSTECS!AG2</f>
        <v>MAIG</v>
      </c>
      <c r="BX11" s="825" t="str">
        <f>PRÉSTECS!AH2</f>
        <v>JUNY</v>
      </c>
      <c r="BY11" s="825" t="str">
        <f>PRÉSTECS!AI2</f>
        <v>JULIOL</v>
      </c>
      <c r="BZ11" s="825" t="str">
        <f>PRÉSTECS!AJ2</f>
        <v>AGOST</v>
      </c>
      <c r="CA11" s="825" t="str">
        <f>PRÉSTECS!AK2</f>
        <v>SETEMBRE</v>
      </c>
      <c r="CB11" s="825" t="str">
        <f>PRÉSTECS!AL2</f>
        <v>OCTUBRE</v>
      </c>
      <c r="CC11" s="825" t="str">
        <f>PRÉSTECS!AM2</f>
        <v>NOVEMBRE</v>
      </c>
      <c r="CD11" s="825" t="str">
        <f>PRÉSTECS!AN2</f>
        <v>DESEMBRE</v>
      </c>
      <c r="CE11" s="826" t="str">
        <f>PRÉSTECS!AO2</f>
        <v>GENER</v>
      </c>
      <c r="CF11" s="826" t="str">
        <f>PRÉSTECS!AP2</f>
        <v>FEBRER</v>
      </c>
      <c r="CG11" s="826" t="str">
        <f>PRÉSTECS!AQ2</f>
        <v>MARÇ</v>
      </c>
      <c r="CH11" s="826" t="str">
        <f>PRÉSTECS!AR2</f>
        <v>ABRIL</v>
      </c>
      <c r="CI11" s="826" t="str">
        <f>PRÉSTECS!AS2</f>
        <v>MAIG</v>
      </c>
      <c r="CJ11" s="826" t="str">
        <f>PRÉSTECS!AT2</f>
        <v>JUNY</v>
      </c>
      <c r="CK11" s="826" t="str">
        <f>PRÉSTECS!AU2</f>
        <v>JULIOL</v>
      </c>
      <c r="CL11" s="826" t="str">
        <f>PRÉSTECS!AV2</f>
        <v>AGOST</v>
      </c>
      <c r="CM11" s="826" t="str">
        <f>PRÉSTECS!AW2</f>
        <v>SETEMBRE</v>
      </c>
      <c r="CN11" s="826" t="str">
        <f>PRÉSTECS!AX2</f>
        <v>OCTUBRE</v>
      </c>
      <c r="CO11" s="826" t="str">
        <f>PRÉSTECS!AY2</f>
        <v>NOVEMBRE</v>
      </c>
      <c r="CP11" s="826" t="str">
        <f>PRÉSTECS!AZ2</f>
        <v>DESEMBRE</v>
      </c>
      <c r="CQ11" s="827" t="str">
        <f>PRÉSTECS!BA2</f>
        <v>GENER</v>
      </c>
      <c r="CR11" s="827" t="str">
        <f>PRÉSTECS!BB2</f>
        <v>FEBRER</v>
      </c>
      <c r="CS11" s="827" t="str">
        <f>PRÉSTECS!BC2</f>
        <v>MARÇ</v>
      </c>
      <c r="CT11" s="827" t="str">
        <f>PRÉSTECS!BD2</f>
        <v>ABRIL</v>
      </c>
      <c r="CU11" s="827" t="str">
        <f>PRÉSTECS!BE2</f>
        <v>MAIG</v>
      </c>
      <c r="CV11" s="827" t="str">
        <f>PRÉSTECS!BF2</f>
        <v>JUNY</v>
      </c>
      <c r="CW11" s="827" t="str">
        <f>PRÉSTECS!BG2</f>
        <v>JULIOL</v>
      </c>
      <c r="CX11" s="827" t="str">
        <f>PRÉSTECS!BH2</f>
        <v>AGOST</v>
      </c>
      <c r="CY11" s="827" t="str">
        <f>PRÉSTECS!BI2</f>
        <v>SETEMBRE</v>
      </c>
      <c r="CZ11" s="827" t="str">
        <f>PRÉSTECS!BJ2</f>
        <v>OCTUBRE</v>
      </c>
      <c r="DA11" s="827" t="str">
        <f>PRÉSTECS!BK2</f>
        <v>NOVEMBRE</v>
      </c>
      <c r="DB11" s="827" t="str">
        <f>PRÉSTECS!BL2</f>
        <v>DESEMBRE</v>
      </c>
      <c r="DC11" s="828" t="str">
        <f>CQ11</f>
        <v>GENER</v>
      </c>
      <c r="DD11" s="828" t="str">
        <f t="shared" ref="DD11:EL11" si="0">CR11</f>
        <v>FEBRER</v>
      </c>
      <c r="DE11" s="828" t="str">
        <f t="shared" si="0"/>
        <v>MARÇ</v>
      </c>
      <c r="DF11" s="828" t="str">
        <f t="shared" si="0"/>
        <v>ABRIL</v>
      </c>
      <c r="DG11" s="828" t="str">
        <f t="shared" si="0"/>
        <v>MAIG</v>
      </c>
      <c r="DH11" s="828" t="str">
        <f t="shared" si="0"/>
        <v>JUNY</v>
      </c>
      <c r="DI11" s="828" t="str">
        <f t="shared" si="0"/>
        <v>JULIOL</v>
      </c>
      <c r="DJ11" s="828" t="str">
        <f t="shared" si="0"/>
        <v>AGOST</v>
      </c>
      <c r="DK11" s="828" t="str">
        <f t="shared" si="0"/>
        <v>SETEMBRE</v>
      </c>
      <c r="DL11" s="828" t="str">
        <f t="shared" si="0"/>
        <v>OCTUBRE</v>
      </c>
      <c r="DM11" s="828" t="str">
        <f t="shared" si="0"/>
        <v>NOVEMBRE</v>
      </c>
      <c r="DN11" s="828" t="str">
        <f t="shared" si="0"/>
        <v>DESEMBRE</v>
      </c>
      <c r="DO11" s="828" t="str">
        <f t="shared" si="0"/>
        <v>GENER</v>
      </c>
      <c r="DP11" s="828" t="str">
        <f t="shared" si="0"/>
        <v>FEBRER</v>
      </c>
      <c r="DQ11" s="828" t="str">
        <f t="shared" si="0"/>
        <v>MARÇ</v>
      </c>
      <c r="DR11" s="828" t="str">
        <f t="shared" si="0"/>
        <v>ABRIL</v>
      </c>
      <c r="DS11" s="828" t="str">
        <f t="shared" si="0"/>
        <v>MAIG</v>
      </c>
      <c r="DT11" s="828" t="str">
        <f t="shared" si="0"/>
        <v>JUNY</v>
      </c>
      <c r="DU11" s="828" t="str">
        <f t="shared" si="0"/>
        <v>JULIOL</v>
      </c>
      <c r="DV11" s="828" t="str">
        <f t="shared" si="0"/>
        <v>AGOST</v>
      </c>
      <c r="DW11" s="828" t="str">
        <f t="shared" si="0"/>
        <v>SETEMBRE</v>
      </c>
      <c r="DX11" s="828" t="str">
        <f t="shared" si="0"/>
        <v>OCTUBRE</v>
      </c>
      <c r="DY11" s="828" t="str">
        <f t="shared" si="0"/>
        <v>NOVEMBRE</v>
      </c>
      <c r="DZ11" s="828" t="str">
        <f t="shared" si="0"/>
        <v>DESEMBRE</v>
      </c>
      <c r="EA11" s="828" t="str">
        <f t="shared" si="0"/>
        <v>GENER</v>
      </c>
      <c r="EB11" s="828" t="str">
        <f t="shared" si="0"/>
        <v>FEBRER</v>
      </c>
      <c r="EC11" s="828" t="str">
        <f t="shared" si="0"/>
        <v>MARÇ</v>
      </c>
      <c r="ED11" s="828" t="str">
        <f t="shared" si="0"/>
        <v>ABRIL</v>
      </c>
      <c r="EE11" s="828" t="str">
        <f t="shared" si="0"/>
        <v>MAIG</v>
      </c>
      <c r="EF11" s="828" t="str">
        <f t="shared" si="0"/>
        <v>JUNY</v>
      </c>
      <c r="EG11" s="828" t="str">
        <f t="shared" si="0"/>
        <v>JULIOL</v>
      </c>
      <c r="EH11" s="828" t="str">
        <f t="shared" si="0"/>
        <v>AGOST</v>
      </c>
      <c r="EI11" s="828" t="str">
        <f t="shared" si="0"/>
        <v>SETEMBRE</v>
      </c>
      <c r="EJ11" s="828" t="str">
        <f t="shared" si="0"/>
        <v>OCTUBRE</v>
      </c>
      <c r="EK11" s="828" t="str">
        <f t="shared" si="0"/>
        <v>NOVEMBRE</v>
      </c>
      <c r="EL11" s="828" t="str">
        <f t="shared" si="0"/>
        <v>DESEMBRE</v>
      </c>
    </row>
    <row r="12" spans="1:142" ht="13" x14ac:dyDescent="0.25">
      <c r="A12" s="1810" t="s">
        <v>276</v>
      </c>
      <c r="B12" s="1810"/>
      <c r="C12" s="829">
        <f>-PMT(C9/12,C11*12,C8)</f>
        <v>0</v>
      </c>
      <c r="O12" s="1810" t="s">
        <v>276</v>
      </c>
      <c r="P12" s="1810"/>
      <c r="Q12" s="829"/>
      <c r="AC12" s="1810" t="s">
        <v>276</v>
      </c>
      <c r="AD12" s="1810"/>
      <c r="AE12" s="829">
        <v>0</v>
      </c>
      <c r="AQ12" s="1810" t="s">
        <v>277</v>
      </c>
      <c r="AR12" s="1810"/>
      <c r="AS12" s="829">
        <f>C12+Q12+AE12</f>
        <v>0</v>
      </c>
      <c r="BE12" s="1809"/>
      <c r="BF12" s="1809"/>
      <c r="BG12" s="1808"/>
      <c r="BH12" s="1808"/>
      <c r="BI12" s="1811"/>
      <c r="BJ12" s="1808"/>
      <c r="BK12" s="1811"/>
      <c r="BL12" s="1808"/>
      <c r="BM12" s="1808"/>
      <c r="BN12" s="1808"/>
      <c r="BO12" s="1808"/>
      <c r="BR12" s="830" t="s">
        <v>268</v>
      </c>
      <c r="BS12" s="831">
        <f>$AU$16</f>
        <v>0</v>
      </c>
      <c r="BT12" s="831">
        <f>$AU$17</f>
        <v>0</v>
      </c>
      <c r="BU12" s="831">
        <f>$AU$18</f>
        <v>0</v>
      </c>
      <c r="BV12" s="831">
        <f>$AU$19</f>
        <v>0</v>
      </c>
      <c r="BW12" s="831">
        <f>$AU$20</f>
        <v>0</v>
      </c>
      <c r="BX12" s="831">
        <f>$AU$21</f>
        <v>0</v>
      </c>
      <c r="BY12" s="831">
        <f>$AU$22</f>
        <v>0</v>
      </c>
      <c r="BZ12" s="831">
        <f>$AU$23</f>
        <v>0</v>
      </c>
      <c r="CA12" s="831">
        <f>$AU$24</f>
        <v>0</v>
      </c>
      <c r="CB12" s="831">
        <f>$AU$25</f>
        <v>0</v>
      </c>
      <c r="CC12" s="831">
        <f>$AU$26</f>
        <v>0</v>
      </c>
      <c r="CD12" s="831">
        <f>$AU$27</f>
        <v>0</v>
      </c>
      <c r="CE12" s="832">
        <f>$AU$28+$AU$102</f>
        <v>0</v>
      </c>
      <c r="CF12" s="832">
        <f>$AU$29+$AU$103</f>
        <v>0</v>
      </c>
      <c r="CG12" s="832">
        <f>$AU$30+$AU$104</f>
        <v>0</v>
      </c>
      <c r="CH12" s="832">
        <f>$AU$31+$AU$105</f>
        <v>0</v>
      </c>
      <c r="CI12" s="832">
        <f>$AU$32+$AU$106</f>
        <v>0</v>
      </c>
      <c r="CJ12" s="832">
        <f>$AU$33+$AU$107</f>
        <v>0</v>
      </c>
      <c r="CK12" s="832">
        <f>$AU$34+$AU$108</f>
        <v>0</v>
      </c>
      <c r="CL12" s="832">
        <f>$AU$35+$AU$109</f>
        <v>0</v>
      </c>
      <c r="CM12" s="832">
        <f>$AU$36+$AU$110</f>
        <v>0</v>
      </c>
      <c r="CN12" s="832">
        <f>$AU$37+$AU$111</f>
        <v>0</v>
      </c>
      <c r="CO12" s="832">
        <f>$AU$38+$AU$112</f>
        <v>0</v>
      </c>
      <c r="CP12" s="832">
        <f>$AU$39+$AU$113</f>
        <v>0</v>
      </c>
      <c r="CQ12" s="833">
        <f>$AU$40+$AU$114+$AU$188</f>
        <v>0</v>
      </c>
      <c r="CR12" s="833">
        <f>$AU$41+$AU$115+$AU$189</f>
        <v>0</v>
      </c>
      <c r="CS12" s="833">
        <f>$AU$42+$AU$116+$AU$190</f>
        <v>0</v>
      </c>
      <c r="CT12" s="833">
        <f>$AU$43+$AU$117+$AU$191</f>
        <v>0</v>
      </c>
      <c r="CU12" s="833">
        <f>$AU$44+$AU$118+$AU$192</f>
        <v>0</v>
      </c>
      <c r="CV12" s="833">
        <f>$AU$45+$AU$119+$AU$193</f>
        <v>0</v>
      </c>
      <c r="CW12" s="833">
        <f>$AU$46+$AU$120+$AU$194</f>
        <v>0</v>
      </c>
      <c r="CX12" s="833">
        <f>$AU$47+$AU$121+$AU$195</f>
        <v>0</v>
      </c>
      <c r="CY12" s="833">
        <f>$AU$48+$AU$122+$AU$196</f>
        <v>0</v>
      </c>
      <c r="CZ12" s="833">
        <f>$AU$49+$AU$123+$AU$197</f>
        <v>0</v>
      </c>
      <c r="DA12" s="833">
        <f>$AU$50+$AU$124+$AU$198</f>
        <v>0</v>
      </c>
      <c r="DB12" s="833">
        <f>$AU$51+$AU$125+$AU$199</f>
        <v>0</v>
      </c>
      <c r="DC12" s="834">
        <f>$AU$52+$AU$126+$AU$200</f>
        <v>0</v>
      </c>
      <c r="DD12" s="834">
        <f>$AU$53+$AU$127+$AU$201</f>
        <v>0</v>
      </c>
      <c r="DE12" s="834">
        <f>$AU$54+$AU$128+$AU$202</f>
        <v>0</v>
      </c>
      <c r="DF12" s="834">
        <f>$AU$55+$AU$129+$AU$203</f>
        <v>0</v>
      </c>
      <c r="DG12" s="834">
        <f>$AU$56+$AU$130+$AU$204</f>
        <v>0</v>
      </c>
      <c r="DH12" s="834">
        <f>$AU$57+$AU$131+$AU$205</f>
        <v>0</v>
      </c>
      <c r="DI12" s="834">
        <f>$AU$58+$AU$132+$AU$206</f>
        <v>0</v>
      </c>
      <c r="DJ12" s="834">
        <f>$AU$59+$AU$133+$AU$207</f>
        <v>0</v>
      </c>
      <c r="DK12" s="834">
        <f>$AU$60+$AU$134+$AU$208</f>
        <v>0</v>
      </c>
      <c r="DL12" s="834">
        <f>$AU$61+$AU$135+$AU$209</f>
        <v>0</v>
      </c>
      <c r="DM12" s="834">
        <f>$AU$62+$AU$136+$AU$210</f>
        <v>0</v>
      </c>
      <c r="DN12" s="834">
        <f>$AU$63+$AU$137+$AU$211</f>
        <v>0</v>
      </c>
      <c r="DO12" s="834">
        <f>$AU$64+$AU$138+$AU$212</f>
        <v>0</v>
      </c>
      <c r="DP12" s="834">
        <f>$AU$65+$AU$139+$AU$213</f>
        <v>0</v>
      </c>
      <c r="DQ12" s="834">
        <f>$AU$66+$AU$140+$AU$214</f>
        <v>0</v>
      </c>
      <c r="DR12" s="834">
        <f>$AU$67+$AU$141+$AU$215</f>
        <v>0</v>
      </c>
      <c r="DS12" s="834">
        <f>$AU$68+$AU$142+$AU$216</f>
        <v>0</v>
      </c>
      <c r="DT12" s="834">
        <f>$AU$69+$AU$143+$AU$217</f>
        <v>0</v>
      </c>
      <c r="DU12" s="834">
        <f>$AU$70+$AU$144+$AU$218</f>
        <v>0</v>
      </c>
      <c r="DV12" s="834">
        <f>$AU$71+$AU$145+$AU$219</f>
        <v>0</v>
      </c>
      <c r="DW12" s="834">
        <f>$AU$72+$AU$146+$AU$220</f>
        <v>0</v>
      </c>
      <c r="DX12" s="834">
        <f>$AU$73+$AU$147+$AU$221</f>
        <v>0</v>
      </c>
      <c r="DY12" s="834">
        <f>$AU$74+$AU$148+$AU$222</f>
        <v>0</v>
      </c>
      <c r="DZ12" s="834">
        <f>$AU$75+$AU$149+$AU$223</f>
        <v>0</v>
      </c>
      <c r="EA12" s="834">
        <f>$AU$76+$AU$150+$AU$224</f>
        <v>0</v>
      </c>
      <c r="EB12" s="834">
        <f>$AU$77+$AU$151+$AU$225</f>
        <v>0</v>
      </c>
      <c r="EC12" s="834">
        <f>$AU$78+$AU$152+$AU$226</f>
        <v>0</v>
      </c>
      <c r="ED12" s="834">
        <f>$AU$79+$AU$153+$AU$227</f>
        <v>0</v>
      </c>
      <c r="EE12" s="834">
        <f>$AU$80+$AU$154+$AU$228</f>
        <v>0</v>
      </c>
      <c r="EF12" s="834">
        <f>$AU$81+$AU$155+$AU$229</f>
        <v>0</v>
      </c>
      <c r="EG12" s="834">
        <f>$AU$82+$AU$156+$AU$230</f>
        <v>0</v>
      </c>
      <c r="EH12" s="834">
        <f>$AU$83+$AU$157+$AU$231</f>
        <v>0</v>
      </c>
      <c r="EI12" s="834">
        <f>$AU$84+$AU$158+$AU$232</f>
        <v>0</v>
      </c>
      <c r="EJ12" s="834">
        <f>$AU$85+$AU$159+$AU$233</f>
        <v>0</v>
      </c>
      <c r="EK12" s="834">
        <f>$AU$86+$AU$160+$AU$234</f>
        <v>0</v>
      </c>
      <c r="EL12" s="834">
        <f>$AU$87+$AU$161+$AU$235</f>
        <v>0</v>
      </c>
    </row>
    <row r="13" spans="1:142" x14ac:dyDescent="0.25">
      <c r="BE13" s="825">
        <v>1</v>
      </c>
      <c r="BF13" s="835" t="str">
        <f>TRIBUTS!K1</f>
        <v>GENER</v>
      </c>
      <c r="BG13" s="831">
        <f>$AU$16</f>
        <v>0</v>
      </c>
      <c r="BH13" s="831">
        <f>BG13</f>
        <v>0</v>
      </c>
      <c r="BI13" s="831">
        <f>$AW$16</f>
        <v>0</v>
      </c>
      <c r="BJ13" s="831">
        <f>BI13</f>
        <v>0</v>
      </c>
      <c r="BK13" s="831">
        <f>$AS$16</f>
        <v>0</v>
      </c>
      <c r="BL13" s="831">
        <f>$AY$16</f>
        <v>0</v>
      </c>
      <c r="BM13" s="831">
        <f>$AZ$16</f>
        <v>0</v>
      </c>
      <c r="BN13" s="831">
        <f t="shared" ref="BN13:BN24" si="1">BA16</f>
        <v>0</v>
      </c>
      <c r="BO13" s="831">
        <f>$BC$16</f>
        <v>0</v>
      </c>
      <c r="BR13" s="830" t="s">
        <v>270</v>
      </c>
      <c r="BS13" s="831">
        <f>$AW$16</f>
        <v>0</v>
      </c>
      <c r="BT13" s="831">
        <f>$AW$17</f>
        <v>0</v>
      </c>
      <c r="BU13" s="831">
        <f>$AW$18</f>
        <v>0</v>
      </c>
      <c r="BV13" s="831">
        <f>$AW$19</f>
        <v>0</v>
      </c>
      <c r="BW13" s="831">
        <f>$AW$20</f>
        <v>0</v>
      </c>
      <c r="BX13" s="831">
        <f>$AW$21</f>
        <v>0</v>
      </c>
      <c r="BY13" s="831">
        <f>$AW$22</f>
        <v>0</v>
      </c>
      <c r="BZ13" s="831">
        <f>$AW$23</f>
        <v>0</v>
      </c>
      <c r="CA13" s="831">
        <f>$AW$24</f>
        <v>0</v>
      </c>
      <c r="CB13" s="831">
        <f>$AW$25</f>
        <v>0</v>
      </c>
      <c r="CC13" s="831">
        <f>$AW$26</f>
        <v>0</v>
      </c>
      <c r="CD13" s="831">
        <f>$AW$27</f>
        <v>0</v>
      </c>
      <c r="CE13" s="832">
        <f>$AW$28+$AW$102</f>
        <v>0</v>
      </c>
      <c r="CF13" s="832">
        <f>$AW$29+$AW$103</f>
        <v>0</v>
      </c>
      <c r="CG13" s="832">
        <f>$AW$30+$AW$104</f>
        <v>0</v>
      </c>
      <c r="CH13" s="832">
        <f>$AW$31+$AW$105</f>
        <v>0</v>
      </c>
      <c r="CI13" s="832">
        <f>$AW$32+$AW$106</f>
        <v>0</v>
      </c>
      <c r="CJ13" s="832">
        <f>$AW$33+$AW$107</f>
        <v>0</v>
      </c>
      <c r="CK13" s="832">
        <f>$AW$34+$AW$108</f>
        <v>0</v>
      </c>
      <c r="CL13" s="832">
        <f>$AW$35+$AW$109</f>
        <v>0</v>
      </c>
      <c r="CM13" s="832">
        <f>$AW$36+$AW$110</f>
        <v>0</v>
      </c>
      <c r="CN13" s="832">
        <f>$AW$37+$AW$111</f>
        <v>0</v>
      </c>
      <c r="CO13" s="832">
        <f>$AW$38+$AW$112</f>
        <v>0</v>
      </c>
      <c r="CP13" s="832">
        <f>$AW$39+$AW$113</f>
        <v>0</v>
      </c>
      <c r="CQ13" s="833">
        <f>$AW$40+$AW$114+$AW$188</f>
        <v>0</v>
      </c>
      <c r="CR13" s="833">
        <f>$AW$41+$AW$115+$AW$189</f>
        <v>0</v>
      </c>
      <c r="CS13" s="833">
        <f>$AW$42+$AW$116+$AW$190</f>
        <v>0</v>
      </c>
      <c r="CT13" s="833">
        <f>$AW$43+$AW$117+$AW$191</f>
        <v>0</v>
      </c>
      <c r="CU13" s="833">
        <f>$AW$44+$AW$118+$AW$192</f>
        <v>0</v>
      </c>
      <c r="CV13" s="833">
        <f>$AW$45+$AW$119+$AW$193</f>
        <v>0</v>
      </c>
      <c r="CW13" s="833">
        <f>$AW$46+$AW$120+$AW$194</f>
        <v>0</v>
      </c>
      <c r="CX13" s="833">
        <f>$AW$47+$AW$121+$AW$195</f>
        <v>0</v>
      </c>
      <c r="CY13" s="833">
        <f>$AW$48+$AW$122+$AW$196</f>
        <v>0</v>
      </c>
      <c r="CZ13" s="833">
        <f>$AW$49+$AW$123+$AW$197</f>
        <v>0</v>
      </c>
      <c r="DA13" s="833">
        <f>$AW$50+$AW$124+$AW$198</f>
        <v>0</v>
      </c>
      <c r="DB13" s="833">
        <f>$AW$51+$AW$125+$AW$199</f>
        <v>0</v>
      </c>
      <c r="DC13" s="834">
        <f>$AW$52+$AW$126+$AW$200</f>
        <v>0</v>
      </c>
      <c r="DD13" s="834">
        <f>$AW$53+$AW$127+$AW$201</f>
        <v>0</v>
      </c>
      <c r="DE13" s="834">
        <f>$AW$54+$AW$128+$AW$202</f>
        <v>0</v>
      </c>
      <c r="DF13" s="834">
        <f>$AW$55+$AW$129+$AW$203</f>
        <v>0</v>
      </c>
      <c r="DG13" s="834">
        <f>$AW$56+$AW$130+$AW$204</f>
        <v>0</v>
      </c>
      <c r="DH13" s="834">
        <f>$AW$57+$AW$131+$AW$205</f>
        <v>0</v>
      </c>
      <c r="DI13" s="834">
        <f>$AW$58+$AW$132+$AW$206</f>
        <v>0</v>
      </c>
      <c r="DJ13" s="834">
        <f>$AW$59+$AW$133+$AW$207</f>
        <v>0</v>
      </c>
      <c r="DK13" s="834">
        <f>$AW$60+$AW$134+$AW$208</f>
        <v>0</v>
      </c>
      <c r="DL13" s="834">
        <f>$AW$61+$AW$135+$AW$209</f>
        <v>0</v>
      </c>
      <c r="DM13" s="834">
        <f>$AW$62+$AW$136+$AW$210</f>
        <v>0</v>
      </c>
      <c r="DN13" s="834">
        <f>$AW$63+$AW$137+$AW$211</f>
        <v>0</v>
      </c>
      <c r="DO13" s="834">
        <f>$AW$64+$AW$138+$AW$212</f>
        <v>0</v>
      </c>
      <c r="DP13" s="834">
        <f>$AW$65+$AW$139+$AW$213</f>
        <v>0</v>
      </c>
      <c r="DQ13" s="834">
        <f>$AW$66+$AW$140+$AW$214</f>
        <v>0</v>
      </c>
      <c r="DR13" s="834">
        <f>$AW$67+$AW$141+$AW$215</f>
        <v>0</v>
      </c>
      <c r="DS13" s="834">
        <f>$AW$68+$AW$142+$AW$216</f>
        <v>0</v>
      </c>
      <c r="DT13" s="834">
        <f>$AW$69+$AW$143+$AW$217</f>
        <v>0</v>
      </c>
      <c r="DU13" s="834">
        <f>$AW$70+$AW$144+$AW$218</f>
        <v>0</v>
      </c>
      <c r="DV13" s="834">
        <f>$AW$71+$AW$145+$AW$219</f>
        <v>0</v>
      </c>
      <c r="DW13" s="834">
        <f>$AW$72+$AW$146+$AW$220</f>
        <v>0</v>
      </c>
      <c r="DX13" s="834">
        <f>$AW$73+$AW$147+$AW$221</f>
        <v>0</v>
      </c>
      <c r="DY13" s="834">
        <f>$AW$74+$AW$148+$AW$222</f>
        <v>0</v>
      </c>
      <c r="DZ13" s="834">
        <f>$AW$75+$AW$149+$AW$223</f>
        <v>0</v>
      </c>
      <c r="EA13" s="834">
        <f>$AW$76+$AW$150+$AW$224</f>
        <v>0</v>
      </c>
      <c r="EB13" s="834">
        <f>$AW$77+$AW$151+$AW$225</f>
        <v>0</v>
      </c>
      <c r="EC13" s="834">
        <f>$AW$78+$AW$152+$AW$226</f>
        <v>0</v>
      </c>
      <c r="ED13" s="834">
        <f>$AW$79+$AW$153+$AW$227</f>
        <v>0</v>
      </c>
      <c r="EE13" s="834">
        <f>$AW$80+$AW$154+$AW$228</f>
        <v>0</v>
      </c>
      <c r="EF13" s="834">
        <f>$AW$81+$AW$155+$AW$229</f>
        <v>0</v>
      </c>
      <c r="EG13" s="834">
        <f>$AW$82+$AW$156+$AW$230</f>
        <v>0</v>
      </c>
      <c r="EH13" s="834">
        <f>$AW$83+$AW$157+$AW$231</f>
        <v>0</v>
      </c>
      <c r="EI13" s="834">
        <f>$AW$84+$AW$158+$AW$232</f>
        <v>0</v>
      </c>
      <c r="EJ13" s="834">
        <f>$AW$85+$AW$159+$AW$233</f>
        <v>0</v>
      </c>
      <c r="EK13" s="834">
        <f>$AW$86+$AW$160+$AW$234</f>
        <v>0</v>
      </c>
      <c r="EL13" s="834">
        <f>$AW$87+$AW$161+$AW$235</f>
        <v>0</v>
      </c>
    </row>
    <row r="14" spans="1:142" ht="12.75" customHeight="1" x14ac:dyDescent="0.25">
      <c r="A14" s="1812" t="s">
        <v>267</v>
      </c>
      <c r="B14" s="1813" t="s">
        <v>278</v>
      </c>
      <c r="C14" s="1813" t="s">
        <v>89</v>
      </c>
      <c r="D14" s="1813" t="s">
        <v>279</v>
      </c>
      <c r="E14" s="1813" t="s">
        <v>280</v>
      </c>
      <c r="F14" s="1813" t="s">
        <v>281</v>
      </c>
      <c r="G14" s="1813" t="s">
        <v>282</v>
      </c>
      <c r="H14" s="1813" t="s">
        <v>283</v>
      </c>
      <c r="I14" s="1813" t="s">
        <v>284</v>
      </c>
      <c r="J14" s="1813" t="s">
        <v>285</v>
      </c>
      <c r="K14" s="1813" t="s">
        <v>286</v>
      </c>
      <c r="L14" s="1813" t="s">
        <v>287</v>
      </c>
      <c r="M14" s="1814" t="s">
        <v>288</v>
      </c>
      <c r="N14" s="836"/>
      <c r="O14" s="1812" t="s">
        <v>267</v>
      </c>
      <c r="P14" s="1813" t="s">
        <v>278</v>
      </c>
      <c r="Q14" s="1813" t="s">
        <v>89</v>
      </c>
      <c r="R14" s="1813" t="s">
        <v>279</v>
      </c>
      <c r="S14" s="1813" t="s">
        <v>280</v>
      </c>
      <c r="T14" s="1813" t="s">
        <v>281</v>
      </c>
      <c r="U14" s="1813" t="s">
        <v>282</v>
      </c>
      <c r="V14" s="1813" t="s">
        <v>283</v>
      </c>
      <c r="W14" s="1813" t="s">
        <v>284</v>
      </c>
      <c r="X14" s="1813" t="s">
        <v>285</v>
      </c>
      <c r="Y14" s="1813" t="s">
        <v>286</v>
      </c>
      <c r="Z14" s="1813" t="s">
        <v>287</v>
      </c>
      <c r="AA14" s="1814" t="s">
        <v>288</v>
      </c>
      <c r="AB14" s="836"/>
      <c r="AC14" s="1812" t="s">
        <v>267</v>
      </c>
      <c r="AD14" s="1813" t="s">
        <v>278</v>
      </c>
      <c r="AE14" s="1813" t="s">
        <v>89</v>
      </c>
      <c r="AF14" s="1813" t="s">
        <v>279</v>
      </c>
      <c r="AG14" s="1813" t="s">
        <v>280</v>
      </c>
      <c r="AH14" s="1813" t="s">
        <v>281</v>
      </c>
      <c r="AI14" s="1813" t="s">
        <v>282</v>
      </c>
      <c r="AJ14" s="1813" t="s">
        <v>283</v>
      </c>
      <c r="AK14" s="1813" t="s">
        <v>284</v>
      </c>
      <c r="AL14" s="1813" t="s">
        <v>285</v>
      </c>
      <c r="AM14" s="1813" t="s">
        <v>286</v>
      </c>
      <c r="AN14" s="1813" t="s">
        <v>287</v>
      </c>
      <c r="AO14" s="1814" t="s">
        <v>288</v>
      </c>
      <c r="AQ14" s="1812" t="s">
        <v>267</v>
      </c>
      <c r="AR14" s="1813" t="s">
        <v>278</v>
      </c>
      <c r="AS14" s="1813" t="s">
        <v>89</v>
      </c>
      <c r="AT14" s="1813" t="s">
        <v>279</v>
      </c>
      <c r="AU14" s="1813" t="s">
        <v>280</v>
      </c>
      <c r="AV14" s="1813" t="s">
        <v>281</v>
      </c>
      <c r="AW14" s="1813" t="s">
        <v>282</v>
      </c>
      <c r="AX14" s="1813" t="s">
        <v>283</v>
      </c>
      <c r="AY14" s="1813" t="s">
        <v>284</v>
      </c>
      <c r="AZ14" s="1813" t="s">
        <v>285</v>
      </c>
      <c r="BA14" s="1813" t="s">
        <v>286</v>
      </c>
      <c r="BB14" s="1813" t="s">
        <v>287</v>
      </c>
      <c r="BC14" s="1814" t="s">
        <v>288</v>
      </c>
      <c r="BE14" s="825">
        <f>BE13+1</f>
        <v>2</v>
      </c>
      <c r="BF14" s="835" t="str">
        <f>TRIBUTS!K2</f>
        <v>FEBRER</v>
      </c>
      <c r="BG14" s="831">
        <f>$AU$17</f>
        <v>0</v>
      </c>
      <c r="BH14" s="831">
        <f>BG14+BH13</f>
        <v>0</v>
      </c>
      <c r="BI14" s="831">
        <f>$AW$17</f>
        <v>0</v>
      </c>
      <c r="BJ14" s="831">
        <f>BI14+BJ13</f>
        <v>0</v>
      </c>
      <c r="BK14" s="831">
        <f>$AS$17</f>
        <v>0</v>
      </c>
      <c r="BL14" s="831">
        <f>$AY$17</f>
        <v>0</v>
      </c>
      <c r="BM14" s="831">
        <f>$AZ$17</f>
        <v>0</v>
      </c>
      <c r="BN14" s="831">
        <f t="shared" si="1"/>
        <v>0</v>
      </c>
      <c r="BO14" s="831">
        <f>$BC$17</f>
        <v>0</v>
      </c>
      <c r="BR14" s="830" t="s">
        <v>89</v>
      </c>
      <c r="BS14" s="831">
        <f>$AS$16</f>
        <v>0</v>
      </c>
      <c r="BT14" s="831">
        <f>$AS$17</f>
        <v>0</v>
      </c>
      <c r="BU14" s="831">
        <f>$AS$18</f>
        <v>0</v>
      </c>
      <c r="BV14" s="831">
        <f>$AS$19</f>
        <v>0</v>
      </c>
      <c r="BW14" s="831">
        <f>$AS$20</f>
        <v>0</v>
      </c>
      <c r="BX14" s="831">
        <f>$AS$21</f>
        <v>0</v>
      </c>
      <c r="BY14" s="831">
        <f>$AS$22</f>
        <v>0</v>
      </c>
      <c r="BZ14" s="831">
        <f>$AS$23</f>
        <v>0</v>
      </c>
      <c r="CA14" s="831">
        <f>$AS$24</f>
        <v>0</v>
      </c>
      <c r="CB14" s="831">
        <f>$AS$25</f>
        <v>0</v>
      </c>
      <c r="CC14" s="831">
        <f>$AS$26</f>
        <v>0</v>
      </c>
      <c r="CD14" s="831">
        <f>$AS$27</f>
        <v>0</v>
      </c>
      <c r="CE14" s="832">
        <f>$AS$28+$AS$102</f>
        <v>0</v>
      </c>
      <c r="CF14" s="832">
        <f>$AS$29+$AS$103</f>
        <v>0</v>
      </c>
      <c r="CG14" s="832">
        <f>$AS$30+$AS$104</f>
        <v>0</v>
      </c>
      <c r="CH14" s="832">
        <f>$AS$31+$AS$105</f>
        <v>0</v>
      </c>
      <c r="CI14" s="832">
        <f>$AS$32+$AS$106</f>
        <v>0</v>
      </c>
      <c r="CJ14" s="832">
        <f>$AS$33+$AS$107</f>
        <v>0</v>
      </c>
      <c r="CK14" s="832">
        <f>$AS$34+$AS$108</f>
        <v>0</v>
      </c>
      <c r="CL14" s="832">
        <f>$AS$35+$AS$109</f>
        <v>0</v>
      </c>
      <c r="CM14" s="832">
        <f>$AS$36+$AS$110</f>
        <v>0</v>
      </c>
      <c r="CN14" s="832">
        <f>$AS$37+$AS$111</f>
        <v>0</v>
      </c>
      <c r="CO14" s="832">
        <f>$AS$38+$AS$112</f>
        <v>0</v>
      </c>
      <c r="CP14" s="832">
        <f>$AS$39+$AS$113</f>
        <v>0</v>
      </c>
      <c r="CQ14" s="833">
        <f>$AS$40+$AS$114+$AS$188</f>
        <v>0</v>
      </c>
      <c r="CR14" s="833">
        <f>$AS$41+$AS$115+$AS$189</f>
        <v>0</v>
      </c>
      <c r="CS14" s="833">
        <f>$AS$42+$AS$116+$AS$190</f>
        <v>0</v>
      </c>
      <c r="CT14" s="833">
        <f>$AS$43+$AS$117+$AS$191</f>
        <v>0</v>
      </c>
      <c r="CU14" s="833">
        <f>$AS$44+$AS$118+$AS$192</f>
        <v>0</v>
      </c>
      <c r="CV14" s="833">
        <f>$AS$45+$AS$119+$AS$193</f>
        <v>0</v>
      </c>
      <c r="CW14" s="833">
        <f>$AS$46+$AS$120+$AS$194</f>
        <v>0</v>
      </c>
      <c r="CX14" s="833">
        <f>$AS$47+$AS$121+$AS$195</f>
        <v>0</v>
      </c>
      <c r="CY14" s="833">
        <f>$AS$48+$AS$122+$AS$196</f>
        <v>0</v>
      </c>
      <c r="CZ14" s="833">
        <f>$AS$49+$AS$123+$AS$197</f>
        <v>0</v>
      </c>
      <c r="DA14" s="833">
        <f>$AS$50+$AS$124+$AS$198</f>
        <v>0</v>
      </c>
      <c r="DB14" s="833">
        <f>$AS$51+$AS$125+$AS$199</f>
        <v>0</v>
      </c>
      <c r="DC14" s="834">
        <f>$AS$52+$AS$126+$AS$200</f>
        <v>0</v>
      </c>
      <c r="DD14" s="834">
        <f>$AS$53+$AS$127+$AS$201</f>
        <v>0</v>
      </c>
      <c r="DE14" s="834">
        <f>$AS$54+$AS$128+$AS$202</f>
        <v>0</v>
      </c>
      <c r="DF14" s="834">
        <f>$AS$55+$AS$129+$AS$203</f>
        <v>0</v>
      </c>
      <c r="DG14" s="834">
        <f>$AS$56+$AS$130+$AS$204</f>
        <v>0</v>
      </c>
      <c r="DH14" s="834">
        <f>$AS$57+$AS$131+$AS$205</f>
        <v>0</v>
      </c>
      <c r="DI14" s="834">
        <f>$AS$58+$AS$132+$AS$206</f>
        <v>0</v>
      </c>
      <c r="DJ14" s="834">
        <f>$AS$59+$AS$133+$AS$207</f>
        <v>0</v>
      </c>
      <c r="DK14" s="834">
        <f>$AS$60+$AS$134+$AS$208</f>
        <v>0</v>
      </c>
      <c r="DL14" s="834">
        <f>$AS$61+$AS$135+$AS$209</f>
        <v>0</v>
      </c>
      <c r="DM14" s="834">
        <f>$AS$62+$AS$136+$AS$210</f>
        <v>0</v>
      </c>
      <c r="DN14" s="834">
        <f>$AS$63+$AS$137+$AS$211</f>
        <v>0</v>
      </c>
      <c r="DO14" s="834">
        <f>$AS$64+$AS$138+$AS$212</f>
        <v>0</v>
      </c>
      <c r="DP14" s="834">
        <f>$AS$65+$AS$139+$AS$213</f>
        <v>0</v>
      </c>
      <c r="DQ14" s="834">
        <f>$AS$66+$AS$140+$AS$214</f>
        <v>0</v>
      </c>
      <c r="DR14" s="834">
        <f>$AS$67+$AS$141+$AS$215</f>
        <v>0</v>
      </c>
      <c r="DS14" s="834">
        <f>$AS$68+$AS$142+$AS$216</f>
        <v>0</v>
      </c>
      <c r="DT14" s="834">
        <f>$AS$69+$AS$143+$AS$217</f>
        <v>0</v>
      </c>
      <c r="DU14" s="834">
        <f>$AS$70+$AS$144+$AS$218</f>
        <v>0</v>
      </c>
      <c r="DV14" s="834">
        <f>$AS$71+$AS$145+$AS$219</f>
        <v>0</v>
      </c>
      <c r="DW14" s="834">
        <f>$AS$72+$AS$146+$AS$220</f>
        <v>0</v>
      </c>
      <c r="DX14" s="834">
        <f>$AS$73+$AS$147+$AS$221</f>
        <v>0</v>
      </c>
      <c r="DY14" s="834">
        <f>$AS$74+$AS$148+$AS$222</f>
        <v>0</v>
      </c>
      <c r="DZ14" s="834">
        <f>$AS$75+$AS$149+$AS$223</f>
        <v>0</v>
      </c>
      <c r="EA14" s="834">
        <f>$AS$76+$AS$150+$AS$224</f>
        <v>0</v>
      </c>
      <c r="EB14" s="834">
        <f>$AS$77+$AS$151+$AS$225</f>
        <v>0</v>
      </c>
      <c r="EC14" s="834">
        <f>$AS$78+$AS$152+$AS$226</f>
        <v>0</v>
      </c>
      <c r="ED14" s="834">
        <f>$AS$79+$AS$153+$AS$227</f>
        <v>0</v>
      </c>
      <c r="EE14" s="834">
        <f>$AS$80+$AS$154+$AS$228</f>
        <v>0</v>
      </c>
      <c r="EF14" s="834">
        <f>$AS$81+$AS$155+$AS$229</f>
        <v>0</v>
      </c>
      <c r="EG14" s="834">
        <f>$AS$82+$AS$156+$AS$230</f>
        <v>0</v>
      </c>
      <c r="EH14" s="834">
        <f>$AS$83+$AS$157+$AS$231</f>
        <v>0</v>
      </c>
      <c r="EI14" s="834">
        <f>$AS$84+$AS$158+$AS$232</f>
        <v>0</v>
      </c>
      <c r="EJ14" s="834">
        <f>$AS$85+$AS$159+$AS$233</f>
        <v>0</v>
      </c>
      <c r="EK14" s="834">
        <f>$AS$86+$AS$160+$AS$234</f>
        <v>0</v>
      </c>
      <c r="EL14" s="834">
        <f>$AS$87+$AS$161+$AS$235</f>
        <v>0</v>
      </c>
    </row>
    <row r="15" spans="1:142" x14ac:dyDescent="0.25">
      <c r="A15" s="1812"/>
      <c r="B15" s="1813"/>
      <c r="C15" s="1813"/>
      <c r="D15" s="1813"/>
      <c r="E15" s="1813"/>
      <c r="F15" s="1813"/>
      <c r="G15" s="1813"/>
      <c r="H15" s="1813"/>
      <c r="I15" s="1813"/>
      <c r="J15" s="1813"/>
      <c r="K15" s="1813"/>
      <c r="L15" s="1813"/>
      <c r="M15" s="1814"/>
      <c r="N15" s="836"/>
      <c r="O15" s="1812"/>
      <c r="P15" s="1813"/>
      <c r="Q15" s="1813"/>
      <c r="R15" s="1813"/>
      <c r="S15" s="1813"/>
      <c r="T15" s="1813"/>
      <c r="U15" s="1813"/>
      <c r="V15" s="1813"/>
      <c r="W15" s="1813"/>
      <c r="X15" s="1813"/>
      <c r="Y15" s="1813"/>
      <c r="Z15" s="1813"/>
      <c r="AA15" s="1814"/>
      <c r="AB15" s="836"/>
      <c r="AC15" s="1812"/>
      <c r="AD15" s="1813"/>
      <c r="AE15" s="1813"/>
      <c r="AF15" s="1813"/>
      <c r="AG15" s="1813"/>
      <c r="AH15" s="1813"/>
      <c r="AI15" s="1813"/>
      <c r="AJ15" s="1813"/>
      <c r="AK15" s="1813"/>
      <c r="AL15" s="1813"/>
      <c r="AM15" s="1813"/>
      <c r="AN15" s="1813"/>
      <c r="AO15" s="1814"/>
      <c r="AQ15" s="1812"/>
      <c r="AR15" s="1813"/>
      <c r="AS15" s="1813"/>
      <c r="AT15" s="1813"/>
      <c r="AU15" s="1813"/>
      <c r="AV15" s="1813"/>
      <c r="AW15" s="1813"/>
      <c r="AX15" s="1813"/>
      <c r="AY15" s="1813"/>
      <c r="AZ15" s="1813"/>
      <c r="BA15" s="1813"/>
      <c r="BB15" s="1813"/>
      <c r="BC15" s="1814"/>
      <c r="BE15" s="825">
        <f t="shared" ref="BE15:BE78" si="2">BE14+1</f>
        <v>3</v>
      </c>
      <c r="BF15" s="835" t="str">
        <f>TRIBUTS!K3</f>
        <v>MARÇ</v>
      </c>
      <c r="BG15" s="831">
        <f>$AU$18</f>
        <v>0</v>
      </c>
      <c r="BH15" s="831">
        <f t="shared" ref="BH15:BJ78" si="3">BG15+BH14</f>
        <v>0</v>
      </c>
      <c r="BI15" s="831">
        <f>$AW$18</f>
        <v>0</v>
      </c>
      <c r="BJ15" s="831">
        <f t="shared" si="3"/>
        <v>0</v>
      </c>
      <c r="BK15" s="831">
        <f>$AS$18</f>
        <v>0</v>
      </c>
      <c r="BL15" s="831">
        <f>$AY$18</f>
        <v>0</v>
      </c>
      <c r="BM15" s="831">
        <f>$AZ$18</f>
        <v>0</v>
      </c>
      <c r="BN15" s="831">
        <f t="shared" si="1"/>
        <v>0</v>
      </c>
      <c r="BO15" s="831">
        <f>$BC$18</f>
        <v>0</v>
      </c>
      <c r="BR15" s="830" t="s">
        <v>275</v>
      </c>
      <c r="BS15" s="831">
        <f>$BC$16</f>
        <v>0</v>
      </c>
      <c r="BT15" s="831">
        <f>$BC$17</f>
        <v>0</v>
      </c>
      <c r="BU15" s="831">
        <f>$BC$18</f>
        <v>0</v>
      </c>
      <c r="BV15" s="831">
        <f>$BC$19</f>
        <v>0</v>
      </c>
      <c r="BW15" s="831">
        <f>$BC$20</f>
        <v>0</v>
      </c>
      <c r="BX15" s="831">
        <f>$BC$21</f>
        <v>0</v>
      </c>
      <c r="BY15" s="831">
        <f>$BC$22</f>
        <v>0</v>
      </c>
      <c r="BZ15" s="831">
        <f>$BC$23</f>
        <v>0</v>
      </c>
      <c r="CA15" s="831">
        <f>$BC$24</f>
        <v>0</v>
      </c>
      <c r="CB15" s="831">
        <f>$BC$25</f>
        <v>0</v>
      </c>
      <c r="CC15" s="831">
        <f>$BC$26</f>
        <v>0</v>
      </c>
      <c r="CD15" s="831">
        <f>$BC$27</f>
        <v>0</v>
      </c>
      <c r="CE15" s="832">
        <f>$BC$28+$BC$102</f>
        <v>0</v>
      </c>
      <c r="CF15" s="832">
        <f>$BC$29+$BC$103</f>
        <v>0</v>
      </c>
      <c r="CG15" s="832">
        <f>$BC$30+$BC$104</f>
        <v>0</v>
      </c>
      <c r="CH15" s="832">
        <f>$BC$31+$BC$105</f>
        <v>0</v>
      </c>
      <c r="CI15" s="832">
        <f>$BC$32+$BC$106</f>
        <v>0</v>
      </c>
      <c r="CJ15" s="832">
        <f>$BC$33+$BC$107</f>
        <v>0</v>
      </c>
      <c r="CK15" s="832">
        <f>$BC$34+$BC$108</f>
        <v>0</v>
      </c>
      <c r="CL15" s="832">
        <f>$BC$35+$BC$109</f>
        <v>0</v>
      </c>
      <c r="CM15" s="832">
        <f>$BC$36+$BC$110</f>
        <v>0</v>
      </c>
      <c r="CN15" s="832">
        <f>$BC$37+$BC$111</f>
        <v>0</v>
      </c>
      <c r="CO15" s="832">
        <f>$BC$38+$BC$112</f>
        <v>0</v>
      </c>
      <c r="CP15" s="832">
        <f>$BC$39+$BC$113</f>
        <v>0</v>
      </c>
      <c r="CQ15" s="833">
        <f>$BC$40+$BC$114+$BC$188</f>
        <v>0</v>
      </c>
      <c r="CR15" s="833">
        <f>$BC$41+$BC$115+$BC$189</f>
        <v>0</v>
      </c>
      <c r="CS15" s="833">
        <f>$BC$42+$BC$116+$BC$190</f>
        <v>0</v>
      </c>
      <c r="CT15" s="833">
        <f>$BC$43+$BC$117+$BC$191</f>
        <v>0</v>
      </c>
      <c r="CU15" s="833">
        <f>$BC$44+$BC$118+$BC$192</f>
        <v>0</v>
      </c>
      <c r="CV15" s="833">
        <f>$BC$45+$BC$119+$BC$193</f>
        <v>0</v>
      </c>
      <c r="CW15" s="833">
        <f>$BC$46+$BC$120+$BC$194</f>
        <v>0</v>
      </c>
      <c r="CX15" s="833">
        <f>$BC$47+$BC$121+$BC$195</f>
        <v>0</v>
      </c>
      <c r="CY15" s="833">
        <f>$BC$48+$BC$122+$BC$196</f>
        <v>0</v>
      </c>
      <c r="CZ15" s="833">
        <f>$BC$49+$BC$123+$BC$197</f>
        <v>0</v>
      </c>
      <c r="DA15" s="833">
        <f>$BC$50+$BC$124+$BC$198</f>
        <v>0</v>
      </c>
      <c r="DB15" s="833">
        <f>$BC$51+$BC$125+$BC$199</f>
        <v>0</v>
      </c>
      <c r="DC15" s="834">
        <f>$BC$52+$BC$126+$BC$200</f>
        <v>0</v>
      </c>
      <c r="DD15" s="834">
        <f>$BC$53+$BC$127+$BC$201</f>
        <v>0</v>
      </c>
      <c r="DE15" s="834">
        <f>$BC$54+$BC$128+$BC$202</f>
        <v>0</v>
      </c>
      <c r="DF15" s="834">
        <f>$BC$55+$BC$129+$BC$203</f>
        <v>0</v>
      </c>
      <c r="DG15" s="834">
        <f>$BC$56+$BC$130+$BC$204</f>
        <v>0</v>
      </c>
      <c r="DH15" s="834">
        <f>$BC$57+$BC$131+$BC$205</f>
        <v>0</v>
      </c>
      <c r="DI15" s="834">
        <f>$BC$58+$BC$132+$BC$206</f>
        <v>0</v>
      </c>
      <c r="DJ15" s="834">
        <f>$BC$59+$BC$133+$BC$207</f>
        <v>0</v>
      </c>
      <c r="DK15" s="834">
        <f>$BC$60+$BC$134+$BC$208</f>
        <v>0</v>
      </c>
      <c r="DL15" s="834">
        <f>$BC$61+$BC$135+$BC$209</f>
        <v>0</v>
      </c>
      <c r="DM15" s="834">
        <f>$BC$62+$BC$136+$BC$210</f>
        <v>0</v>
      </c>
      <c r="DN15" s="834">
        <f>$BC$63+$BC$137+$BC$211</f>
        <v>0</v>
      </c>
      <c r="DO15" s="834">
        <f>$BC$64+$BC$138+$BC$212</f>
        <v>0</v>
      </c>
      <c r="DP15" s="834">
        <f>$BC$65+$BC$139+$BC$213</f>
        <v>0</v>
      </c>
      <c r="DQ15" s="834">
        <f>$BC$66+$BC$140+$BC$214</f>
        <v>0</v>
      </c>
      <c r="DR15" s="834">
        <f>$BC$67+$BC$141+$BC$215</f>
        <v>0</v>
      </c>
      <c r="DS15" s="834">
        <f>$BC$68+$BC$142+$BC$216</f>
        <v>0</v>
      </c>
      <c r="DT15" s="834">
        <f>$BC$69+$BC$143+$BC$217</f>
        <v>0</v>
      </c>
      <c r="DU15" s="834">
        <f>$BC$70+$BC$144+$BC$218</f>
        <v>0</v>
      </c>
      <c r="DV15" s="834">
        <f>$BC$71+$BC$145+$BC$219</f>
        <v>0</v>
      </c>
      <c r="DW15" s="834">
        <f>$BC$72+$BC$146+$BC$220</f>
        <v>0</v>
      </c>
      <c r="DX15" s="834">
        <f>$BC$73+$BC$147+$BC$221</f>
        <v>0</v>
      </c>
      <c r="DY15" s="834">
        <f>$BC$74+$BC$148+$BC$222</f>
        <v>0</v>
      </c>
      <c r="DZ15" s="834">
        <f>$BC$75+$BC$149+$BC$223</f>
        <v>0</v>
      </c>
      <c r="EA15" s="834">
        <f>$BC$76+$BC$150+$BC$224</f>
        <v>0</v>
      </c>
      <c r="EB15" s="834">
        <f>$BC$77+$BC$151+$BC$225</f>
        <v>0</v>
      </c>
      <c r="EC15" s="834">
        <f>$BC$78+$BC$152+$BC$226</f>
        <v>0</v>
      </c>
      <c r="ED15" s="834">
        <f>$BC$79+$BC$153+$BC$227</f>
        <v>0</v>
      </c>
      <c r="EE15" s="834">
        <f>$BC$80+$BC$154+$BC$228</f>
        <v>0</v>
      </c>
      <c r="EF15" s="834">
        <f>$BC$81+$BC$155+$BC$229</f>
        <v>0</v>
      </c>
      <c r="EG15" s="834">
        <f>$BC$82+$BC$156+$BC$230</f>
        <v>0</v>
      </c>
      <c r="EH15" s="834">
        <f>$BC$83+$BC$157+$BC$231</f>
        <v>0</v>
      </c>
      <c r="EI15" s="834">
        <f>$BC$84+$BC$158+$BC$232</f>
        <v>0</v>
      </c>
      <c r="EJ15" s="834">
        <f>$BC$85+$BC$159+$BC$233</f>
        <v>0</v>
      </c>
      <c r="EK15" s="834">
        <f>$BC$86+$BC$160+$BC$234</f>
        <v>0</v>
      </c>
      <c r="EL15" s="834">
        <f>$BC$87+$BC$161+$BC$235</f>
        <v>0</v>
      </c>
    </row>
    <row r="16" spans="1:142" ht="13" x14ac:dyDescent="0.25">
      <c r="A16" s="837">
        <v>1</v>
      </c>
      <c r="B16" s="838">
        <f>C12</f>
        <v>0</v>
      </c>
      <c r="C16" s="838">
        <f>C12*C10</f>
        <v>0</v>
      </c>
      <c r="D16" s="838">
        <f>C16</f>
        <v>0</v>
      </c>
      <c r="E16" s="838">
        <f>C8*C$9/12</f>
        <v>0</v>
      </c>
      <c r="F16" s="838">
        <f>E16</f>
        <v>0</v>
      </c>
      <c r="G16" s="838">
        <f>C12-E16</f>
        <v>0</v>
      </c>
      <c r="H16" s="838">
        <f>G16</f>
        <v>0</v>
      </c>
      <c r="I16" s="839">
        <f>IF(H16=0,0,SUM(G17:G28)+SUM(E17:E28))</f>
        <v>0</v>
      </c>
      <c r="J16" s="839">
        <f>IF(K16&gt;I16,K16-I16,0)</f>
        <v>0</v>
      </c>
      <c r="K16" s="839">
        <f>IF(C$11*12&gt;A16,(C$11*12-A16)*C$12,0)</f>
        <v>0</v>
      </c>
      <c r="L16" s="838">
        <f>C$8-H16</f>
        <v>0</v>
      </c>
      <c r="M16" s="840">
        <f>E88-E16</f>
        <v>0</v>
      </c>
      <c r="N16" s="841"/>
      <c r="O16" s="837">
        <v>1</v>
      </c>
      <c r="P16" s="838">
        <f>U16</f>
        <v>0</v>
      </c>
      <c r="Q16" s="838">
        <f>Q12*Q10</f>
        <v>0</v>
      </c>
      <c r="R16" s="838">
        <f>Q16</f>
        <v>0</v>
      </c>
      <c r="S16" s="838">
        <f>Q8*Q$9/12</f>
        <v>0</v>
      </c>
      <c r="T16" s="838">
        <f>S16</f>
        <v>0</v>
      </c>
      <c r="U16" s="838">
        <f>Q12-S16</f>
        <v>0</v>
      </c>
      <c r="V16" s="838">
        <f>U16</f>
        <v>0</v>
      </c>
      <c r="W16" s="839">
        <f>IF(V16=0,0,SUM(U17:U28)+SUM(S17:S28))</f>
        <v>0</v>
      </c>
      <c r="X16" s="839">
        <f>IF(Y16&gt;W16,Y16-W16,0)</f>
        <v>0</v>
      </c>
      <c r="Y16" s="839">
        <f>IF(Q$11*12&gt;O16,(Q$11*12-O16)*Q$12,0)</f>
        <v>0</v>
      </c>
      <c r="Z16" s="838">
        <f>Q$8-V16</f>
        <v>0</v>
      </c>
      <c r="AA16" s="840">
        <f>S88-S16</f>
        <v>0</v>
      </c>
      <c r="AB16" s="841"/>
      <c r="AC16" s="837">
        <v>1</v>
      </c>
      <c r="AD16" s="838">
        <f>AI16</f>
        <v>0</v>
      </c>
      <c r="AE16" s="838">
        <f>AE12*AE10</f>
        <v>0</v>
      </c>
      <c r="AF16" s="838">
        <f>AE16</f>
        <v>0</v>
      </c>
      <c r="AG16" s="838">
        <f>AE8*AE$9/12</f>
        <v>0</v>
      </c>
      <c r="AH16" s="838">
        <f>AG16</f>
        <v>0</v>
      </c>
      <c r="AI16" s="838">
        <f>AE12-AG16</f>
        <v>0</v>
      </c>
      <c r="AJ16" s="838">
        <f>AI16</f>
        <v>0</v>
      </c>
      <c r="AK16" s="839">
        <f>IF(AJ16=0,0,SUM(AI17:AI28)+SUM(AG17:AG28))</f>
        <v>0</v>
      </c>
      <c r="AL16" s="839">
        <f>IF(AM16&gt;AK16,AM16-AK16,0)</f>
        <v>0</v>
      </c>
      <c r="AM16" s="839">
        <f>IF(AE$11*12&gt;AC16,(AE$11*12-AC16)*AE$12,0)</f>
        <v>0</v>
      </c>
      <c r="AN16" s="838">
        <f>AE$8-AJ16</f>
        <v>0</v>
      </c>
      <c r="AO16" s="840">
        <f>AG88-AG16</f>
        <v>0</v>
      </c>
      <c r="AQ16" s="837">
        <v>1</v>
      </c>
      <c r="AR16" s="838">
        <f>B16+P16+AD16</f>
        <v>0</v>
      </c>
      <c r="AS16" s="838">
        <f t="shared" ref="AS16:AS79" si="4">C16+Q16+AE16</f>
        <v>0</v>
      </c>
      <c r="AT16" s="838">
        <f t="shared" ref="AT16:AT79" si="5">D16+R16+AF16</f>
        <v>0</v>
      </c>
      <c r="AU16" s="838">
        <f t="shared" ref="AU16:AU79" si="6">E16+S16+AG16</f>
        <v>0</v>
      </c>
      <c r="AV16" s="838">
        <f t="shared" ref="AV16:AV79" si="7">F16+T16+AH16</f>
        <v>0</v>
      </c>
      <c r="AW16" s="838">
        <f t="shared" ref="AW16:AW79" si="8">G16+U16+AI16</f>
        <v>0</v>
      </c>
      <c r="AX16" s="838">
        <f t="shared" ref="AX16:AX79" si="9">H16+V16+AJ16</f>
        <v>0</v>
      </c>
      <c r="AY16" s="839">
        <f t="shared" ref="AY16:AY79" si="10">I16+W16+AK16</f>
        <v>0</v>
      </c>
      <c r="AZ16" s="839">
        <f t="shared" ref="AZ16:AZ79" si="11">J16+X16+AL16</f>
        <v>0</v>
      </c>
      <c r="BA16" s="839">
        <f t="shared" ref="BA16:BA79" si="12">K16+Y16+AM16</f>
        <v>0</v>
      </c>
      <c r="BB16" s="838">
        <f t="shared" ref="BB16:BC79" si="13">L16+Z16+AN16</f>
        <v>0</v>
      </c>
      <c r="BC16" s="840">
        <f t="shared" si="13"/>
        <v>0</v>
      </c>
      <c r="BE16" s="825">
        <f t="shared" si="2"/>
        <v>4</v>
      </c>
      <c r="BF16" s="835" t="str">
        <f>TRIBUTS!K4</f>
        <v>ABRIL</v>
      </c>
      <c r="BG16" s="831">
        <f>$AU$19</f>
        <v>0</v>
      </c>
      <c r="BH16" s="831">
        <f t="shared" si="3"/>
        <v>0</v>
      </c>
      <c r="BI16" s="831">
        <f>$AW$19</f>
        <v>0</v>
      </c>
      <c r="BJ16" s="831">
        <f t="shared" si="3"/>
        <v>0</v>
      </c>
      <c r="BK16" s="831">
        <f>$AS$19</f>
        <v>0</v>
      </c>
      <c r="BL16" s="831">
        <f>$AY$19</f>
        <v>0</v>
      </c>
      <c r="BM16" s="831">
        <f>$AZ$19</f>
        <v>0</v>
      </c>
      <c r="BN16" s="831">
        <f t="shared" si="1"/>
        <v>0</v>
      </c>
      <c r="BO16" s="831">
        <f>$BC$19</f>
        <v>0</v>
      </c>
      <c r="BR16" s="842" t="s">
        <v>272</v>
      </c>
      <c r="BS16" s="843">
        <f>$AY$16</f>
        <v>0</v>
      </c>
      <c r="BT16" s="843">
        <f>$AY$17</f>
        <v>0</v>
      </c>
      <c r="BU16" s="843">
        <f>$AY$18</f>
        <v>0</v>
      </c>
      <c r="BV16" s="843">
        <f>$AY$19</f>
        <v>0</v>
      </c>
      <c r="BW16" s="843">
        <f>$AY$20</f>
        <v>0</v>
      </c>
      <c r="BX16" s="843">
        <f>$AY$21</f>
        <v>0</v>
      </c>
      <c r="BY16" s="843">
        <f>$AY$22</f>
        <v>0</v>
      </c>
      <c r="BZ16" s="843">
        <f>$AY$23</f>
        <v>0</v>
      </c>
      <c r="CA16" s="843">
        <f>$AY$24</f>
        <v>0</v>
      </c>
      <c r="CB16" s="843">
        <f>$AY$25</f>
        <v>0</v>
      </c>
      <c r="CC16" s="843">
        <f>$AY$26</f>
        <v>0</v>
      </c>
      <c r="CD16" s="843">
        <f>$AY$27</f>
        <v>0</v>
      </c>
      <c r="CE16" s="844">
        <f>$AY$28+$AY$102</f>
        <v>0</v>
      </c>
      <c r="CF16" s="844">
        <f>$AY$29+$AY$103</f>
        <v>0</v>
      </c>
      <c r="CG16" s="844">
        <f>$AY$30+$AY$104</f>
        <v>0</v>
      </c>
      <c r="CH16" s="844">
        <f>$AY$31+$AY$105</f>
        <v>0</v>
      </c>
      <c r="CI16" s="844">
        <f>$AY$32+$AY$106</f>
        <v>0</v>
      </c>
      <c r="CJ16" s="844">
        <f>$AY$33+$AY$107</f>
        <v>0</v>
      </c>
      <c r="CK16" s="844">
        <f>$AY$34+$AY$108</f>
        <v>0</v>
      </c>
      <c r="CL16" s="844">
        <f>$AY$35+$AY$109</f>
        <v>0</v>
      </c>
      <c r="CM16" s="844">
        <f>$AY$36+$AY$110</f>
        <v>0</v>
      </c>
      <c r="CN16" s="844">
        <f>$AY$37+$AY$111</f>
        <v>0</v>
      </c>
      <c r="CO16" s="844">
        <f>$AY$38+$AY$112</f>
        <v>0</v>
      </c>
      <c r="CP16" s="844">
        <f>$AY$39+$AY$113</f>
        <v>0</v>
      </c>
      <c r="CQ16" s="845">
        <f>$AY$40+$AY$114+$AY$188</f>
        <v>0</v>
      </c>
      <c r="CR16" s="845">
        <f>$AY$41+$AY$115+$AY$189</f>
        <v>0</v>
      </c>
      <c r="CS16" s="845">
        <f>$AY$42+$AY$116+$AY$190</f>
        <v>0</v>
      </c>
      <c r="CT16" s="845">
        <f>$AY$43+$AY$117+$AY$191</f>
        <v>0</v>
      </c>
      <c r="CU16" s="845">
        <f>$AY$44+$AY$118+$AY$192</f>
        <v>0</v>
      </c>
      <c r="CV16" s="845">
        <f>$AY$45+$AY$119+$AY$193</f>
        <v>0</v>
      </c>
      <c r="CW16" s="845">
        <f>$AY$46+$AY$120+$AY$194</f>
        <v>0</v>
      </c>
      <c r="CX16" s="845">
        <f>$AY$47+$AY$121+$AY$195</f>
        <v>0</v>
      </c>
      <c r="CY16" s="845">
        <f>$AY$48+$AY$122+$AY$196</f>
        <v>0</v>
      </c>
      <c r="CZ16" s="845">
        <f>$AY$49+$AY$123+$AY$197</f>
        <v>0</v>
      </c>
      <c r="DA16" s="845">
        <f>$AY$50+$AY$124+$AY$198</f>
        <v>0</v>
      </c>
      <c r="DB16" s="845">
        <f>$AY$51+$AY$125+$AY$199</f>
        <v>0</v>
      </c>
      <c r="DC16" s="834">
        <f>$AY$52+$AY$126+$AY$200</f>
        <v>0</v>
      </c>
      <c r="DD16" s="834">
        <f>$AY$53+$AY$127+$AY$201</f>
        <v>0</v>
      </c>
      <c r="DE16" s="834">
        <f>$AY$54+$AY$128+$AY$202</f>
        <v>0</v>
      </c>
      <c r="DF16" s="834">
        <f>$AY$55+$AY$129+$AY$203</f>
        <v>0</v>
      </c>
      <c r="DG16" s="834">
        <f>$AY$56+$AY$130+$AY$204</f>
        <v>0</v>
      </c>
      <c r="DH16" s="834">
        <f>$AY$57+$AY$131+$AY$205</f>
        <v>0</v>
      </c>
      <c r="DI16" s="834">
        <f>$AY$58+$AY$132+$AY$206</f>
        <v>0</v>
      </c>
      <c r="DJ16" s="834">
        <f>$AY$59+$AY$133+$AY$207</f>
        <v>0</v>
      </c>
      <c r="DK16" s="834">
        <f>$AY$60+$AY$134+$AY$208</f>
        <v>0</v>
      </c>
      <c r="DL16" s="834">
        <f>$AY$61+$AY$135+$AY$209</f>
        <v>0</v>
      </c>
      <c r="DM16" s="834">
        <f>$AY$62+$AY$136+$AY$210</f>
        <v>0</v>
      </c>
      <c r="DN16" s="834">
        <f>$AY$63+$AY$137+$AY$211</f>
        <v>0</v>
      </c>
      <c r="DO16" s="834">
        <f>$AY$64+$AY$138+$AY$212</f>
        <v>0</v>
      </c>
      <c r="DP16" s="834">
        <f>$AY$65+$AY$139+$AY$213</f>
        <v>0</v>
      </c>
      <c r="DQ16" s="834">
        <f>$AY$66+$AY$140+$AY$214</f>
        <v>0</v>
      </c>
      <c r="DR16" s="834">
        <f>$AY$67+$AY$141+$AY$215</f>
        <v>0</v>
      </c>
      <c r="DS16" s="834">
        <f>$AY$68+$AY$142+$AY$216</f>
        <v>0</v>
      </c>
      <c r="DT16" s="834">
        <f>$AY$69+$AY$143+$AY$217</f>
        <v>0</v>
      </c>
      <c r="DU16" s="834">
        <f>$AY$70+$AY$144+$AY$218</f>
        <v>0</v>
      </c>
      <c r="DV16" s="834">
        <f>$AY$71+$AY$145+$AY$219</f>
        <v>0</v>
      </c>
      <c r="DW16" s="834">
        <f>$AY$72+$AY$146+$AY$220</f>
        <v>0</v>
      </c>
      <c r="DX16" s="834">
        <f>$AY$73+$AY$147+$AY$221</f>
        <v>0</v>
      </c>
      <c r="DY16" s="834">
        <f>$AY$74+$AY$148+$AY$222</f>
        <v>0</v>
      </c>
      <c r="DZ16" s="834">
        <f>$AY$75+$AY$149+$AY$223</f>
        <v>0</v>
      </c>
      <c r="EA16" s="834">
        <f>$AY$76+$AY$150+$AY$224</f>
        <v>0</v>
      </c>
      <c r="EB16" s="834">
        <f>$AY$77+$AY$151+$AY$225</f>
        <v>0</v>
      </c>
      <c r="EC16" s="834">
        <f>$AY$78+$AY$152+$AY$226</f>
        <v>0</v>
      </c>
      <c r="ED16" s="834">
        <f>$AY$79+$AY$153+$AY$227</f>
        <v>0</v>
      </c>
      <c r="EE16" s="834">
        <f>$AY$80+$AY$154+$AY$228</f>
        <v>0</v>
      </c>
      <c r="EF16" s="834">
        <f>$AY$81+$AY$155+$AY$229</f>
        <v>0</v>
      </c>
      <c r="EG16" s="834">
        <f>$AY$82+$AY$156+$AY$230</f>
        <v>0</v>
      </c>
      <c r="EH16" s="834">
        <f>$AY$83+$AY$157+$AY$231</f>
        <v>0</v>
      </c>
      <c r="EI16" s="834">
        <f>$AY$84+$AY$158+$AY$232</f>
        <v>0</v>
      </c>
      <c r="EJ16" s="834">
        <f>$AY$85+$AY$159+$AY$233</f>
        <v>0</v>
      </c>
      <c r="EK16" s="834">
        <f>$AY$86+$AY$160+$AY$234</f>
        <v>0</v>
      </c>
      <c r="EL16" s="834">
        <f>$AY$87+$AY$161+$AY$235</f>
        <v>0</v>
      </c>
    </row>
    <row r="17" spans="1:142" ht="13" x14ac:dyDescent="0.25">
      <c r="A17" s="846">
        <f>A16+1</f>
        <v>2</v>
      </c>
      <c r="B17" s="847">
        <f>B16+G17+E17</f>
        <v>0</v>
      </c>
      <c r="C17" s="847">
        <f>C16</f>
        <v>0</v>
      </c>
      <c r="D17" s="847">
        <f>C17+D16</f>
        <v>0</v>
      </c>
      <c r="E17" s="847">
        <f t="shared" ref="E17:E48" si="14">L16*C$9/12</f>
        <v>0</v>
      </c>
      <c r="F17" s="847">
        <f>E17+F16</f>
        <v>0</v>
      </c>
      <c r="G17" s="847">
        <f>C12-E17</f>
        <v>0</v>
      </c>
      <c r="H17" s="847">
        <f>G17+H16</f>
        <v>0</v>
      </c>
      <c r="I17" s="839">
        <f t="shared" ref="I17:I80" si="15">IF(H17=0,0,SUM(G18:G29)+SUM(E18:E29))</f>
        <v>0</v>
      </c>
      <c r="J17" s="839">
        <f t="shared" ref="J17:J80" si="16">IF(K17&gt;I17,K17-I17,0)</f>
        <v>0</v>
      </c>
      <c r="K17" s="839">
        <f t="shared" ref="K17:K80" si="17">IF(C$11*12&gt;A17,(C$11*12-A17)*C$12,0)</f>
        <v>0</v>
      </c>
      <c r="L17" s="847">
        <f>C$8-H17</f>
        <v>0</v>
      </c>
      <c r="M17" s="848">
        <f>M16-E17</f>
        <v>0</v>
      </c>
      <c r="N17" s="841"/>
      <c r="O17" s="846">
        <f>O16+1</f>
        <v>2</v>
      </c>
      <c r="P17" s="847">
        <f>P16+U17+S17</f>
        <v>0</v>
      </c>
      <c r="Q17" s="847">
        <f>Q16</f>
        <v>0</v>
      </c>
      <c r="R17" s="847">
        <f>Q17+R16</f>
        <v>0</v>
      </c>
      <c r="S17" s="847">
        <f t="shared" ref="S17:S48" si="18">Z16*Q$9/12</f>
        <v>0</v>
      </c>
      <c r="T17" s="847">
        <f>S17+T16</f>
        <v>0</v>
      </c>
      <c r="U17" s="847">
        <f>Q12-S17</f>
        <v>0</v>
      </c>
      <c r="V17" s="847">
        <f>U17+V16</f>
        <v>0</v>
      </c>
      <c r="W17" s="839">
        <f t="shared" ref="W17:W80" si="19">IF(V17=0,0,SUM(U18:U29)+SUM(S18:S29))</f>
        <v>0</v>
      </c>
      <c r="X17" s="839">
        <f t="shared" ref="X17:X80" si="20">IF(Y17&gt;W17,Y17-W17,0)</f>
        <v>0</v>
      </c>
      <c r="Y17" s="839">
        <f t="shared" ref="Y17:Y80" si="21">IF(Q$11*12&gt;O17,(Q$11*12-O17)*Q$12,0)</f>
        <v>0</v>
      </c>
      <c r="Z17" s="847">
        <f>Q$8-V17</f>
        <v>0</v>
      </c>
      <c r="AA17" s="848">
        <f>AA16-S17</f>
        <v>0</v>
      </c>
      <c r="AB17" s="841"/>
      <c r="AC17" s="846">
        <f>AC16+1</f>
        <v>2</v>
      </c>
      <c r="AD17" s="847">
        <f>AD16+AI17+AG17</f>
        <v>0</v>
      </c>
      <c r="AE17" s="847">
        <f>AE16</f>
        <v>0</v>
      </c>
      <c r="AF17" s="847">
        <f>AE17+AF16</f>
        <v>0</v>
      </c>
      <c r="AG17" s="847">
        <f t="shared" ref="AG17:AG48" si="22">AN16*AE$9/12</f>
        <v>0</v>
      </c>
      <c r="AH17" s="847">
        <f>AG17+AH16</f>
        <v>0</v>
      </c>
      <c r="AI17" s="847">
        <f>AE12-AG17</f>
        <v>0</v>
      </c>
      <c r="AJ17" s="847">
        <f>AI17+AJ16</f>
        <v>0</v>
      </c>
      <c r="AK17" s="839">
        <f t="shared" ref="AK17:AK80" si="23">IF(AJ17=0,0,SUM(AI18:AI29)+SUM(AG18:AG29))</f>
        <v>0</v>
      </c>
      <c r="AL17" s="839">
        <f t="shared" ref="AL17:AL80" si="24">IF(AM17&gt;AK17,AM17-AK17,0)</f>
        <v>0</v>
      </c>
      <c r="AM17" s="839">
        <f t="shared" ref="AM17:AM80" si="25">IF(AE$11*12&gt;AC17,(AE$11*12-AC17)*AE$12,0)</f>
        <v>0</v>
      </c>
      <c r="AN17" s="847">
        <f>AE$8-AJ17</f>
        <v>0</v>
      </c>
      <c r="AO17" s="848">
        <f>AO16-AG17</f>
        <v>0</v>
      </c>
      <c r="AQ17" s="846">
        <f>AQ16+1</f>
        <v>2</v>
      </c>
      <c r="AR17" s="847">
        <f t="shared" ref="AR17:AR80" si="26">B17+P17+AD17</f>
        <v>0</v>
      </c>
      <c r="AS17" s="847">
        <f t="shared" si="4"/>
        <v>0</v>
      </c>
      <c r="AT17" s="847">
        <f t="shared" si="5"/>
        <v>0</v>
      </c>
      <c r="AU17" s="847">
        <f t="shared" si="6"/>
        <v>0</v>
      </c>
      <c r="AV17" s="847">
        <f t="shared" si="7"/>
        <v>0</v>
      </c>
      <c r="AW17" s="847">
        <f t="shared" si="8"/>
        <v>0</v>
      </c>
      <c r="AX17" s="847">
        <f t="shared" si="9"/>
        <v>0</v>
      </c>
      <c r="AY17" s="839">
        <f t="shared" si="10"/>
        <v>0</v>
      </c>
      <c r="AZ17" s="839">
        <f t="shared" si="11"/>
        <v>0</v>
      </c>
      <c r="BA17" s="839">
        <f t="shared" si="12"/>
        <v>0</v>
      </c>
      <c r="BB17" s="847">
        <f t="shared" si="13"/>
        <v>0</v>
      </c>
      <c r="BC17" s="848">
        <f t="shared" si="13"/>
        <v>0</v>
      </c>
      <c r="BE17" s="825">
        <f t="shared" si="2"/>
        <v>5</v>
      </c>
      <c r="BF17" s="835" t="str">
        <f>TRIBUTS!K5</f>
        <v>MAIG</v>
      </c>
      <c r="BG17" s="831">
        <f>$AU$20</f>
        <v>0</v>
      </c>
      <c r="BH17" s="831">
        <f t="shared" si="3"/>
        <v>0</v>
      </c>
      <c r="BI17" s="831">
        <f>$AW$20</f>
        <v>0</v>
      </c>
      <c r="BJ17" s="831">
        <f t="shared" si="3"/>
        <v>0</v>
      </c>
      <c r="BK17" s="831">
        <f>$AS$20</f>
        <v>0</v>
      </c>
      <c r="BL17" s="831">
        <f>$AY$20</f>
        <v>0</v>
      </c>
      <c r="BM17" s="831">
        <f>$AZ$20</f>
        <v>0</v>
      </c>
      <c r="BN17" s="831">
        <f t="shared" si="1"/>
        <v>0</v>
      </c>
      <c r="BO17" s="831">
        <f>$BC$20</f>
        <v>0</v>
      </c>
      <c r="BR17" s="842" t="s">
        <v>273</v>
      </c>
      <c r="BS17" s="843">
        <f>$AZ$16</f>
        <v>0</v>
      </c>
      <c r="BT17" s="843">
        <f>$AZ$17</f>
        <v>0</v>
      </c>
      <c r="BU17" s="843">
        <f>$AZ$18</f>
        <v>0</v>
      </c>
      <c r="BV17" s="843">
        <f>$AZ$19</f>
        <v>0</v>
      </c>
      <c r="BW17" s="843">
        <f>$AZ$20</f>
        <v>0</v>
      </c>
      <c r="BX17" s="843">
        <f>$AZ$21</f>
        <v>0</v>
      </c>
      <c r="BY17" s="843">
        <f>$AZ$22</f>
        <v>0</v>
      </c>
      <c r="BZ17" s="843">
        <f>$AZ$23</f>
        <v>0</v>
      </c>
      <c r="CA17" s="843">
        <f>$AZ$24</f>
        <v>0</v>
      </c>
      <c r="CB17" s="843">
        <f>$AZ$25</f>
        <v>0</v>
      </c>
      <c r="CC17" s="843">
        <f>$AZ$26</f>
        <v>0</v>
      </c>
      <c r="CD17" s="843">
        <f>$AZ$27</f>
        <v>0</v>
      </c>
      <c r="CE17" s="844">
        <f>$AZ$28+$AZ$102</f>
        <v>0</v>
      </c>
      <c r="CF17" s="844">
        <f>$AZ$29+$AZ$103</f>
        <v>0</v>
      </c>
      <c r="CG17" s="844">
        <f>$AZ$30+$AZ$104</f>
        <v>0</v>
      </c>
      <c r="CH17" s="844">
        <f>$AZ$31+$AZ$105</f>
        <v>0</v>
      </c>
      <c r="CI17" s="844">
        <f>$AZ$32+$AZ$106</f>
        <v>0</v>
      </c>
      <c r="CJ17" s="844">
        <f>$AZ$33+$AZ$107</f>
        <v>0</v>
      </c>
      <c r="CK17" s="844">
        <f>$AZ$34+$AZ$108</f>
        <v>0</v>
      </c>
      <c r="CL17" s="844">
        <f>$AZ$35+$AZ$109</f>
        <v>0</v>
      </c>
      <c r="CM17" s="844">
        <f>$AZ$36+$AZ$110</f>
        <v>0</v>
      </c>
      <c r="CN17" s="844">
        <f>$AZ$37+$AZ$111</f>
        <v>0</v>
      </c>
      <c r="CO17" s="844">
        <f>$AZ$38+$AZ$112</f>
        <v>0</v>
      </c>
      <c r="CP17" s="844">
        <f>$AZ$39+$AZ$113</f>
        <v>0</v>
      </c>
      <c r="CQ17" s="845">
        <f>$AZ$40+$AZ$114+$AZ$188</f>
        <v>0</v>
      </c>
      <c r="CR17" s="845">
        <f>$AZ$41+$AZ$115+$AZ$189</f>
        <v>0</v>
      </c>
      <c r="CS17" s="845">
        <f>$AZ$42+$AZ$116+$AZ$190</f>
        <v>0</v>
      </c>
      <c r="CT17" s="845">
        <f>$AZ$43+$AZ$117+$AZ$191</f>
        <v>0</v>
      </c>
      <c r="CU17" s="845">
        <f>$AZ$44+$AZ$118+$AZ$192</f>
        <v>0</v>
      </c>
      <c r="CV17" s="845">
        <f>$AZ$45+$AZ$119+$AZ$193</f>
        <v>0</v>
      </c>
      <c r="CW17" s="845">
        <f>$AZ$46+$AZ$120+$AZ$194</f>
        <v>0</v>
      </c>
      <c r="CX17" s="845">
        <f>$AZ$47+$AZ$121+$AZ$195</f>
        <v>0</v>
      </c>
      <c r="CY17" s="845">
        <f>$AZ$48+$AZ$122+$AZ$196</f>
        <v>0</v>
      </c>
      <c r="CZ17" s="845">
        <f>$AZ$49+$AZ$123+$AZ$197</f>
        <v>0</v>
      </c>
      <c r="DA17" s="845">
        <f>$AZ$50+$AZ$124+$AZ$198</f>
        <v>0</v>
      </c>
      <c r="DB17" s="845">
        <f>$AZ$51+$AZ$125+$AZ$199</f>
        <v>0</v>
      </c>
      <c r="DC17" s="834">
        <f>$AZ$52+$AZ$126+$AZ$200</f>
        <v>0</v>
      </c>
      <c r="DD17" s="834">
        <f>$AZ$53+$AZ$127+$AZ$201</f>
        <v>0</v>
      </c>
      <c r="DE17" s="834">
        <f>$AZ$54+$AZ$128+$AZ$202</f>
        <v>0</v>
      </c>
      <c r="DF17" s="834">
        <f>$AZ$55+$AZ$129+$AZ$203</f>
        <v>0</v>
      </c>
      <c r="DG17" s="834">
        <f>$AZ$56+$AZ$130+$AZ$204</f>
        <v>0</v>
      </c>
      <c r="DH17" s="834">
        <f>$AZ$57+$AZ$131+$AZ$205</f>
        <v>0</v>
      </c>
      <c r="DI17" s="834">
        <f>$AZ$58+$AZ$132+$AZ$206</f>
        <v>0</v>
      </c>
      <c r="DJ17" s="834">
        <f>$AZ$59+$AZ$133+$AZ$207</f>
        <v>0</v>
      </c>
      <c r="DK17" s="834">
        <f>$AZ$60+$AZ$134+$AZ$208</f>
        <v>0</v>
      </c>
      <c r="DL17" s="834">
        <f>$AZ$61+$AZ$135+$AZ$209</f>
        <v>0</v>
      </c>
      <c r="DM17" s="834">
        <f>$AZ$62+$AZ$136+$AZ$210</f>
        <v>0</v>
      </c>
      <c r="DN17" s="834">
        <f>$AZ$63+$AZ$137+$AZ$211</f>
        <v>0</v>
      </c>
      <c r="DO17" s="834">
        <f>$AZ$64+$AZ$138+$AZ$212</f>
        <v>0</v>
      </c>
      <c r="DP17" s="834">
        <f>$AZ$65+$AZ$139+$AZ$213</f>
        <v>0</v>
      </c>
      <c r="DQ17" s="834">
        <f>$AZ$66+$AZ$140+$AZ$214</f>
        <v>0</v>
      </c>
      <c r="DR17" s="834">
        <f>$AZ$67+$AZ$141+$AZ$215</f>
        <v>0</v>
      </c>
      <c r="DS17" s="834">
        <f>$AZ$68+$AZ$142+$AZ$216</f>
        <v>0</v>
      </c>
      <c r="DT17" s="834">
        <f>$AZ$69+$AZ$143+$AZ$217</f>
        <v>0</v>
      </c>
      <c r="DU17" s="834">
        <f>$AZ$70+$AZ$144+$AZ$218</f>
        <v>0</v>
      </c>
      <c r="DV17" s="834">
        <f>$AZ$71+$AZ$145+$AZ$219</f>
        <v>0</v>
      </c>
      <c r="DW17" s="834">
        <f>$AZ$72+$AZ$146+$AZ$220</f>
        <v>0</v>
      </c>
      <c r="DX17" s="834">
        <f>$AZ$73+$AZ$147+$AZ$221</f>
        <v>0</v>
      </c>
      <c r="DY17" s="834">
        <f>$AZ$74+$AZ$148+$AZ$222</f>
        <v>0</v>
      </c>
      <c r="DZ17" s="834">
        <f>$AZ$75+$AZ$149+$AZ$223</f>
        <v>0</v>
      </c>
      <c r="EA17" s="834">
        <f>$AZ$76+$AZ$150+$AZ$224</f>
        <v>0</v>
      </c>
      <c r="EB17" s="834">
        <f>$AZ$77+$AZ$151+$AZ$225</f>
        <v>0</v>
      </c>
      <c r="EC17" s="834">
        <f>$AZ$78+$AZ$152+$AZ$226</f>
        <v>0</v>
      </c>
      <c r="ED17" s="834">
        <f>$AZ$79+$AZ$153+$AZ$227</f>
        <v>0</v>
      </c>
      <c r="EE17" s="834">
        <f>$AZ$80+$AZ$154+$AZ$228</f>
        <v>0</v>
      </c>
      <c r="EF17" s="834">
        <f>$AZ$81+$AZ$155+$AZ$229</f>
        <v>0</v>
      </c>
      <c r="EG17" s="834">
        <f>$AZ$82+$AZ$156+$AZ$230</f>
        <v>0</v>
      </c>
      <c r="EH17" s="834">
        <f>$AZ$83+$AZ$157+$AZ$231</f>
        <v>0</v>
      </c>
      <c r="EI17" s="834">
        <f>$AZ$84+$AZ$158+$AZ$232</f>
        <v>0</v>
      </c>
      <c r="EJ17" s="834">
        <f>$AZ$85+$AZ$159+$AZ$233</f>
        <v>0</v>
      </c>
      <c r="EK17" s="834">
        <f>$AZ$86+$AZ$160+$AZ$234</f>
        <v>0</v>
      </c>
      <c r="EL17" s="834">
        <f>$AZ$87+$AZ$161+$AZ$235</f>
        <v>0</v>
      </c>
    </row>
    <row r="18" spans="1:142" ht="13" x14ac:dyDescent="0.25">
      <c r="A18" s="846">
        <f t="shared" ref="A18:A81" si="27">A17+1</f>
        <v>3</v>
      </c>
      <c r="B18" s="847">
        <f>B17+G18+E18</f>
        <v>0</v>
      </c>
      <c r="C18" s="847">
        <f t="shared" ref="C18:C51" si="28">IF(AND(B18=0,G18=0),0,C17)</f>
        <v>0</v>
      </c>
      <c r="D18" s="847">
        <f t="shared" ref="D18:D51" si="29">IF(C18=0,0,C18+D17)</f>
        <v>0</v>
      </c>
      <c r="E18" s="847">
        <f t="shared" si="14"/>
        <v>0</v>
      </c>
      <c r="F18" s="847">
        <f>E18+F17</f>
        <v>0</v>
      </c>
      <c r="G18" s="847">
        <f t="shared" ref="G18:G49" si="30">IF(ABS(C$8-H17)&lt;1,0,G17*(1+C$9/12))</f>
        <v>0</v>
      </c>
      <c r="H18" s="847">
        <f>G18+H17</f>
        <v>0</v>
      </c>
      <c r="I18" s="839">
        <f t="shared" si="15"/>
        <v>0</v>
      </c>
      <c r="J18" s="839">
        <f t="shared" si="16"/>
        <v>0</v>
      </c>
      <c r="K18" s="839">
        <f t="shared" si="17"/>
        <v>0</v>
      </c>
      <c r="L18" s="847">
        <f>C$8-H18</f>
        <v>0</v>
      </c>
      <c r="M18" s="848">
        <f t="shared" ref="M18:M81" si="31">M17-E18</f>
        <v>0</v>
      </c>
      <c r="N18" s="841"/>
      <c r="O18" s="846">
        <f t="shared" ref="O18:O81" si="32">O17+1</f>
        <v>3</v>
      </c>
      <c r="P18" s="847">
        <f>P17+U18+S18</f>
        <v>0</v>
      </c>
      <c r="Q18" s="847">
        <f t="shared" ref="Q18:Q51" si="33">IF(AND(P18=0,U18=0),0,Q17)</f>
        <v>0</v>
      </c>
      <c r="R18" s="847">
        <f t="shared" ref="R18:R51" si="34">IF(Q18=0,0,Q18+R17)</f>
        <v>0</v>
      </c>
      <c r="S18" s="847">
        <f t="shared" si="18"/>
        <v>0</v>
      </c>
      <c r="T18" s="847">
        <f>S18+T17</f>
        <v>0</v>
      </c>
      <c r="U18" s="847">
        <f t="shared" ref="U18:U49" si="35">IF(ABS(Q$8-V17)&lt;1,0,U17*(1+Q$9/12))</f>
        <v>0</v>
      </c>
      <c r="V18" s="847">
        <f>U18+V17</f>
        <v>0</v>
      </c>
      <c r="W18" s="839">
        <f t="shared" si="19"/>
        <v>0</v>
      </c>
      <c r="X18" s="839">
        <f t="shared" si="20"/>
        <v>0</v>
      </c>
      <c r="Y18" s="839">
        <f t="shared" si="21"/>
        <v>0</v>
      </c>
      <c r="Z18" s="847">
        <f>Q$8-V18</f>
        <v>0</v>
      </c>
      <c r="AA18" s="848">
        <f t="shared" ref="AA18:AA68" si="36">AA17-S18</f>
        <v>0</v>
      </c>
      <c r="AB18" s="841"/>
      <c r="AC18" s="846">
        <f t="shared" ref="AC18:AC81" si="37">AC17+1</f>
        <v>3</v>
      </c>
      <c r="AD18" s="847">
        <f>AD17+AI18+AG18</f>
        <v>0</v>
      </c>
      <c r="AE18" s="847">
        <f t="shared" ref="AE18:AE51" si="38">IF(AND(AD18=0,AI18=0),0,AE17)</f>
        <v>0</v>
      </c>
      <c r="AF18" s="847">
        <f t="shared" ref="AF18:AF51" si="39">IF(AE18=0,0,AE18+AF17)</f>
        <v>0</v>
      </c>
      <c r="AG18" s="847">
        <f t="shared" si="22"/>
        <v>0</v>
      </c>
      <c r="AH18" s="847">
        <f>AG18+AH17</f>
        <v>0</v>
      </c>
      <c r="AI18" s="847">
        <f t="shared" ref="AI18:AI49" si="40">IF(ABS(AE$8-AJ17)&lt;1,0,AI17*(1+AE$9/12))</f>
        <v>0</v>
      </c>
      <c r="AJ18" s="847">
        <f>AI18+AJ17</f>
        <v>0</v>
      </c>
      <c r="AK18" s="839">
        <f t="shared" si="23"/>
        <v>0</v>
      </c>
      <c r="AL18" s="839">
        <f t="shared" si="24"/>
        <v>0</v>
      </c>
      <c r="AM18" s="839">
        <f t="shared" si="25"/>
        <v>0</v>
      </c>
      <c r="AN18" s="847">
        <f>AE$8-AJ18</f>
        <v>0</v>
      </c>
      <c r="AO18" s="848">
        <f t="shared" ref="AO18:AO68" si="41">AO17-AG18</f>
        <v>0</v>
      </c>
      <c r="AQ18" s="846">
        <f t="shared" ref="AQ18:AQ81" si="42">AQ17+1</f>
        <v>3</v>
      </c>
      <c r="AR18" s="847">
        <f t="shared" si="26"/>
        <v>0</v>
      </c>
      <c r="AS18" s="847">
        <f t="shared" si="4"/>
        <v>0</v>
      </c>
      <c r="AT18" s="847">
        <f t="shared" si="5"/>
        <v>0</v>
      </c>
      <c r="AU18" s="847">
        <f t="shared" si="6"/>
        <v>0</v>
      </c>
      <c r="AV18" s="847">
        <f t="shared" si="7"/>
        <v>0</v>
      </c>
      <c r="AW18" s="847">
        <f t="shared" si="8"/>
        <v>0</v>
      </c>
      <c r="AX18" s="847">
        <f t="shared" si="9"/>
        <v>0</v>
      </c>
      <c r="AY18" s="839">
        <f t="shared" si="10"/>
        <v>0</v>
      </c>
      <c r="AZ18" s="839">
        <f t="shared" si="11"/>
        <v>0</v>
      </c>
      <c r="BA18" s="839">
        <f t="shared" si="12"/>
        <v>0</v>
      </c>
      <c r="BB18" s="847">
        <f t="shared" si="13"/>
        <v>0</v>
      </c>
      <c r="BC18" s="848">
        <f t="shared" si="13"/>
        <v>0</v>
      </c>
      <c r="BE18" s="825">
        <f t="shared" si="2"/>
        <v>6</v>
      </c>
      <c r="BF18" s="835" t="str">
        <f>TRIBUTS!K6</f>
        <v>JUNY</v>
      </c>
      <c r="BG18" s="831">
        <f>$AU$21</f>
        <v>0</v>
      </c>
      <c r="BH18" s="831">
        <f t="shared" si="3"/>
        <v>0</v>
      </c>
      <c r="BI18" s="831">
        <f>$AW$21</f>
        <v>0</v>
      </c>
      <c r="BJ18" s="831">
        <f t="shared" si="3"/>
        <v>0</v>
      </c>
      <c r="BK18" s="831">
        <f>$AS$21</f>
        <v>0</v>
      </c>
      <c r="BL18" s="831">
        <f>$AY$21</f>
        <v>0</v>
      </c>
      <c r="BM18" s="831">
        <f>$AZ$21</f>
        <v>0</v>
      </c>
      <c r="BN18" s="831">
        <f t="shared" si="1"/>
        <v>0</v>
      </c>
      <c r="BO18" s="831">
        <f>$BC$21</f>
        <v>0</v>
      </c>
      <c r="BR18" s="842" t="s">
        <v>289</v>
      </c>
      <c r="BS18" s="843">
        <f>BS17+BS16</f>
        <v>0</v>
      </c>
      <c r="BT18" s="843">
        <f t="shared" ref="BT18:EE18" si="43">BT17+BT16</f>
        <v>0</v>
      </c>
      <c r="BU18" s="843">
        <f t="shared" si="43"/>
        <v>0</v>
      </c>
      <c r="BV18" s="843">
        <f t="shared" si="43"/>
        <v>0</v>
      </c>
      <c r="BW18" s="843">
        <f t="shared" si="43"/>
        <v>0</v>
      </c>
      <c r="BX18" s="843">
        <f t="shared" si="43"/>
        <v>0</v>
      </c>
      <c r="BY18" s="843">
        <f t="shared" si="43"/>
        <v>0</v>
      </c>
      <c r="BZ18" s="843">
        <f t="shared" si="43"/>
        <v>0</v>
      </c>
      <c r="CA18" s="843">
        <f t="shared" si="43"/>
        <v>0</v>
      </c>
      <c r="CB18" s="843">
        <f t="shared" si="43"/>
        <v>0</v>
      </c>
      <c r="CC18" s="843">
        <f t="shared" si="43"/>
        <v>0</v>
      </c>
      <c r="CD18" s="843">
        <f t="shared" si="43"/>
        <v>0</v>
      </c>
      <c r="CE18" s="844">
        <f t="shared" si="43"/>
        <v>0</v>
      </c>
      <c r="CF18" s="844">
        <f t="shared" si="43"/>
        <v>0</v>
      </c>
      <c r="CG18" s="844">
        <f t="shared" si="43"/>
        <v>0</v>
      </c>
      <c r="CH18" s="844">
        <f t="shared" si="43"/>
        <v>0</v>
      </c>
      <c r="CI18" s="844">
        <f t="shared" si="43"/>
        <v>0</v>
      </c>
      <c r="CJ18" s="844">
        <f t="shared" si="43"/>
        <v>0</v>
      </c>
      <c r="CK18" s="844">
        <f t="shared" si="43"/>
        <v>0</v>
      </c>
      <c r="CL18" s="844">
        <f t="shared" si="43"/>
        <v>0</v>
      </c>
      <c r="CM18" s="844">
        <f t="shared" si="43"/>
        <v>0</v>
      </c>
      <c r="CN18" s="844">
        <f t="shared" si="43"/>
        <v>0</v>
      </c>
      <c r="CO18" s="844">
        <f t="shared" si="43"/>
        <v>0</v>
      </c>
      <c r="CP18" s="844">
        <f t="shared" si="43"/>
        <v>0</v>
      </c>
      <c r="CQ18" s="845">
        <f t="shared" si="43"/>
        <v>0</v>
      </c>
      <c r="CR18" s="845">
        <f t="shared" si="43"/>
        <v>0</v>
      </c>
      <c r="CS18" s="845">
        <f t="shared" si="43"/>
        <v>0</v>
      </c>
      <c r="CT18" s="845">
        <f t="shared" si="43"/>
        <v>0</v>
      </c>
      <c r="CU18" s="845">
        <f t="shared" si="43"/>
        <v>0</v>
      </c>
      <c r="CV18" s="845">
        <f t="shared" si="43"/>
        <v>0</v>
      </c>
      <c r="CW18" s="845">
        <f t="shared" si="43"/>
        <v>0</v>
      </c>
      <c r="CX18" s="845">
        <f t="shared" si="43"/>
        <v>0</v>
      </c>
      <c r="CY18" s="845">
        <f t="shared" si="43"/>
        <v>0</v>
      </c>
      <c r="CZ18" s="845">
        <f t="shared" si="43"/>
        <v>0</v>
      </c>
      <c r="DA18" s="845">
        <f t="shared" si="43"/>
        <v>0</v>
      </c>
      <c r="DB18" s="845">
        <f t="shared" si="43"/>
        <v>0</v>
      </c>
      <c r="DC18" s="834">
        <f t="shared" si="43"/>
        <v>0</v>
      </c>
      <c r="DD18" s="834">
        <f t="shared" si="43"/>
        <v>0</v>
      </c>
      <c r="DE18" s="834">
        <f t="shared" si="43"/>
        <v>0</v>
      </c>
      <c r="DF18" s="834">
        <f t="shared" si="43"/>
        <v>0</v>
      </c>
      <c r="DG18" s="834">
        <f t="shared" si="43"/>
        <v>0</v>
      </c>
      <c r="DH18" s="834">
        <f t="shared" si="43"/>
        <v>0</v>
      </c>
      <c r="DI18" s="834">
        <f t="shared" si="43"/>
        <v>0</v>
      </c>
      <c r="DJ18" s="834">
        <f t="shared" si="43"/>
        <v>0</v>
      </c>
      <c r="DK18" s="834">
        <f t="shared" si="43"/>
        <v>0</v>
      </c>
      <c r="DL18" s="834">
        <f t="shared" si="43"/>
        <v>0</v>
      </c>
      <c r="DM18" s="834">
        <f t="shared" si="43"/>
        <v>0</v>
      </c>
      <c r="DN18" s="834">
        <f t="shared" si="43"/>
        <v>0</v>
      </c>
      <c r="DO18" s="834">
        <f t="shared" si="43"/>
        <v>0</v>
      </c>
      <c r="DP18" s="834">
        <f t="shared" si="43"/>
        <v>0</v>
      </c>
      <c r="DQ18" s="834">
        <f t="shared" si="43"/>
        <v>0</v>
      </c>
      <c r="DR18" s="834">
        <f t="shared" si="43"/>
        <v>0</v>
      </c>
      <c r="DS18" s="834">
        <f t="shared" si="43"/>
        <v>0</v>
      </c>
      <c r="DT18" s="834">
        <f t="shared" si="43"/>
        <v>0</v>
      </c>
      <c r="DU18" s="834">
        <f t="shared" si="43"/>
        <v>0</v>
      </c>
      <c r="DV18" s="834">
        <f t="shared" si="43"/>
        <v>0</v>
      </c>
      <c r="DW18" s="834">
        <f t="shared" si="43"/>
        <v>0</v>
      </c>
      <c r="DX18" s="834">
        <f t="shared" si="43"/>
        <v>0</v>
      </c>
      <c r="DY18" s="834">
        <f t="shared" si="43"/>
        <v>0</v>
      </c>
      <c r="DZ18" s="834">
        <f t="shared" si="43"/>
        <v>0</v>
      </c>
      <c r="EA18" s="834">
        <f t="shared" si="43"/>
        <v>0</v>
      </c>
      <c r="EB18" s="834">
        <f t="shared" si="43"/>
        <v>0</v>
      </c>
      <c r="EC18" s="834">
        <f t="shared" si="43"/>
        <v>0</v>
      </c>
      <c r="ED18" s="834">
        <f t="shared" si="43"/>
        <v>0</v>
      </c>
      <c r="EE18" s="834">
        <f t="shared" si="43"/>
        <v>0</v>
      </c>
      <c r="EF18" s="834">
        <f t="shared" ref="EF18:EL18" si="44">EF17+EF16</f>
        <v>0</v>
      </c>
      <c r="EG18" s="834">
        <f t="shared" si="44"/>
        <v>0</v>
      </c>
      <c r="EH18" s="834">
        <f t="shared" si="44"/>
        <v>0</v>
      </c>
      <c r="EI18" s="834">
        <f t="shared" si="44"/>
        <v>0</v>
      </c>
      <c r="EJ18" s="834">
        <f t="shared" si="44"/>
        <v>0</v>
      </c>
      <c r="EK18" s="834">
        <f t="shared" si="44"/>
        <v>0</v>
      </c>
      <c r="EL18" s="834">
        <f t="shared" si="44"/>
        <v>0</v>
      </c>
    </row>
    <row r="19" spans="1:142" x14ac:dyDescent="0.25">
      <c r="A19" s="846">
        <f t="shared" si="27"/>
        <v>4</v>
      </c>
      <c r="B19" s="847">
        <f>B18+G19+E19</f>
        <v>0</v>
      </c>
      <c r="C19" s="847">
        <f t="shared" si="28"/>
        <v>0</v>
      </c>
      <c r="D19" s="847">
        <f t="shared" si="29"/>
        <v>0</v>
      </c>
      <c r="E19" s="847">
        <f t="shared" si="14"/>
        <v>0</v>
      </c>
      <c r="F19" s="847">
        <f>E19+F18</f>
        <v>0</v>
      </c>
      <c r="G19" s="847">
        <f t="shared" si="30"/>
        <v>0</v>
      </c>
      <c r="H19" s="847">
        <f>G19+H18</f>
        <v>0</v>
      </c>
      <c r="I19" s="839">
        <f t="shared" si="15"/>
        <v>0</v>
      </c>
      <c r="J19" s="839">
        <f t="shared" si="16"/>
        <v>0</v>
      </c>
      <c r="K19" s="839">
        <f t="shared" si="17"/>
        <v>0</v>
      </c>
      <c r="L19" s="847">
        <f>C$8-H19</f>
        <v>0</v>
      </c>
      <c r="M19" s="848">
        <f t="shared" si="31"/>
        <v>0</v>
      </c>
      <c r="N19" s="841"/>
      <c r="O19" s="846">
        <f t="shared" si="32"/>
        <v>4</v>
      </c>
      <c r="P19" s="847">
        <f>P18+U19+S19</f>
        <v>0</v>
      </c>
      <c r="Q19" s="847">
        <f t="shared" si="33"/>
        <v>0</v>
      </c>
      <c r="R19" s="847">
        <f t="shared" si="34"/>
        <v>0</v>
      </c>
      <c r="S19" s="847">
        <f t="shared" si="18"/>
        <v>0</v>
      </c>
      <c r="T19" s="847">
        <f>S19+T18</f>
        <v>0</v>
      </c>
      <c r="U19" s="847">
        <f t="shared" si="35"/>
        <v>0</v>
      </c>
      <c r="V19" s="847">
        <f>U19+V18</f>
        <v>0</v>
      </c>
      <c r="W19" s="839">
        <f t="shared" si="19"/>
        <v>0</v>
      </c>
      <c r="X19" s="839">
        <f t="shared" si="20"/>
        <v>0</v>
      </c>
      <c r="Y19" s="839">
        <f t="shared" si="21"/>
        <v>0</v>
      </c>
      <c r="Z19" s="847">
        <f>Q$8-V19</f>
        <v>0</v>
      </c>
      <c r="AA19" s="848">
        <f t="shared" si="36"/>
        <v>0</v>
      </c>
      <c r="AB19" s="841"/>
      <c r="AC19" s="846">
        <f t="shared" si="37"/>
        <v>4</v>
      </c>
      <c r="AD19" s="847">
        <f>AD18+AI19+AG19</f>
        <v>0</v>
      </c>
      <c r="AE19" s="847">
        <f t="shared" si="38"/>
        <v>0</v>
      </c>
      <c r="AF19" s="847">
        <f t="shared" si="39"/>
        <v>0</v>
      </c>
      <c r="AG19" s="847">
        <f t="shared" si="22"/>
        <v>0</v>
      </c>
      <c r="AH19" s="847">
        <f>AG19+AH18</f>
        <v>0</v>
      </c>
      <c r="AI19" s="847">
        <f t="shared" si="40"/>
        <v>0</v>
      </c>
      <c r="AJ19" s="847">
        <f>AI19+AJ18</f>
        <v>0</v>
      </c>
      <c r="AK19" s="839">
        <f t="shared" si="23"/>
        <v>0</v>
      </c>
      <c r="AL19" s="839">
        <f t="shared" si="24"/>
        <v>0</v>
      </c>
      <c r="AM19" s="839">
        <f t="shared" si="25"/>
        <v>0</v>
      </c>
      <c r="AN19" s="847">
        <f>AE$8-AJ19</f>
        <v>0</v>
      </c>
      <c r="AO19" s="848">
        <f t="shared" si="41"/>
        <v>0</v>
      </c>
      <c r="AQ19" s="846">
        <f t="shared" si="42"/>
        <v>4</v>
      </c>
      <c r="AR19" s="847">
        <f t="shared" si="26"/>
        <v>0</v>
      </c>
      <c r="AS19" s="847">
        <f t="shared" si="4"/>
        <v>0</v>
      </c>
      <c r="AT19" s="847">
        <f t="shared" si="5"/>
        <v>0</v>
      </c>
      <c r="AU19" s="847">
        <f t="shared" si="6"/>
        <v>0</v>
      </c>
      <c r="AV19" s="847">
        <f t="shared" si="7"/>
        <v>0</v>
      </c>
      <c r="AW19" s="847">
        <f t="shared" si="8"/>
        <v>0</v>
      </c>
      <c r="AX19" s="847">
        <f t="shared" si="9"/>
        <v>0</v>
      </c>
      <c r="AY19" s="839">
        <f t="shared" si="10"/>
        <v>0</v>
      </c>
      <c r="AZ19" s="839">
        <f t="shared" si="11"/>
        <v>0</v>
      </c>
      <c r="BA19" s="839">
        <f t="shared" si="12"/>
        <v>0</v>
      </c>
      <c r="BB19" s="847">
        <f t="shared" si="13"/>
        <v>0</v>
      </c>
      <c r="BC19" s="848">
        <f t="shared" si="13"/>
        <v>0</v>
      </c>
      <c r="BE19" s="825">
        <f t="shared" si="2"/>
        <v>7</v>
      </c>
      <c r="BF19" s="835" t="str">
        <f>TRIBUTS!K7</f>
        <v>JULIOL</v>
      </c>
      <c r="BG19" s="831">
        <f>$AU$22</f>
        <v>0</v>
      </c>
      <c r="BH19" s="831">
        <f t="shared" si="3"/>
        <v>0</v>
      </c>
      <c r="BI19" s="831">
        <f>$AW$22</f>
        <v>0</v>
      </c>
      <c r="BJ19" s="831">
        <f t="shared" si="3"/>
        <v>0</v>
      </c>
      <c r="BK19" s="831">
        <f>$AS$22</f>
        <v>0</v>
      </c>
      <c r="BL19" s="831">
        <f>$AY$22</f>
        <v>0</v>
      </c>
      <c r="BM19" s="831">
        <f>$AZ$22</f>
        <v>0</v>
      </c>
      <c r="BN19" s="831">
        <f t="shared" si="1"/>
        <v>0</v>
      </c>
      <c r="BO19" s="831">
        <f>$BC$22</f>
        <v>0</v>
      </c>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row>
    <row r="20" spans="1:142" x14ac:dyDescent="0.25">
      <c r="A20" s="846">
        <f t="shared" si="27"/>
        <v>5</v>
      </c>
      <c r="B20" s="847">
        <f>B19+G20+E20</f>
        <v>0</v>
      </c>
      <c r="C20" s="847">
        <f t="shared" si="28"/>
        <v>0</v>
      </c>
      <c r="D20" s="847">
        <f t="shared" si="29"/>
        <v>0</v>
      </c>
      <c r="E20" s="847">
        <f t="shared" si="14"/>
        <v>0</v>
      </c>
      <c r="F20" s="847">
        <f>E20+F19</f>
        <v>0</v>
      </c>
      <c r="G20" s="847">
        <f t="shared" si="30"/>
        <v>0</v>
      </c>
      <c r="H20" s="847">
        <f>G20+H19</f>
        <v>0</v>
      </c>
      <c r="I20" s="839">
        <f t="shared" si="15"/>
        <v>0</v>
      </c>
      <c r="J20" s="839">
        <f t="shared" si="16"/>
        <v>0</v>
      </c>
      <c r="K20" s="839">
        <f t="shared" si="17"/>
        <v>0</v>
      </c>
      <c r="L20" s="847">
        <f>C$8-H20</f>
        <v>0</v>
      </c>
      <c r="M20" s="848">
        <f t="shared" si="31"/>
        <v>0</v>
      </c>
      <c r="N20" s="841"/>
      <c r="O20" s="846">
        <f t="shared" si="32"/>
        <v>5</v>
      </c>
      <c r="P20" s="847">
        <f>P19+U20+S20</f>
        <v>0</v>
      </c>
      <c r="Q20" s="847">
        <f t="shared" si="33"/>
        <v>0</v>
      </c>
      <c r="R20" s="847">
        <f t="shared" si="34"/>
        <v>0</v>
      </c>
      <c r="S20" s="847">
        <f t="shared" si="18"/>
        <v>0</v>
      </c>
      <c r="T20" s="847">
        <f>S20+T19</f>
        <v>0</v>
      </c>
      <c r="U20" s="847">
        <f t="shared" si="35"/>
        <v>0</v>
      </c>
      <c r="V20" s="847">
        <f>U20+V19</f>
        <v>0</v>
      </c>
      <c r="W20" s="839">
        <f t="shared" si="19"/>
        <v>0</v>
      </c>
      <c r="X20" s="839">
        <f t="shared" si="20"/>
        <v>0</v>
      </c>
      <c r="Y20" s="839">
        <f t="shared" si="21"/>
        <v>0</v>
      </c>
      <c r="Z20" s="847">
        <f>Q$8-V20</f>
        <v>0</v>
      </c>
      <c r="AA20" s="848">
        <f t="shared" si="36"/>
        <v>0</v>
      </c>
      <c r="AB20" s="841"/>
      <c r="AC20" s="846">
        <f t="shared" si="37"/>
        <v>5</v>
      </c>
      <c r="AD20" s="847">
        <f>AD19+AI20+AG20</f>
        <v>0</v>
      </c>
      <c r="AE20" s="847">
        <f t="shared" si="38"/>
        <v>0</v>
      </c>
      <c r="AF20" s="847">
        <f t="shared" si="39"/>
        <v>0</v>
      </c>
      <c r="AG20" s="847">
        <f t="shared" si="22"/>
        <v>0</v>
      </c>
      <c r="AH20" s="847">
        <f>AG20+AH19</f>
        <v>0</v>
      </c>
      <c r="AI20" s="847">
        <f t="shared" si="40"/>
        <v>0</v>
      </c>
      <c r="AJ20" s="847">
        <f>AI20+AJ19</f>
        <v>0</v>
      </c>
      <c r="AK20" s="839">
        <f t="shared" si="23"/>
        <v>0</v>
      </c>
      <c r="AL20" s="839">
        <f t="shared" si="24"/>
        <v>0</v>
      </c>
      <c r="AM20" s="839">
        <f t="shared" si="25"/>
        <v>0</v>
      </c>
      <c r="AN20" s="847">
        <f>AE$8-AJ20</f>
        <v>0</v>
      </c>
      <c r="AO20" s="848">
        <f t="shared" si="41"/>
        <v>0</v>
      </c>
      <c r="AQ20" s="846">
        <f t="shared" si="42"/>
        <v>5</v>
      </c>
      <c r="AR20" s="847">
        <f t="shared" si="26"/>
        <v>0</v>
      </c>
      <c r="AS20" s="847">
        <f t="shared" si="4"/>
        <v>0</v>
      </c>
      <c r="AT20" s="847">
        <f t="shared" si="5"/>
        <v>0</v>
      </c>
      <c r="AU20" s="847">
        <f t="shared" si="6"/>
        <v>0</v>
      </c>
      <c r="AV20" s="847">
        <f t="shared" si="7"/>
        <v>0</v>
      </c>
      <c r="AW20" s="847">
        <f t="shared" si="8"/>
        <v>0</v>
      </c>
      <c r="AX20" s="847">
        <f t="shared" si="9"/>
        <v>0</v>
      </c>
      <c r="AY20" s="839">
        <f t="shared" si="10"/>
        <v>0</v>
      </c>
      <c r="AZ20" s="839">
        <f t="shared" si="11"/>
        <v>0</v>
      </c>
      <c r="BA20" s="839">
        <f t="shared" si="12"/>
        <v>0</v>
      </c>
      <c r="BB20" s="847">
        <f t="shared" si="13"/>
        <v>0</v>
      </c>
      <c r="BC20" s="848">
        <f t="shared" si="13"/>
        <v>0</v>
      </c>
      <c r="BE20" s="825">
        <f t="shared" si="2"/>
        <v>8</v>
      </c>
      <c r="BF20" s="835" t="str">
        <f>TRIBUTS!K8</f>
        <v>AGOST</v>
      </c>
      <c r="BG20" s="831">
        <f>$AU$23</f>
        <v>0</v>
      </c>
      <c r="BH20" s="831">
        <f t="shared" si="3"/>
        <v>0</v>
      </c>
      <c r="BI20" s="831">
        <f>$AW$23</f>
        <v>0</v>
      </c>
      <c r="BJ20" s="831">
        <f t="shared" si="3"/>
        <v>0</v>
      </c>
      <c r="BK20" s="831">
        <f>$AS$23</f>
        <v>0</v>
      </c>
      <c r="BL20" s="831">
        <f>$AY$23</f>
        <v>0</v>
      </c>
      <c r="BM20" s="831">
        <f>$AZ$23</f>
        <v>0</v>
      </c>
      <c r="BN20" s="831">
        <f t="shared" si="1"/>
        <v>0</v>
      </c>
      <c r="BO20" s="831">
        <f>$BC$23</f>
        <v>0</v>
      </c>
      <c r="BR20" s="51"/>
      <c r="BS20" s="849"/>
      <c r="BT20" s="849"/>
      <c r="BU20" s="849"/>
      <c r="BV20" s="849"/>
      <c r="BW20" s="849"/>
      <c r="BX20" s="849"/>
      <c r="BY20" s="849"/>
      <c r="BZ20" s="849"/>
      <c r="CA20" s="849"/>
      <c r="CB20" s="849"/>
      <c r="CC20" s="849"/>
      <c r="CD20" s="849"/>
      <c r="CE20" s="849"/>
      <c r="CF20" s="849"/>
      <c r="CG20" s="849"/>
      <c r="CH20" s="849"/>
      <c r="CI20" s="849"/>
      <c r="CJ20" s="849"/>
      <c r="CK20" s="849"/>
      <c r="CL20" s="849"/>
      <c r="CM20" s="849"/>
      <c r="CN20" s="849"/>
      <c r="CO20" s="849"/>
      <c r="CP20" s="849"/>
      <c r="CQ20" s="849"/>
      <c r="CR20" s="849"/>
      <c r="CS20" s="849"/>
      <c r="CT20" s="849"/>
      <c r="CU20" s="849"/>
      <c r="CV20" s="849"/>
      <c r="CW20" s="849"/>
      <c r="CX20" s="849"/>
      <c r="CY20" s="849"/>
      <c r="CZ20" s="849"/>
      <c r="DA20" s="849"/>
      <c r="DB20" s="849"/>
      <c r="DC20" s="849"/>
      <c r="DD20" s="849"/>
      <c r="DE20" s="849"/>
      <c r="DF20" s="849"/>
      <c r="DG20" s="849"/>
      <c r="DH20" s="849"/>
      <c r="DI20" s="849"/>
      <c r="DJ20" s="849"/>
      <c r="DK20" s="849"/>
      <c r="DL20" s="849"/>
      <c r="DM20" s="849"/>
      <c r="DN20" s="849"/>
      <c r="DO20" s="849"/>
      <c r="DP20" s="849"/>
      <c r="DQ20" s="849"/>
      <c r="DR20" s="849"/>
      <c r="DS20" s="849"/>
      <c r="DT20" s="849"/>
      <c r="DU20" s="849"/>
      <c r="DV20" s="849"/>
      <c r="DW20" s="849"/>
      <c r="DX20" s="849"/>
      <c r="DY20" s="849"/>
      <c r="DZ20" s="849"/>
      <c r="EA20" s="849"/>
      <c r="EB20" s="849"/>
      <c r="EC20" s="849"/>
      <c r="ED20" s="849"/>
      <c r="EE20" s="849"/>
      <c r="EF20" s="849"/>
      <c r="EG20" s="849"/>
      <c r="EH20" s="849"/>
      <c r="EI20" s="849"/>
      <c r="EJ20" s="849"/>
      <c r="EK20" s="849"/>
      <c r="EL20" s="849"/>
    </row>
    <row r="21" spans="1:142" x14ac:dyDescent="0.25">
      <c r="A21" s="846">
        <f t="shared" si="27"/>
        <v>6</v>
      </c>
      <c r="B21" s="847">
        <f t="shared" ref="B21:B52" si="45">IF(E21&lt;0.05,0,B20+G21+E21)</f>
        <v>0</v>
      </c>
      <c r="C21" s="847">
        <f t="shared" si="28"/>
        <v>0</v>
      </c>
      <c r="D21" s="847">
        <f t="shared" si="29"/>
        <v>0</v>
      </c>
      <c r="E21" s="847">
        <f t="shared" si="14"/>
        <v>0</v>
      </c>
      <c r="F21" s="847">
        <f>IF(L21=0,0,E21+F20)</f>
        <v>0</v>
      </c>
      <c r="G21" s="847">
        <f t="shared" si="30"/>
        <v>0</v>
      </c>
      <c r="H21" s="847">
        <f t="shared" ref="H21:H51" si="46">IF(B21=0,0,G21+H20)</f>
        <v>0</v>
      </c>
      <c r="I21" s="839">
        <f t="shared" si="15"/>
        <v>0</v>
      </c>
      <c r="J21" s="839">
        <f t="shared" si="16"/>
        <v>0</v>
      </c>
      <c r="K21" s="839">
        <f t="shared" si="17"/>
        <v>0</v>
      </c>
      <c r="L21" s="847">
        <f t="shared" ref="L21:L84" si="47">IF(H21=0,0,C$8-H21)</f>
        <v>0</v>
      </c>
      <c r="M21" s="848">
        <f t="shared" si="31"/>
        <v>0</v>
      </c>
      <c r="N21" s="841"/>
      <c r="O21" s="846">
        <f t="shared" si="32"/>
        <v>6</v>
      </c>
      <c r="P21" s="847">
        <f t="shared" ref="P21:P84" si="48">IF(S21&lt;0.05,0,P20+U21+S21)</f>
        <v>0</v>
      </c>
      <c r="Q21" s="847">
        <f t="shared" si="33"/>
        <v>0</v>
      </c>
      <c r="R21" s="847">
        <f t="shared" si="34"/>
        <v>0</v>
      </c>
      <c r="S21" s="847">
        <f t="shared" si="18"/>
        <v>0</v>
      </c>
      <c r="T21" s="847">
        <f>IF(Z21=0,0,S21+T20)</f>
        <v>0</v>
      </c>
      <c r="U21" s="847">
        <f t="shared" si="35"/>
        <v>0</v>
      </c>
      <c r="V21" s="847">
        <f t="shared" ref="V21:V51" si="49">IF(P21=0,0,U21+V20)</f>
        <v>0</v>
      </c>
      <c r="W21" s="839">
        <f t="shared" si="19"/>
        <v>0</v>
      </c>
      <c r="X21" s="839">
        <f t="shared" si="20"/>
        <v>0</v>
      </c>
      <c r="Y21" s="839">
        <f t="shared" si="21"/>
        <v>0</v>
      </c>
      <c r="Z21" s="847">
        <f t="shared" ref="Z21:Z84" si="50">IF(V21=0,0,Q$8-V21)</f>
        <v>0</v>
      </c>
      <c r="AA21" s="848">
        <f t="shared" si="36"/>
        <v>0</v>
      </c>
      <c r="AB21" s="841"/>
      <c r="AC21" s="846">
        <f t="shared" si="37"/>
        <v>6</v>
      </c>
      <c r="AD21" s="847">
        <f t="shared" ref="AD21:AD84" si="51">IF(AG21&lt;0.05,0,AD20+AI21+AG21)</f>
        <v>0</v>
      </c>
      <c r="AE21" s="847">
        <f t="shared" si="38"/>
        <v>0</v>
      </c>
      <c r="AF21" s="847">
        <f t="shared" si="39"/>
        <v>0</v>
      </c>
      <c r="AG21" s="847">
        <f t="shared" si="22"/>
        <v>0</v>
      </c>
      <c r="AH21" s="847">
        <f>IF(AN21=0,0,AG21+AH20)</f>
        <v>0</v>
      </c>
      <c r="AI21" s="847">
        <f t="shared" si="40"/>
        <v>0</v>
      </c>
      <c r="AJ21" s="847">
        <f t="shared" ref="AJ21:AJ51" si="52">IF(AD21=0,0,AI21+AJ20)</f>
        <v>0</v>
      </c>
      <c r="AK21" s="839">
        <f t="shared" si="23"/>
        <v>0</v>
      </c>
      <c r="AL21" s="839">
        <f t="shared" si="24"/>
        <v>0</v>
      </c>
      <c r="AM21" s="839">
        <f t="shared" si="25"/>
        <v>0</v>
      </c>
      <c r="AN21" s="847">
        <f t="shared" ref="AN21:AN84" si="53">IF(AJ21=0,0,AE$8-AJ21)</f>
        <v>0</v>
      </c>
      <c r="AO21" s="848">
        <f t="shared" si="41"/>
        <v>0</v>
      </c>
      <c r="AQ21" s="846">
        <f t="shared" si="42"/>
        <v>6</v>
      </c>
      <c r="AR21" s="847">
        <f t="shared" si="26"/>
        <v>0</v>
      </c>
      <c r="AS21" s="847">
        <f t="shared" si="4"/>
        <v>0</v>
      </c>
      <c r="AT21" s="847">
        <f t="shared" si="5"/>
        <v>0</v>
      </c>
      <c r="AU21" s="847">
        <f t="shared" si="6"/>
        <v>0</v>
      </c>
      <c r="AV21" s="847">
        <f t="shared" si="7"/>
        <v>0</v>
      </c>
      <c r="AW21" s="847">
        <f t="shared" si="8"/>
        <v>0</v>
      </c>
      <c r="AX21" s="847">
        <f t="shared" si="9"/>
        <v>0</v>
      </c>
      <c r="AY21" s="839">
        <f t="shared" si="10"/>
        <v>0</v>
      </c>
      <c r="AZ21" s="839">
        <f t="shared" si="11"/>
        <v>0</v>
      </c>
      <c r="BA21" s="839">
        <f t="shared" si="12"/>
        <v>0</v>
      </c>
      <c r="BB21" s="847">
        <f t="shared" si="13"/>
        <v>0</v>
      </c>
      <c r="BC21" s="848">
        <f t="shared" si="13"/>
        <v>0</v>
      </c>
      <c r="BE21" s="825">
        <f t="shared" si="2"/>
        <v>9</v>
      </c>
      <c r="BF21" s="835" t="str">
        <f>TRIBUTS!K9</f>
        <v>SETEMBRE</v>
      </c>
      <c r="BG21" s="831">
        <f>$AU$24</f>
        <v>0</v>
      </c>
      <c r="BH21" s="831">
        <f t="shared" si="3"/>
        <v>0</v>
      </c>
      <c r="BI21" s="831">
        <f>$AW$24</f>
        <v>0</v>
      </c>
      <c r="BJ21" s="831">
        <f t="shared" si="3"/>
        <v>0</v>
      </c>
      <c r="BK21" s="831">
        <f>$AS$24</f>
        <v>0</v>
      </c>
      <c r="BL21" s="831">
        <f>$AY$24</f>
        <v>0</v>
      </c>
      <c r="BM21" s="831">
        <f>$AZ$24</f>
        <v>0</v>
      </c>
      <c r="BN21" s="831">
        <f t="shared" si="1"/>
        <v>0</v>
      </c>
      <c r="BO21" s="831">
        <f>$BC$24</f>
        <v>0</v>
      </c>
      <c r="BS21" s="841"/>
      <c r="BT21" s="841"/>
      <c r="BU21" s="841"/>
      <c r="BV21" s="841"/>
      <c r="BW21" s="841"/>
      <c r="BX21" s="841"/>
      <c r="BY21" s="841"/>
      <c r="BZ21" s="841"/>
      <c r="CA21" s="841"/>
      <c r="CB21" s="841"/>
      <c r="CC21" s="841"/>
      <c r="CD21" s="841"/>
      <c r="CE21" s="841"/>
      <c r="CF21" s="841"/>
      <c r="CG21" s="841"/>
      <c r="CH21" s="841"/>
      <c r="CI21" s="841"/>
      <c r="CJ21" s="841"/>
      <c r="CK21" s="841"/>
      <c r="CL21" s="841"/>
      <c r="CM21" s="841"/>
      <c r="CN21" s="841"/>
      <c r="CO21" s="841"/>
      <c r="CP21" s="841"/>
      <c r="CQ21" s="841"/>
      <c r="CR21" s="841"/>
      <c r="CS21" s="841"/>
      <c r="CT21" s="841"/>
      <c r="CU21" s="841"/>
      <c r="CV21" s="841"/>
      <c r="CW21" s="841"/>
      <c r="CX21" s="841"/>
      <c r="CY21" s="841"/>
      <c r="CZ21" s="841"/>
      <c r="DA21" s="841"/>
      <c r="DB21" s="841"/>
      <c r="DC21" s="841"/>
      <c r="DD21" s="841"/>
      <c r="DE21" s="841"/>
      <c r="DF21" s="841"/>
      <c r="DG21" s="841"/>
      <c r="DH21" s="841"/>
      <c r="DI21" s="841"/>
      <c r="DJ21" s="841"/>
      <c r="DK21" s="841"/>
      <c r="DL21" s="841"/>
      <c r="DM21" s="841"/>
      <c r="DN21" s="841"/>
      <c r="DO21" s="841"/>
      <c r="DP21" s="841"/>
      <c r="DQ21" s="841"/>
      <c r="DR21" s="841"/>
      <c r="DS21" s="841"/>
      <c r="DT21" s="841"/>
      <c r="DU21" s="841"/>
      <c r="DV21" s="841"/>
      <c r="DW21" s="841"/>
      <c r="DX21" s="841"/>
      <c r="DY21" s="841"/>
      <c r="DZ21" s="841"/>
      <c r="EA21" s="841"/>
      <c r="EB21" s="841"/>
      <c r="EC21" s="841"/>
      <c r="ED21" s="841"/>
      <c r="EE21" s="841"/>
      <c r="EF21" s="841"/>
      <c r="EG21" s="841"/>
      <c r="EH21" s="841"/>
      <c r="EI21" s="841"/>
      <c r="EJ21" s="841"/>
      <c r="EK21" s="841"/>
      <c r="EL21" s="841"/>
    </row>
    <row r="22" spans="1:142" x14ac:dyDescent="0.25">
      <c r="A22" s="846">
        <f t="shared" si="27"/>
        <v>7</v>
      </c>
      <c r="B22" s="847">
        <f t="shared" si="45"/>
        <v>0</v>
      </c>
      <c r="C22" s="847">
        <f t="shared" si="28"/>
        <v>0</v>
      </c>
      <c r="D22" s="847">
        <f t="shared" si="29"/>
        <v>0</v>
      </c>
      <c r="E22" s="847">
        <f t="shared" si="14"/>
        <v>0</v>
      </c>
      <c r="F22" s="847">
        <f t="shared" ref="F22:F85" si="54">IF(L22=0,0,E22+F21)</f>
        <v>0</v>
      </c>
      <c r="G22" s="847">
        <f t="shared" si="30"/>
        <v>0</v>
      </c>
      <c r="H22" s="847">
        <f t="shared" si="46"/>
        <v>0</v>
      </c>
      <c r="I22" s="839">
        <f t="shared" si="15"/>
        <v>0</v>
      </c>
      <c r="J22" s="839">
        <f t="shared" si="16"/>
        <v>0</v>
      </c>
      <c r="K22" s="839">
        <f t="shared" si="17"/>
        <v>0</v>
      </c>
      <c r="L22" s="847">
        <f t="shared" si="47"/>
        <v>0</v>
      </c>
      <c r="M22" s="848">
        <f t="shared" si="31"/>
        <v>0</v>
      </c>
      <c r="N22" s="841"/>
      <c r="O22" s="846">
        <f t="shared" si="32"/>
        <v>7</v>
      </c>
      <c r="P22" s="847">
        <f t="shared" si="48"/>
        <v>0</v>
      </c>
      <c r="Q22" s="847">
        <f t="shared" si="33"/>
        <v>0</v>
      </c>
      <c r="R22" s="847">
        <f t="shared" si="34"/>
        <v>0</v>
      </c>
      <c r="S22" s="847">
        <f t="shared" si="18"/>
        <v>0</v>
      </c>
      <c r="T22" s="847">
        <f t="shared" ref="T22:T29" si="55">IF(Z22=0,0,S22+T21)</f>
        <v>0</v>
      </c>
      <c r="U22" s="847">
        <f t="shared" si="35"/>
        <v>0</v>
      </c>
      <c r="V22" s="847">
        <f t="shared" si="49"/>
        <v>0</v>
      </c>
      <c r="W22" s="839">
        <f t="shared" si="19"/>
        <v>0</v>
      </c>
      <c r="X22" s="839">
        <f t="shared" si="20"/>
        <v>0</v>
      </c>
      <c r="Y22" s="839">
        <f t="shared" si="21"/>
        <v>0</v>
      </c>
      <c r="Z22" s="847">
        <f t="shared" si="50"/>
        <v>0</v>
      </c>
      <c r="AA22" s="848">
        <f t="shared" si="36"/>
        <v>0</v>
      </c>
      <c r="AB22" s="841"/>
      <c r="AC22" s="846">
        <f t="shared" si="37"/>
        <v>7</v>
      </c>
      <c r="AD22" s="847">
        <f t="shared" si="51"/>
        <v>0</v>
      </c>
      <c r="AE22" s="847">
        <f t="shared" si="38"/>
        <v>0</v>
      </c>
      <c r="AF22" s="847">
        <f t="shared" si="39"/>
        <v>0</v>
      </c>
      <c r="AG22" s="847">
        <f t="shared" si="22"/>
        <v>0</v>
      </c>
      <c r="AH22" s="847">
        <f t="shared" ref="AH22:AH29" si="56">IF(AN22=0,0,AG22+AH21)</f>
        <v>0</v>
      </c>
      <c r="AI22" s="847">
        <f t="shared" si="40"/>
        <v>0</v>
      </c>
      <c r="AJ22" s="847">
        <f t="shared" si="52"/>
        <v>0</v>
      </c>
      <c r="AK22" s="839">
        <f t="shared" si="23"/>
        <v>0</v>
      </c>
      <c r="AL22" s="839">
        <f t="shared" si="24"/>
        <v>0</v>
      </c>
      <c r="AM22" s="839">
        <f t="shared" si="25"/>
        <v>0</v>
      </c>
      <c r="AN22" s="847">
        <f t="shared" si="53"/>
        <v>0</v>
      </c>
      <c r="AO22" s="848">
        <f t="shared" si="41"/>
        <v>0</v>
      </c>
      <c r="AQ22" s="846">
        <f t="shared" si="42"/>
        <v>7</v>
      </c>
      <c r="AR22" s="847">
        <f t="shared" si="26"/>
        <v>0</v>
      </c>
      <c r="AS22" s="847">
        <f t="shared" si="4"/>
        <v>0</v>
      </c>
      <c r="AT22" s="847">
        <f t="shared" si="5"/>
        <v>0</v>
      </c>
      <c r="AU22" s="847">
        <f t="shared" si="6"/>
        <v>0</v>
      </c>
      <c r="AV22" s="847">
        <f t="shared" si="7"/>
        <v>0</v>
      </c>
      <c r="AW22" s="847">
        <f t="shared" si="8"/>
        <v>0</v>
      </c>
      <c r="AX22" s="847">
        <f t="shared" si="9"/>
        <v>0</v>
      </c>
      <c r="AY22" s="839">
        <f t="shared" si="10"/>
        <v>0</v>
      </c>
      <c r="AZ22" s="839">
        <f t="shared" si="11"/>
        <v>0</v>
      </c>
      <c r="BA22" s="839">
        <f t="shared" si="12"/>
        <v>0</v>
      </c>
      <c r="BB22" s="847">
        <f t="shared" si="13"/>
        <v>0</v>
      </c>
      <c r="BC22" s="848">
        <f t="shared" si="13"/>
        <v>0</v>
      </c>
      <c r="BE22" s="825">
        <f t="shared" si="2"/>
        <v>10</v>
      </c>
      <c r="BF22" s="835" t="str">
        <f>TRIBUTS!K10</f>
        <v>OCTUBRE</v>
      </c>
      <c r="BG22" s="831">
        <f>$AU$25</f>
        <v>0</v>
      </c>
      <c r="BH22" s="831">
        <f t="shared" si="3"/>
        <v>0</v>
      </c>
      <c r="BI22" s="831">
        <f>$AW$25</f>
        <v>0</v>
      </c>
      <c r="BJ22" s="831">
        <f t="shared" si="3"/>
        <v>0</v>
      </c>
      <c r="BK22" s="831">
        <f>$AS$25</f>
        <v>0</v>
      </c>
      <c r="BL22" s="831">
        <f>$AY$25</f>
        <v>0</v>
      </c>
      <c r="BM22" s="831">
        <f>$AZ$25</f>
        <v>0</v>
      </c>
      <c r="BN22" s="831">
        <f t="shared" si="1"/>
        <v>0</v>
      </c>
      <c r="BO22" s="831">
        <f>$BC$25</f>
        <v>0</v>
      </c>
      <c r="BS22" s="841"/>
      <c r="BT22" s="841"/>
      <c r="BU22" s="841"/>
      <c r="BV22" s="841"/>
      <c r="BW22" s="841"/>
      <c r="BX22" s="841"/>
      <c r="BY22" s="841"/>
      <c r="BZ22" s="841"/>
      <c r="CA22" s="841"/>
      <c r="CB22" s="841"/>
      <c r="CC22" s="841"/>
      <c r="CD22" s="841"/>
      <c r="CE22" s="841"/>
      <c r="CF22" s="841"/>
      <c r="CG22" s="841"/>
      <c r="CH22" s="841"/>
      <c r="CI22" s="841"/>
      <c r="CJ22" s="841"/>
      <c r="CK22" s="841"/>
      <c r="CL22" s="841"/>
      <c r="CM22" s="841"/>
      <c r="CN22" s="841"/>
      <c r="CO22" s="841"/>
      <c r="CP22" s="841"/>
      <c r="CQ22" s="841"/>
      <c r="CR22" s="841"/>
      <c r="CS22" s="841"/>
      <c r="CT22" s="841"/>
      <c r="CU22" s="841"/>
      <c r="CV22" s="841"/>
      <c r="CW22" s="841"/>
      <c r="CX22" s="841"/>
      <c r="CY22" s="841"/>
      <c r="CZ22" s="841"/>
      <c r="DA22" s="841"/>
      <c r="DB22" s="841"/>
      <c r="DC22" s="841"/>
      <c r="DD22" s="841"/>
      <c r="DE22" s="841"/>
      <c r="DF22" s="841"/>
      <c r="DG22" s="841"/>
      <c r="DH22" s="841"/>
      <c r="DI22" s="841"/>
      <c r="DJ22" s="841"/>
      <c r="DK22" s="841"/>
      <c r="DL22" s="841"/>
      <c r="DM22" s="841"/>
      <c r="DN22" s="841"/>
      <c r="DO22" s="841"/>
      <c r="DP22" s="841"/>
      <c r="DQ22" s="841"/>
      <c r="DR22" s="841"/>
      <c r="DS22" s="841"/>
      <c r="DT22" s="841"/>
      <c r="DU22" s="841"/>
      <c r="DV22" s="841"/>
      <c r="DW22" s="841"/>
      <c r="DX22" s="841"/>
      <c r="DY22" s="841"/>
      <c r="DZ22" s="841"/>
      <c r="EA22" s="841"/>
      <c r="EB22" s="841"/>
      <c r="EC22" s="841"/>
      <c r="ED22" s="841"/>
      <c r="EE22" s="841"/>
      <c r="EF22" s="841"/>
      <c r="EG22" s="841"/>
      <c r="EH22" s="841"/>
      <c r="EI22" s="841"/>
      <c r="EJ22" s="841"/>
      <c r="EK22" s="841"/>
      <c r="EL22" s="841"/>
    </row>
    <row r="23" spans="1:142" x14ac:dyDescent="0.25">
      <c r="A23" s="846">
        <f t="shared" si="27"/>
        <v>8</v>
      </c>
      <c r="B23" s="847">
        <f t="shared" si="45"/>
        <v>0</v>
      </c>
      <c r="C23" s="847">
        <f t="shared" si="28"/>
        <v>0</v>
      </c>
      <c r="D23" s="847">
        <f t="shared" si="29"/>
        <v>0</v>
      </c>
      <c r="E23" s="847">
        <f t="shared" si="14"/>
        <v>0</v>
      </c>
      <c r="F23" s="847">
        <f t="shared" si="54"/>
        <v>0</v>
      </c>
      <c r="G23" s="847">
        <f t="shared" si="30"/>
        <v>0</v>
      </c>
      <c r="H23" s="847">
        <f t="shared" si="46"/>
        <v>0</v>
      </c>
      <c r="I23" s="839">
        <f t="shared" si="15"/>
        <v>0</v>
      </c>
      <c r="J23" s="839">
        <f t="shared" si="16"/>
        <v>0</v>
      </c>
      <c r="K23" s="839">
        <f t="shared" si="17"/>
        <v>0</v>
      </c>
      <c r="L23" s="847">
        <f t="shared" si="47"/>
        <v>0</v>
      </c>
      <c r="M23" s="848">
        <f t="shared" si="31"/>
        <v>0</v>
      </c>
      <c r="N23" s="841"/>
      <c r="O23" s="846">
        <f t="shared" si="32"/>
        <v>8</v>
      </c>
      <c r="P23" s="847">
        <f t="shared" si="48"/>
        <v>0</v>
      </c>
      <c r="Q23" s="847">
        <f t="shared" si="33"/>
        <v>0</v>
      </c>
      <c r="R23" s="847">
        <f t="shared" si="34"/>
        <v>0</v>
      </c>
      <c r="S23" s="847">
        <f t="shared" si="18"/>
        <v>0</v>
      </c>
      <c r="T23" s="847">
        <f t="shared" si="55"/>
        <v>0</v>
      </c>
      <c r="U23" s="847">
        <f t="shared" si="35"/>
        <v>0</v>
      </c>
      <c r="V23" s="847">
        <f t="shared" si="49"/>
        <v>0</v>
      </c>
      <c r="W23" s="839">
        <f t="shared" si="19"/>
        <v>0</v>
      </c>
      <c r="X23" s="839">
        <f t="shared" si="20"/>
        <v>0</v>
      </c>
      <c r="Y23" s="839">
        <f t="shared" si="21"/>
        <v>0</v>
      </c>
      <c r="Z23" s="847">
        <f t="shared" si="50"/>
        <v>0</v>
      </c>
      <c r="AA23" s="848">
        <f t="shared" si="36"/>
        <v>0</v>
      </c>
      <c r="AB23" s="841"/>
      <c r="AC23" s="846">
        <f t="shared" si="37"/>
        <v>8</v>
      </c>
      <c r="AD23" s="847">
        <f t="shared" si="51"/>
        <v>0</v>
      </c>
      <c r="AE23" s="847">
        <f t="shared" si="38"/>
        <v>0</v>
      </c>
      <c r="AF23" s="847">
        <f t="shared" si="39"/>
        <v>0</v>
      </c>
      <c r="AG23" s="847">
        <f t="shared" si="22"/>
        <v>0</v>
      </c>
      <c r="AH23" s="847">
        <f t="shared" si="56"/>
        <v>0</v>
      </c>
      <c r="AI23" s="847">
        <f t="shared" si="40"/>
        <v>0</v>
      </c>
      <c r="AJ23" s="847">
        <f t="shared" si="52"/>
        <v>0</v>
      </c>
      <c r="AK23" s="839">
        <f t="shared" si="23"/>
        <v>0</v>
      </c>
      <c r="AL23" s="839">
        <f t="shared" si="24"/>
        <v>0</v>
      </c>
      <c r="AM23" s="839">
        <f t="shared" si="25"/>
        <v>0</v>
      </c>
      <c r="AN23" s="847">
        <f t="shared" si="53"/>
        <v>0</v>
      </c>
      <c r="AO23" s="848">
        <f t="shared" si="41"/>
        <v>0</v>
      </c>
      <c r="AQ23" s="846">
        <f t="shared" si="42"/>
        <v>8</v>
      </c>
      <c r="AR23" s="847">
        <f t="shared" si="26"/>
        <v>0</v>
      </c>
      <c r="AS23" s="847">
        <f t="shared" si="4"/>
        <v>0</v>
      </c>
      <c r="AT23" s="847">
        <f t="shared" si="5"/>
        <v>0</v>
      </c>
      <c r="AU23" s="847">
        <f t="shared" si="6"/>
        <v>0</v>
      </c>
      <c r="AV23" s="847">
        <f t="shared" si="7"/>
        <v>0</v>
      </c>
      <c r="AW23" s="847">
        <f t="shared" si="8"/>
        <v>0</v>
      </c>
      <c r="AX23" s="847">
        <f t="shared" si="9"/>
        <v>0</v>
      </c>
      <c r="AY23" s="839">
        <f t="shared" si="10"/>
        <v>0</v>
      </c>
      <c r="AZ23" s="839">
        <f t="shared" si="11"/>
        <v>0</v>
      </c>
      <c r="BA23" s="839">
        <f t="shared" si="12"/>
        <v>0</v>
      </c>
      <c r="BB23" s="847">
        <f t="shared" si="13"/>
        <v>0</v>
      </c>
      <c r="BC23" s="848">
        <f t="shared" si="13"/>
        <v>0</v>
      </c>
      <c r="BE23" s="825">
        <f t="shared" si="2"/>
        <v>11</v>
      </c>
      <c r="BF23" s="835" t="str">
        <f>TRIBUTS!K11</f>
        <v>NOVEMBRE</v>
      </c>
      <c r="BG23" s="831">
        <f>$AU$26</f>
        <v>0</v>
      </c>
      <c r="BH23" s="831">
        <f t="shared" si="3"/>
        <v>0</v>
      </c>
      <c r="BI23" s="831">
        <f>$AW$26</f>
        <v>0</v>
      </c>
      <c r="BJ23" s="831">
        <f t="shared" si="3"/>
        <v>0</v>
      </c>
      <c r="BK23" s="831">
        <f>$AS$26</f>
        <v>0</v>
      </c>
      <c r="BL23" s="831">
        <f>$AY$26</f>
        <v>0</v>
      </c>
      <c r="BM23" s="831">
        <f>$AZ$26</f>
        <v>0</v>
      </c>
      <c r="BN23" s="831">
        <f t="shared" si="1"/>
        <v>0</v>
      </c>
      <c r="BO23" s="831">
        <f>$BC$26</f>
        <v>0</v>
      </c>
    </row>
    <row r="24" spans="1:142" x14ac:dyDescent="0.25">
      <c r="A24" s="846">
        <f t="shared" si="27"/>
        <v>9</v>
      </c>
      <c r="B24" s="847">
        <f t="shared" si="45"/>
        <v>0</v>
      </c>
      <c r="C24" s="847">
        <f t="shared" si="28"/>
        <v>0</v>
      </c>
      <c r="D24" s="847">
        <f t="shared" si="29"/>
        <v>0</v>
      </c>
      <c r="E24" s="847">
        <f t="shared" si="14"/>
        <v>0</v>
      </c>
      <c r="F24" s="847">
        <f t="shared" si="54"/>
        <v>0</v>
      </c>
      <c r="G24" s="847">
        <f t="shared" si="30"/>
        <v>0</v>
      </c>
      <c r="H24" s="847">
        <f t="shared" si="46"/>
        <v>0</v>
      </c>
      <c r="I24" s="839">
        <f t="shared" si="15"/>
        <v>0</v>
      </c>
      <c r="J24" s="839">
        <f t="shared" si="16"/>
        <v>0</v>
      </c>
      <c r="K24" s="839">
        <f t="shared" si="17"/>
        <v>0</v>
      </c>
      <c r="L24" s="847">
        <f t="shared" si="47"/>
        <v>0</v>
      </c>
      <c r="M24" s="848">
        <f t="shared" si="31"/>
        <v>0</v>
      </c>
      <c r="N24" s="841"/>
      <c r="O24" s="846">
        <f t="shared" si="32"/>
        <v>9</v>
      </c>
      <c r="P24" s="847">
        <f t="shared" si="48"/>
        <v>0</v>
      </c>
      <c r="Q24" s="847">
        <f t="shared" si="33"/>
        <v>0</v>
      </c>
      <c r="R24" s="847">
        <f t="shared" si="34"/>
        <v>0</v>
      </c>
      <c r="S24" s="847">
        <f t="shared" si="18"/>
        <v>0</v>
      </c>
      <c r="T24" s="847">
        <f t="shared" si="55"/>
        <v>0</v>
      </c>
      <c r="U24" s="847">
        <f t="shared" si="35"/>
        <v>0</v>
      </c>
      <c r="V24" s="847">
        <f t="shared" si="49"/>
        <v>0</v>
      </c>
      <c r="W24" s="839">
        <f t="shared" si="19"/>
        <v>0</v>
      </c>
      <c r="X24" s="839">
        <f t="shared" si="20"/>
        <v>0</v>
      </c>
      <c r="Y24" s="839">
        <f t="shared" si="21"/>
        <v>0</v>
      </c>
      <c r="Z24" s="847">
        <f t="shared" si="50"/>
        <v>0</v>
      </c>
      <c r="AA24" s="848">
        <f t="shared" si="36"/>
        <v>0</v>
      </c>
      <c r="AB24" s="841"/>
      <c r="AC24" s="846">
        <f t="shared" si="37"/>
        <v>9</v>
      </c>
      <c r="AD24" s="847">
        <f t="shared" si="51"/>
        <v>0</v>
      </c>
      <c r="AE24" s="847">
        <f t="shared" si="38"/>
        <v>0</v>
      </c>
      <c r="AF24" s="847">
        <f t="shared" si="39"/>
        <v>0</v>
      </c>
      <c r="AG24" s="847">
        <f t="shared" si="22"/>
        <v>0</v>
      </c>
      <c r="AH24" s="847">
        <f t="shared" si="56"/>
        <v>0</v>
      </c>
      <c r="AI24" s="847">
        <f t="shared" si="40"/>
        <v>0</v>
      </c>
      <c r="AJ24" s="847">
        <f t="shared" si="52"/>
        <v>0</v>
      </c>
      <c r="AK24" s="839">
        <f t="shared" si="23"/>
        <v>0</v>
      </c>
      <c r="AL24" s="839">
        <f t="shared" si="24"/>
        <v>0</v>
      </c>
      <c r="AM24" s="839">
        <f t="shared" si="25"/>
        <v>0</v>
      </c>
      <c r="AN24" s="847">
        <f t="shared" si="53"/>
        <v>0</v>
      </c>
      <c r="AO24" s="848">
        <f t="shared" si="41"/>
        <v>0</v>
      </c>
      <c r="AQ24" s="846">
        <f t="shared" si="42"/>
        <v>9</v>
      </c>
      <c r="AR24" s="847">
        <f t="shared" si="26"/>
        <v>0</v>
      </c>
      <c r="AS24" s="847">
        <f t="shared" si="4"/>
        <v>0</v>
      </c>
      <c r="AT24" s="847">
        <f t="shared" si="5"/>
        <v>0</v>
      </c>
      <c r="AU24" s="847">
        <f t="shared" si="6"/>
        <v>0</v>
      </c>
      <c r="AV24" s="847">
        <f t="shared" si="7"/>
        <v>0</v>
      </c>
      <c r="AW24" s="847">
        <f t="shared" si="8"/>
        <v>0</v>
      </c>
      <c r="AX24" s="847">
        <f t="shared" si="9"/>
        <v>0</v>
      </c>
      <c r="AY24" s="839">
        <f t="shared" si="10"/>
        <v>0</v>
      </c>
      <c r="AZ24" s="839">
        <f t="shared" si="11"/>
        <v>0</v>
      </c>
      <c r="BA24" s="839">
        <f t="shared" si="12"/>
        <v>0</v>
      </c>
      <c r="BB24" s="847">
        <f t="shared" si="13"/>
        <v>0</v>
      </c>
      <c r="BC24" s="848">
        <f t="shared" si="13"/>
        <v>0</v>
      </c>
      <c r="BE24" s="825">
        <f t="shared" si="2"/>
        <v>12</v>
      </c>
      <c r="BF24" s="835" t="str">
        <f>TRIBUTS!K12</f>
        <v>DESEMBRE</v>
      </c>
      <c r="BG24" s="831">
        <f>$AU$27</f>
        <v>0</v>
      </c>
      <c r="BH24" s="831">
        <f t="shared" si="3"/>
        <v>0</v>
      </c>
      <c r="BI24" s="831">
        <f>$AW$27</f>
        <v>0</v>
      </c>
      <c r="BJ24" s="831">
        <f t="shared" si="3"/>
        <v>0</v>
      </c>
      <c r="BK24" s="831">
        <f>$AS$27</f>
        <v>0</v>
      </c>
      <c r="BL24" s="831">
        <f>$AY$27</f>
        <v>0</v>
      </c>
      <c r="BM24" s="831">
        <f>$AZ$27</f>
        <v>0</v>
      </c>
      <c r="BN24" s="831">
        <f t="shared" si="1"/>
        <v>0</v>
      </c>
      <c r="BO24" s="831">
        <f>$BC$27</f>
        <v>0</v>
      </c>
    </row>
    <row r="25" spans="1:142" x14ac:dyDescent="0.25">
      <c r="A25" s="846">
        <f t="shared" si="27"/>
        <v>10</v>
      </c>
      <c r="B25" s="847">
        <f t="shared" si="45"/>
        <v>0</v>
      </c>
      <c r="C25" s="847">
        <f t="shared" si="28"/>
        <v>0</v>
      </c>
      <c r="D25" s="847">
        <f t="shared" si="29"/>
        <v>0</v>
      </c>
      <c r="E25" s="847">
        <f t="shared" si="14"/>
        <v>0</v>
      </c>
      <c r="F25" s="847">
        <f t="shared" si="54"/>
        <v>0</v>
      </c>
      <c r="G25" s="847">
        <f t="shared" si="30"/>
        <v>0</v>
      </c>
      <c r="H25" s="847">
        <f t="shared" si="46"/>
        <v>0</v>
      </c>
      <c r="I25" s="839">
        <f t="shared" si="15"/>
        <v>0</v>
      </c>
      <c r="J25" s="839">
        <f t="shared" si="16"/>
        <v>0</v>
      </c>
      <c r="K25" s="839">
        <f t="shared" si="17"/>
        <v>0</v>
      </c>
      <c r="L25" s="847">
        <f t="shared" si="47"/>
        <v>0</v>
      </c>
      <c r="M25" s="848">
        <f t="shared" si="31"/>
        <v>0</v>
      </c>
      <c r="N25" s="841"/>
      <c r="O25" s="846">
        <f t="shared" si="32"/>
        <v>10</v>
      </c>
      <c r="P25" s="847">
        <f t="shared" si="48"/>
        <v>0</v>
      </c>
      <c r="Q25" s="847">
        <f t="shared" si="33"/>
        <v>0</v>
      </c>
      <c r="R25" s="847">
        <f t="shared" si="34"/>
        <v>0</v>
      </c>
      <c r="S25" s="847">
        <f t="shared" si="18"/>
        <v>0</v>
      </c>
      <c r="T25" s="847">
        <f t="shared" si="55"/>
        <v>0</v>
      </c>
      <c r="U25" s="847">
        <f t="shared" si="35"/>
        <v>0</v>
      </c>
      <c r="V25" s="847">
        <f t="shared" si="49"/>
        <v>0</v>
      </c>
      <c r="W25" s="839">
        <f t="shared" si="19"/>
        <v>0</v>
      </c>
      <c r="X25" s="839">
        <f t="shared" si="20"/>
        <v>0</v>
      </c>
      <c r="Y25" s="839">
        <f t="shared" si="21"/>
        <v>0</v>
      </c>
      <c r="Z25" s="847">
        <f t="shared" si="50"/>
        <v>0</v>
      </c>
      <c r="AA25" s="848">
        <f t="shared" si="36"/>
        <v>0</v>
      </c>
      <c r="AB25" s="841"/>
      <c r="AC25" s="846">
        <f t="shared" si="37"/>
        <v>10</v>
      </c>
      <c r="AD25" s="847">
        <f t="shared" si="51"/>
        <v>0</v>
      </c>
      <c r="AE25" s="847">
        <f t="shared" si="38"/>
        <v>0</v>
      </c>
      <c r="AF25" s="847">
        <f t="shared" si="39"/>
        <v>0</v>
      </c>
      <c r="AG25" s="847">
        <f t="shared" si="22"/>
        <v>0</v>
      </c>
      <c r="AH25" s="847">
        <f t="shared" si="56"/>
        <v>0</v>
      </c>
      <c r="AI25" s="847">
        <f t="shared" si="40"/>
        <v>0</v>
      </c>
      <c r="AJ25" s="847">
        <f t="shared" si="52"/>
        <v>0</v>
      </c>
      <c r="AK25" s="839">
        <f t="shared" si="23"/>
        <v>0</v>
      </c>
      <c r="AL25" s="839">
        <f t="shared" si="24"/>
        <v>0</v>
      </c>
      <c r="AM25" s="839">
        <f t="shared" si="25"/>
        <v>0</v>
      </c>
      <c r="AN25" s="847">
        <f t="shared" si="53"/>
        <v>0</v>
      </c>
      <c r="AO25" s="848">
        <f t="shared" si="41"/>
        <v>0</v>
      </c>
      <c r="AQ25" s="846">
        <f t="shared" si="42"/>
        <v>10</v>
      </c>
      <c r="AR25" s="847">
        <f t="shared" si="26"/>
        <v>0</v>
      </c>
      <c r="AS25" s="847">
        <f t="shared" si="4"/>
        <v>0</v>
      </c>
      <c r="AT25" s="847">
        <f t="shared" si="5"/>
        <v>0</v>
      </c>
      <c r="AU25" s="847">
        <f t="shared" si="6"/>
        <v>0</v>
      </c>
      <c r="AV25" s="847">
        <f t="shared" si="7"/>
        <v>0</v>
      </c>
      <c r="AW25" s="847">
        <f t="shared" si="8"/>
        <v>0</v>
      </c>
      <c r="AX25" s="847">
        <f t="shared" si="9"/>
        <v>0</v>
      </c>
      <c r="AY25" s="839">
        <f t="shared" si="10"/>
        <v>0</v>
      </c>
      <c r="AZ25" s="839">
        <f t="shared" si="11"/>
        <v>0</v>
      </c>
      <c r="BA25" s="839">
        <f t="shared" si="12"/>
        <v>0</v>
      </c>
      <c r="BB25" s="847">
        <f t="shared" si="13"/>
        <v>0</v>
      </c>
      <c r="BC25" s="848">
        <f t="shared" si="13"/>
        <v>0</v>
      </c>
      <c r="BE25" s="826">
        <f t="shared" si="2"/>
        <v>13</v>
      </c>
      <c r="BF25" s="850" t="str">
        <f>BF13</f>
        <v>GENER</v>
      </c>
      <c r="BG25" s="832">
        <f>$AU$28+$AU$102</f>
        <v>0</v>
      </c>
      <c r="BH25" s="832">
        <f t="shared" si="3"/>
        <v>0</v>
      </c>
      <c r="BI25" s="832">
        <f>$AW$28+$AW$102</f>
        <v>0</v>
      </c>
      <c r="BJ25" s="832">
        <f t="shared" si="3"/>
        <v>0</v>
      </c>
      <c r="BK25" s="832">
        <f>$AS$28+$AS$102</f>
        <v>0</v>
      </c>
      <c r="BL25" s="832">
        <f>$AY$28+$AY$102</f>
        <v>0</v>
      </c>
      <c r="BM25" s="832">
        <f>$AZ$28+$AZ$102</f>
        <v>0</v>
      </c>
      <c r="BN25" s="832">
        <f t="shared" ref="BN25:BN36" si="57">BA28+BA102</f>
        <v>0</v>
      </c>
      <c r="BO25" s="832">
        <f>$BC$28+$BC$102</f>
        <v>0</v>
      </c>
    </row>
    <row r="26" spans="1:142" x14ac:dyDescent="0.25">
      <c r="A26" s="846">
        <f t="shared" si="27"/>
        <v>11</v>
      </c>
      <c r="B26" s="847">
        <f t="shared" si="45"/>
        <v>0</v>
      </c>
      <c r="C26" s="847">
        <f t="shared" si="28"/>
        <v>0</v>
      </c>
      <c r="D26" s="847">
        <f t="shared" si="29"/>
        <v>0</v>
      </c>
      <c r="E26" s="847">
        <f t="shared" si="14"/>
        <v>0</v>
      </c>
      <c r="F26" s="847">
        <f t="shared" si="54"/>
        <v>0</v>
      </c>
      <c r="G26" s="847">
        <f t="shared" si="30"/>
        <v>0</v>
      </c>
      <c r="H26" s="847">
        <f t="shared" si="46"/>
        <v>0</v>
      </c>
      <c r="I26" s="839">
        <f t="shared" si="15"/>
        <v>0</v>
      </c>
      <c r="J26" s="839">
        <f t="shared" si="16"/>
        <v>0</v>
      </c>
      <c r="K26" s="839">
        <f t="shared" si="17"/>
        <v>0</v>
      </c>
      <c r="L26" s="847">
        <f t="shared" si="47"/>
        <v>0</v>
      </c>
      <c r="M26" s="848">
        <f t="shared" si="31"/>
        <v>0</v>
      </c>
      <c r="N26" s="841"/>
      <c r="O26" s="846">
        <f t="shared" si="32"/>
        <v>11</v>
      </c>
      <c r="P26" s="847">
        <f t="shared" si="48"/>
        <v>0</v>
      </c>
      <c r="Q26" s="847">
        <f t="shared" si="33"/>
        <v>0</v>
      </c>
      <c r="R26" s="847">
        <f t="shared" si="34"/>
        <v>0</v>
      </c>
      <c r="S26" s="847">
        <f t="shared" si="18"/>
        <v>0</v>
      </c>
      <c r="T26" s="847">
        <f t="shared" si="55"/>
        <v>0</v>
      </c>
      <c r="U26" s="847">
        <f t="shared" si="35"/>
        <v>0</v>
      </c>
      <c r="V26" s="847">
        <f t="shared" si="49"/>
        <v>0</v>
      </c>
      <c r="W26" s="839">
        <f t="shared" si="19"/>
        <v>0</v>
      </c>
      <c r="X26" s="839">
        <f t="shared" si="20"/>
        <v>0</v>
      </c>
      <c r="Y26" s="839">
        <f t="shared" si="21"/>
        <v>0</v>
      </c>
      <c r="Z26" s="847">
        <f t="shared" si="50"/>
        <v>0</v>
      </c>
      <c r="AA26" s="848">
        <f t="shared" si="36"/>
        <v>0</v>
      </c>
      <c r="AB26" s="841"/>
      <c r="AC26" s="846">
        <f t="shared" si="37"/>
        <v>11</v>
      </c>
      <c r="AD26" s="847">
        <f t="shared" si="51"/>
        <v>0</v>
      </c>
      <c r="AE26" s="847">
        <f t="shared" si="38"/>
        <v>0</v>
      </c>
      <c r="AF26" s="847">
        <f t="shared" si="39"/>
        <v>0</v>
      </c>
      <c r="AG26" s="847">
        <f t="shared" si="22"/>
        <v>0</v>
      </c>
      <c r="AH26" s="847">
        <f t="shared" si="56"/>
        <v>0</v>
      </c>
      <c r="AI26" s="847">
        <f t="shared" si="40"/>
        <v>0</v>
      </c>
      <c r="AJ26" s="847">
        <f t="shared" si="52"/>
        <v>0</v>
      </c>
      <c r="AK26" s="839">
        <f t="shared" si="23"/>
        <v>0</v>
      </c>
      <c r="AL26" s="839">
        <f t="shared" si="24"/>
        <v>0</v>
      </c>
      <c r="AM26" s="839">
        <f t="shared" si="25"/>
        <v>0</v>
      </c>
      <c r="AN26" s="847">
        <f t="shared" si="53"/>
        <v>0</v>
      </c>
      <c r="AO26" s="848">
        <f t="shared" si="41"/>
        <v>0</v>
      </c>
      <c r="AQ26" s="846">
        <f t="shared" si="42"/>
        <v>11</v>
      </c>
      <c r="AR26" s="847">
        <f t="shared" si="26"/>
        <v>0</v>
      </c>
      <c r="AS26" s="847">
        <f t="shared" si="4"/>
        <v>0</v>
      </c>
      <c r="AT26" s="847">
        <f t="shared" si="5"/>
        <v>0</v>
      </c>
      <c r="AU26" s="847">
        <f t="shared" si="6"/>
        <v>0</v>
      </c>
      <c r="AV26" s="847">
        <f t="shared" si="7"/>
        <v>0</v>
      </c>
      <c r="AW26" s="847">
        <f t="shared" si="8"/>
        <v>0</v>
      </c>
      <c r="AX26" s="847">
        <f t="shared" si="9"/>
        <v>0</v>
      </c>
      <c r="AY26" s="839">
        <f t="shared" si="10"/>
        <v>0</v>
      </c>
      <c r="AZ26" s="839">
        <f t="shared" si="11"/>
        <v>0</v>
      </c>
      <c r="BA26" s="839">
        <f t="shared" si="12"/>
        <v>0</v>
      </c>
      <c r="BB26" s="847">
        <f t="shared" si="13"/>
        <v>0</v>
      </c>
      <c r="BC26" s="848">
        <f t="shared" si="13"/>
        <v>0</v>
      </c>
      <c r="BE26" s="826">
        <f t="shared" si="2"/>
        <v>14</v>
      </c>
      <c r="BF26" s="850" t="str">
        <f t="shared" ref="BF26:BF36" si="58">BF14</f>
        <v>FEBRER</v>
      </c>
      <c r="BG26" s="832">
        <f>$AU$29+$AU$103</f>
        <v>0</v>
      </c>
      <c r="BH26" s="832">
        <f t="shared" si="3"/>
        <v>0</v>
      </c>
      <c r="BI26" s="832">
        <f>$AW$29+$AW$103</f>
        <v>0</v>
      </c>
      <c r="BJ26" s="832">
        <f t="shared" si="3"/>
        <v>0</v>
      </c>
      <c r="BK26" s="832">
        <f>$AS$29+$AS$103</f>
        <v>0</v>
      </c>
      <c r="BL26" s="832">
        <f>$AY$29+$AY$103</f>
        <v>0</v>
      </c>
      <c r="BM26" s="832">
        <f>$AZ$29+$AZ$103</f>
        <v>0</v>
      </c>
      <c r="BN26" s="832">
        <f t="shared" si="57"/>
        <v>0</v>
      </c>
      <c r="BO26" s="832">
        <f>$BC$29+$BC$103</f>
        <v>0</v>
      </c>
    </row>
    <row r="27" spans="1:142" x14ac:dyDescent="0.25">
      <c r="A27" s="846">
        <f t="shared" si="27"/>
        <v>12</v>
      </c>
      <c r="B27" s="847">
        <f t="shared" si="45"/>
        <v>0</v>
      </c>
      <c r="C27" s="847">
        <f t="shared" si="28"/>
        <v>0</v>
      </c>
      <c r="D27" s="847">
        <f t="shared" si="29"/>
        <v>0</v>
      </c>
      <c r="E27" s="847">
        <f t="shared" si="14"/>
        <v>0</v>
      </c>
      <c r="F27" s="847">
        <f t="shared" si="54"/>
        <v>0</v>
      </c>
      <c r="G27" s="847">
        <f t="shared" si="30"/>
        <v>0</v>
      </c>
      <c r="H27" s="847">
        <f t="shared" si="46"/>
        <v>0</v>
      </c>
      <c r="I27" s="839">
        <f t="shared" si="15"/>
        <v>0</v>
      </c>
      <c r="J27" s="839">
        <f t="shared" si="16"/>
        <v>0</v>
      </c>
      <c r="K27" s="839">
        <f t="shared" si="17"/>
        <v>0</v>
      </c>
      <c r="L27" s="847">
        <f t="shared" si="47"/>
        <v>0</v>
      </c>
      <c r="M27" s="848">
        <f t="shared" si="31"/>
        <v>0</v>
      </c>
      <c r="N27" s="841"/>
      <c r="O27" s="846">
        <f t="shared" si="32"/>
        <v>12</v>
      </c>
      <c r="P27" s="847">
        <f t="shared" si="48"/>
        <v>0</v>
      </c>
      <c r="Q27" s="847">
        <f t="shared" si="33"/>
        <v>0</v>
      </c>
      <c r="R27" s="847">
        <f t="shared" si="34"/>
        <v>0</v>
      </c>
      <c r="S27" s="847">
        <f t="shared" si="18"/>
        <v>0</v>
      </c>
      <c r="T27" s="847">
        <f t="shared" si="55"/>
        <v>0</v>
      </c>
      <c r="U27" s="847">
        <f t="shared" si="35"/>
        <v>0</v>
      </c>
      <c r="V27" s="847">
        <f t="shared" si="49"/>
        <v>0</v>
      </c>
      <c r="W27" s="839">
        <f t="shared" si="19"/>
        <v>0</v>
      </c>
      <c r="X27" s="839">
        <f t="shared" si="20"/>
        <v>0</v>
      </c>
      <c r="Y27" s="839">
        <f t="shared" si="21"/>
        <v>0</v>
      </c>
      <c r="Z27" s="847">
        <f t="shared" si="50"/>
        <v>0</v>
      </c>
      <c r="AA27" s="848">
        <f t="shared" si="36"/>
        <v>0</v>
      </c>
      <c r="AB27" s="841"/>
      <c r="AC27" s="846">
        <f t="shared" si="37"/>
        <v>12</v>
      </c>
      <c r="AD27" s="847">
        <f t="shared" si="51"/>
        <v>0</v>
      </c>
      <c r="AE27" s="847">
        <f t="shared" si="38"/>
        <v>0</v>
      </c>
      <c r="AF27" s="847">
        <f t="shared" si="39"/>
        <v>0</v>
      </c>
      <c r="AG27" s="847">
        <f t="shared" si="22"/>
        <v>0</v>
      </c>
      <c r="AH27" s="847">
        <f t="shared" si="56"/>
        <v>0</v>
      </c>
      <c r="AI27" s="847">
        <f t="shared" si="40"/>
        <v>0</v>
      </c>
      <c r="AJ27" s="847">
        <f t="shared" si="52"/>
        <v>0</v>
      </c>
      <c r="AK27" s="839">
        <f t="shared" si="23"/>
        <v>0</v>
      </c>
      <c r="AL27" s="839">
        <f t="shared" si="24"/>
        <v>0</v>
      </c>
      <c r="AM27" s="839">
        <f t="shared" si="25"/>
        <v>0</v>
      </c>
      <c r="AN27" s="847">
        <f t="shared" si="53"/>
        <v>0</v>
      </c>
      <c r="AO27" s="848">
        <f t="shared" si="41"/>
        <v>0</v>
      </c>
      <c r="AQ27" s="846">
        <f t="shared" si="42"/>
        <v>12</v>
      </c>
      <c r="AR27" s="847">
        <f t="shared" si="26"/>
        <v>0</v>
      </c>
      <c r="AS27" s="847">
        <f t="shared" si="4"/>
        <v>0</v>
      </c>
      <c r="AT27" s="847">
        <f t="shared" si="5"/>
        <v>0</v>
      </c>
      <c r="AU27" s="847">
        <f t="shared" si="6"/>
        <v>0</v>
      </c>
      <c r="AV27" s="847">
        <f t="shared" si="7"/>
        <v>0</v>
      </c>
      <c r="AW27" s="847">
        <f t="shared" si="8"/>
        <v>0</v>
      </c>
      <c r="AX27" s="847">
        <f t="shared" si="9"/>
        <v>0</v>
      </c>
      <c r="AY27" s="839">
        <f t="shared" si="10"/>
        <v>0</v>
      </c>
      <c r="AZ27" s="839">
        <f t="shared" si="11"/>
        <v>0</v>
      </c>
      <c r="BA27" s="839">
        <f t="shared" si="12"/>
        <v>0</v>
      </c>
      <c r="BB27" s="847">
        <f t="shared" si="13"/>
        <v>0</v>
      </c>
      <c r="BC27" s="848">
        <f t="shared" si="13"/>
        <v>0</v>
      </c>
      <c r="BE27" s="826">
        <f t="shared" si="2"/>
        <v>15</v>
      </c>
      <c r="BF27" s="850" t="str">
        <f t="shared" si="58"/>
        <v>MARÇ</v>
      </c>
      <c r="BG27" s="832">
        <f>$AU$30+$AU$104</f>
        <v>0</v>
      </c>
      <c r="BH27" s="832">
        <f t="shared" si="3"/>
        <v>0</v>
      </c>
      <c r="BI27" s="832">
        <f>$AW$30+$AW$104</f>
        <v>0</v>
      </c>
      <c r="BJ27" s="832">
        <f t="shared" si="3"/>
        <v>0</v>
      </c>
      <c r="BK27" s="832">
        <f>$AS$30+$AS$104</f>
        <v>0</v>
      </c>
      <c r="BL27" s="832">
        <f>$AY$30+$AY$104</f>
        <v>0</v>
      </c>
      <c r="BM27" s="832">
        <f>$AZ$30+$AZ$104</f>
        <v>0</v>
      </c>
      <c r="BN27" s="832">
        <f t="shared" si="57"/>
        <v>0</v>
      </c>
      <c r="BO27" s="832">
        <f>$BC$30+$BC$104</f>
        <v>0</v>
      </c>
    </row>
    <row r="28" spans="1:142" x14ac:dyDescent="0.25">
      <c r="A28" s="846">
        <f t="shared" si="27"/>
        <v>13</v>
      </c>
      <c r="B28" s="847">
        <f t="shared" si="45"/>
        <v>0</v>
      </c>
      <c r="C28" s="847">
        <f t="shared" si="28"/>
        <v>0</v>
      </c>
      <c r="D28" s="847">
        <f t="shared" si="29"/>
        <v>0</v>
      </c>
      <c r="E28" s="847">
        <f t="shared" si="14"/>
        <v>0</v>
      </c>
      <c r="F28" s="847">
        <f t="shared" si="54"/>
        <v>0</v>
      </c>
      <c r="G28" s="847">
        <f t="shared" si="30"/>
        <v>0</v>
      </c>
      <c r="H28" s="847">
        <f t="shared" si="46"/>
        <v>0</v>
      </c>
      <c r="I28" s="839">
        <f t="shared" si="15"/>
        <v>0</v>
      </c>
      <c r="J28" s="839">
        <f t="shared" si="16"/>
        <v>0</v>
      </c>
      <c r="K28" s="839">
        <f t="shared" si="17"/>
        <v>0</v>
      </c>
      <c r="L28" s="847">
        <f t="shared" si="47"/>
        <v>0</v>
      </c>
      <c r="M28" s="848">
        <f t="shared" si="31"/>
        <v>0</v>
      </c>
      <c r="N28" s="841"/>
      <c r="O28" s="846">
        <f t="shared" si="32"/>
        <v>13</v>
      </c>
      <c r="P28" s="847">
        <f t="shared" si="48"/>
        <v>0</v>
      </c>
      <c r="Q28" s="847">
        <f t="shared" si="33"/>
        <v>0</v>
      </c>
      <c r="R28" s="847">
        <f t="shared" si="34"/>
        <v>0</v>
      </c>
      <c r="S28" s="847">
        <f t="shared" si="18"/>
        <v>0</v>
      </c>
      <c r="T28" s="847">
        <f t="shared" si="55"/>
        <v>0</v>
      </c>
      <c r="U28" s="847">
        <f t="shared" si="35"/>
        <v>0</v>
      </c>
      <c r="V28" s="847">
        <f t="shared" si="49"/>
        <v>0</v>
      </c>
      <c r="W28" s="839">
        <f t="shared" si="19"/>
        <v>0</v>
      </c>
      <c r="X28" s="839">
        <f t="shared" si="20"/>
        <v>0</v>
      </c>
      <c r="Y28" s="839">
        <f t="shared" si="21"/>
        <v>0</v>
      </c>
      <c r="Z28" s="847">
        <f t="shared" si="50"/>
        <v>0</v>
      </c>
      <c r="AA28" s="848">
        <f t="shared" si="36"/>
        <v>0</v>
      </c>
      <c r="AB28" s="841"/>
      <c r="AC28" s="846">
        <f t="shared" si="37"/>
        <v>13</v>
      </c>
      <c r="AD28" s="847">
        <f t="shared" si="51"/>
        <v>0</v>
      </c>
      <c r="AE28" s="847">
        <f t="shared" si="38"/>
        <v>0</v>
      </c>
      <c r="AF28" s="847">
        <f t="shared" si="39"/>
        <v>0</v>
      </c>
      <c r="AG28" s="847">
        <f t="shared" si="22"/>
        <v>0</v>
      </c>
      <c r="AH28" s="847">
        <f t="shared" si="56"/>
        <v>0</v>
      </c>
      <c r="AI28" s="847">
        <f t="shared" si="40"/>
        <v>0</v>
      </c>
      <c r="AJ28" s="847">
        <f t="shared" si="52"/>
        <v>0</v>
      </c>
      <c r="AK28" s="839">
        <f t="shared" si="23"/>
        <v>0</v>
      </c>
      <c r="AL28" s="839">
        <f t="shared" si="24"/>
        <v>0</v>
      </c>
      <c r="AM28" s="839">
        <f t="shared" si="25"/>
        <v>0</v>
      </c>
      <c r="AN28" s="847">
        <f t="shared" si="53"/>
        <v>0</v>
      </c>
      <c r="AO28" s="848">
        <f t="shared" si="41"/>
        <v>0</v>
      </c>
      <c r="AQ28" s="846">
        <f t="shared" si="42"/>
        <v>13</v>
      </c>
      <c r="AR28" s="847">
        <f t="shared" si="26"/>
        <v>0</v>
      </c>
      <c r="AS28" s="847">
        <f t="shared" si="4"/>
        <v>0</v>
      </c>
      <c r="AT28" s="847">
        <f t="shared" si="5"/>
        <v>0</v>
      </c>
      <c r="AU28" s="847">
        <f t="shared" si="6"/>
        <v>0</v>
      </c>
      <c r="AV28" s="847">
        <f t="shared" si="7"/>
        <v>0</v>
      </c>
      <c r="AW28" s="847">
        <f t="shared" si="8"/>
        <v>0</v>
      </c>
      <c r="AX28" s="847">
        <f t="shared" si="9"/>
        <v>0</v>
      </c>
      <c r="AY28" s="839">
        <f t="shared" si="10"/>
        <v>0</v>
      </c>
      <c r="AZ28" s="839">
        <f t="shared" si="11"/>
        <v>0</v>
      </c>
      <c r="BA28" s="839">
        <f t="shared" si="12"/>
        <v>0</v>
      </c>
      <c r="BB28" s="847">
        <f t="shared" si="13"/>
        <v>0</v>
      </c>
      <c r="BC28" s="848">
        <f t="shared" si="13"/>
        <v>0</v>
      </c>
      <c r="BE28" s="826">
        <f t="shared" si="2"/>
        <v>16</v>
      </c>
      <c r="BF28" s="850" t="str">
        <f t="shared" si="58"/>
        <v>ABRIL</v>
      </c>
      <c r="BG28" s="832">
        <f>$AU$31+$AU$105</f>
        <v>0</v>
      </c>
      <c r="BH28" s="832">
        <f t="shared" si="3"/>
        <v>0</v>
      </c>
      <c r="BI28" s="832">
        <f>$AW$31+$AW$105</f>
        <v>0</v>
      </c>
      <c r="BJ28" s="832">
        <f t="shared" si="3"/>
        <v>0</v>
      </c>
      <c r="BK28" s="832">
        <f>$AS$31+$AS$105</f>
        <v>0</v>
      </c>
      <c r="BL28" s="832">
        <f>$AY$31+$AY$105</f>
        <v>0</v>
      </c>
      <c r="BM28" s="832">
        <f>$AZ$31+$AZ$105</f>
        <v>0</v>
      </c>
      <c r="BN28" s="832">
        <f t="shared" si="57"/>
        <v>0</v>
      </c>
      <c r="BO28" s="832">
        <f>$BC$31+$BC$105</f>
        <v>0</v>
      </c>
    </row>
    <row r="29" spans="1:142" x14ac:dyDescent="0.25">
      <c r="A29" s="846">
        <f t="shared" si="27"/>
        <v>14</v>
      </c>
      <c r="B29" s="847">
        <f t="shared" si="45"/>
        <v>0</v>
      </c>
      <c r="C29" s="847">
        <f t="shared" si="28"/>
        <v>0</v>
      </c>
      <c r="D29" s="847">
        <f t="shared" si="29"/>
        <v>0</v>
      </c>
      <c r="E29" s="847">
        <f t="shared" si="14"/>
        <v>0</v>
      </c>
      <c r="F29" s="847">
        <f t="shared" si="54"/>
        <v>0</v>
      </c>
      <c r="G29" s="847">
        <f t="shared" si="30"/>
        <v>0</v>
      </c>
      <c r="H29" s="847">
        <f t="shared" si="46"/>
        <v>0</v>
      </c>
      <c r="I29" s="839">
        <f t="shared" si="15"/>
        <v>0</v>
      </c>
      <c r="J29" s="839">
        <f t="shared" si="16"/>
        <v>0</v>
      </c>
      <c r="K29" s="839">
        <f t="shared" si="17"/>
        <v>0</v>
      </c>
      <c r="L29" s="847">
        <f t="shared" si="47"/>
        <v>0</v>
      </c>
      <c r="M29" s="848">
        <f t="shared" si="31"/>
        <v>0</v>
      </c>
      <c r="N29" s="841"/>
      <c r="O29" s="846">
        <f t="shared" si="32"/>
        <v>14</v>
      </c>
      <c r="P29" s="847">
        <f t="shared" si="48"/>
        <v>0</v>
      </c>
      <c r="Q29" s="847">
        <f t="shared" si="33"/>
        <v>0</v>
      </c>
      <c r="R29" s="847">
        <f t="shared" si="34"/>
        <v>0</v>
      </c>
      <c r="S29" s="847">
        <f t="shared" si="18"/>
        <v>0</v>
      </c>
      <c r="T29" s="847">
        <f t="shared" si="55"/>
        <v>0</v>
      </c>
      <c r="U29" s="847">
        <f t="shared" si="35"/>
        <v>0</v>
      </c>
      <c r="V29" s="847">
        <f t="shared" si="49"/>
        <v>0</v>
      </c>
      <c r="W29" s="839">
        <f t="shared" si="19"/>
        <v>0</v>
      </c>
      <c r="X29" s="839">
        <f t="shared" si="20"/>
        <v>0</v>
      </c>
      <c r="Y29" s="839">
        <f t="shared" si="21"/>
        <v>0</v>
      </c>
      <c r="Z29" s="847">
        <f t="shared" si="50"/>
        <v>0</v>
      </c>
      <c r="AA29" s="848">
        <f t="shared" si="36"/>
        <v>0</v>
      </c>
      <c r="AB29" s="841"/>
      <c r="AC29" s="846">
        <f t="shared" si="37"/>
        <v>14</v>
      </c>
      <c r="AD29" s="847">
        <f t="shared" si="51"/>
        <v>0</v>
      </c>
      <c r="AE29" s="847">
        <f t="shared" si="38"/>
        <v>0</v>
      </c>
      <c r="AF29" s="847">
        <f t="shared" si="39"/>
        <v>0</v>
      </c>
      <c r="AG29" s="847">
        <f t="shared" si="22"/>
        <v>0</v>
      </c>
      <c r="AH29" s="847">
        <f t="shared" si="56"/>
        <v>0</v>
      </c>
      <c r="AI29" s="847">
        <f t="shared" si="40"/>
        <v>0</v>
      </c>
      <c r="AJ29" s="847">
        <f t="shared" si="52"/>
        <v>0</v>
      </c>
      <c r="AK29" s="839">
        <f t="shared" si="23"/>
        <v>0</v>
      </c>
      <c r="AL29" s="839">
        <f t="shared" si="24"/>
        <v>0</v>
      </c>
      <c r="AM29" s="839">
        <f t="shared" si="25"/>
        <v>0</v>
      </c>
      <c r="AN29" s="847">
        <f t="shared" si="53"/>
        <v>0</v>
      </c>
      <c r="AO29" s="848">
        <f t="shared" si="41"/>
        <v>0</v>
      </c>
      <c r="AQ29" s="846">
        <f t="shared" si="42"/>
        <v>14</v>
      </c>
      <c r="AR29" s="847">
        <f t="shared" si="26"/>
        <v>0</v>
      </c>
      <c r="AS29" s="847">
        <f t="shared" si="4"/>
        <v>0</v>
      </c>
      <c r="AT29" s="847">
        <f t="shared" si="5"/>
        <v>0</v>
      </c>
      <c r="AU29" s="847">
        <f t="shared" si="6"/>
        <v>0</v>
      </c>
      <c r="AV29" s="847">
        <f t="shared" si="7"/>
        <v>0</v>
      </c>
      <c r="AW29" s="847">
        <f t="shared" si="8"/>
        <v>0</v>
      </c>
      <c r="AX29" s="847">
        <f t="shared" si="9"/>
        <v>0</v>
      </c>
      <c r="AY29" s="839">
        <f t="shared" si="10"/>
        <v>0</v>
      </c>
      <c r="AZ29" s="839">
        <f t="shared" si="11"/>
        <v>0</v>
      </c>
      <c r="BA29" s="839">
        <f t="shared" si="12"/>
        <v>0</v>
      </c>
      <c r="BB29" s="847">
        <f t="shared" si="13"/>
        <v>0</v>
      </c>
      <c r="BC29" s="848">
        <f t="shared" si="13"/>
        <v>0</v>
      </c>
      <c r="BE29" s="826">
        <f t="shared" si="2"/>
        <v>17</v>
      </c>
      <c r="BF29" s="850" t="str">
        <f t="shared" si="58"/>
        <v>MAIG</v>
      </c>
      <c r="BG29" s="832">
        <f>$AU$32+$AU$106</f>
        <v>0</v>
      </c>
      <c r="BH29" s="832">
        <f t="shared" si="3"/>
        <v>0</v>
      </c>
      <c r="BI29" s="832">
        <f>$AW$32+$AW$106</f>
        <v>0</v>
      </c>
      <c r="BJ29" s="832">
        <f t="shared" si="3"/>
        <v>0</v>
      </c>
      <c r="BK29" s="832">
        <f>$AS$32+$AS$106</f>
        <v>0</v>
      </c>
      <c r="BL29" s="832">
        <f>$AY$32+$AY$106</f>
        <v>0</v>
      </c>
      <c r="BM29" s="832">
        <f>$AZ$32+$AZ$106</f>
        <v>0</v>
      </c>
      <c r="BN29" s="832">
        <f t="shared" si="57"/>
        <v>0</v>
      </c>
      <c r="BO29" s="832">
        <f>$BC$32+$BC$106</f>
        <v>0</v>
      </c>
    </row>
    <row r="30" spans="1:142" x14ac:dyDescent="0.25">
      <c r="A30" s="846">
        <f t="shared" si="27"/>
        <v>15</v>
      </c>
      <c r="B30" s="847">
        <f t="shared" si="45"/>
        <v>0</v>
      </c>
      <c r="C30" s="847">
        <f t="shared" si="28"/>
        <v>0</v>
      </c>
      <c r="D30" s="847">
        <f t="shared" si="29"/>
        <v>0</v>
      </c>
      <c r="E30" s="847">
        <f t="shared" si="14"/>
        <v>0</v>
      </c>
      <c r="F30" s="847">
        <f>IF(L30=0,0,E30+F29)</f>
        <v>0</v>
      </c>
      <c r="G30" s="847">
        <f t="shared" si="30"/>
        <v>0</v>
      </c>
      <c r="H30" s="847">
        <f t="shared" si="46"/>
        <v>0</v>
      </c>
      <c r="I30" s="839">
        <f t="shared" si="15"/>
        <v>0</v>
      </c>
      <c r="J30" s="839">
        <f t="shared" si="16"/>
        <v>0</v>
      </c>
      <c r="K30" s="839">
        <f t="shared" si="17"/>
        <v>0</v>
      </c>
      <c r="L30" s="847">
        <f t="shared" si="47"/>
        <v>0</v>
      </c>
      <c r="M30" s="848">
        <f t="shared" si="31"/>
        <v>0</v>
      </c>
      <c r="N30" s="841"/>
      <c r="O30" s="846">
        <f t="shared" si="32"/>
        <v>15</v>
      </c>
      <c r="P30" s="847">
        <f t="shared" si="48"/>
        <v>0</v>
      </c>
      <c r="Q30" s="847">
        <f t="shared" si="33"/>
        <v>0</v>
      </c>
      <c r="R30" s="847">
        <f t="shared" si="34"/>
        <v>0</v>
      </c>
      <c r="S30" s="847">
        <f t="shared" si="18"/>
        <v>0</v>
      </c>
      <c r="T30" s="847">
        <f>IF(Z30=0,0,S30+T29)</f>
        <v>0</v>
      </c>
      <c r="U30" s="847">
        <f t="shared" si="35"/>
        <v>0</v>
      </c>
      <c r="V30" s="847">
        <f t="shared" si="49"/>
        <v>0</v>
      </c>
      <c r="W30" s="839">
        <f t="shared" si="19"/>
        <v>0</v>
      </c>
      <c r="X30" s="839">
        <f t="shared" si="20"/>
        <v>0</v>
      </c>
      <c r="Y30" s="839">
        <f t="shared" si="21"/>
        <v>0</v>
      </c>
      <c r="Z30" s="847">
        <f t="shared" si="50"/>
        <v>0</v>
      </c>
      <c r="AA30" s="848">
        <f t="shared" si="36"/>
        <v>0</v>
      </c>
      <c r="AB30" s="841"/>
      <c r="AC30" s="846">
        <f t="shared" si="37"/>
        <v>15</v>
      </c>
      <c r="AD30" s="847">
        <f t="shared" si="51"/>
        <v>0</v>
      </c>
      <c r="AE30" s="847">
        <f t="shared" si="38"/>
        <v>0</v>
      </c>
      <c r="AF30" s="847">
        <f t="shared" si="39"/>
        <v>0</v>
      </c>
      <c r="AG30" s="847">
        <f t="shared" si="22"/>
        <v>0</v>
      </c>
      <c r="AH30" s="847">
        <f>IF(AN30=0,0,AG30+AH29)</f>
        <v>0</v>
      </c>
      <c r="AI30" s="847">
        <f t="shared" si="40"/>
        <v>0</v>
      </c>
      <c r="AJ30" s="847">
        <f t="shared" si="52"/>
        <v>0</v>
      </c>
      <c r="AK30" s="839">
        <f t="shared" si="23"/>
        <v>0</v>
      </c>
      <c r="AL30" s="839">
        <f t="shared" si="24"/>
        <v>0</v>
      </c>
      <c r="AM30" s="839">
        <f t="shared" si="25"/>
        <v>0</v>
      </c>
      <c r="AN30" s="847">
        <f t="shared" si="53"/>
        <v>0</v>
      </c>
      <c r="AO30" s="848">
        <f t="shared" si="41"/>
        <v>0</v>
      </c>
      <c r="AQ30" s="846">
        <f t="shared" si="42"/>
        <v>15</v>
      </c>
      <c r="AR30" s="847">
        <f t="shared" si="26"/>
        <v>0</v>
      </c>
      <c r="AS30" s="847">
        <f t="shared" si="4"/>
        <v>0</v>
      </c>
      <c r="AT30" s="847">
        <f t="shared" si="5"/>
        <v>0</v>
      </c>
      <c r="AU30" s="847">
        <f t="shared" si="6"/>
        <v>0</v>
      </c>
      <c r="AV30" s="847">
        <f t="shared" si="7"/>
        <v>0</v>
      </c>
      <c r="AW30" s="847">
        <f t="shared" si="8"/>
        <v>0</v>
      </c>
      <c r="AX30" s="847">
        <f t="shared" si="9"/>
        <v>0</v>
      </c>
      <c r="AY30" s="839">
        <f t="shared" si="10"/>
        <v>0</v>
      </c>
      <c r="AZ30" s="839">
        <f t="shared" si="11"/>
        <v>0</v>
      </c>
      <c r="BA30" s="839">
        <f t="shared" si="12"/>
        <v>0</v>
      </c>
      <c r="BB30" s="847">
        <f t="shared" si="13"/>
        <v>0</v>
      </c>
      <c r="BC30" s="848">
        <f t="shared" si="13"/>
        <v>0</v>
      </c>
      <c r="BE30" s="826">
        <f t="shared" si="2"/>
        <v>18</v>
      </c>
      <c r="BF30" s="850" t="str">
        <f t="shared" si="58"/>
        <v>JUNY</v>
      </c>
      <c r="BG30" s="832">
        <f>$AU$33+$AU$107</f>
        <v>0</v>
      </c>
      <c r="BH30" s="832">
        <f t="shared" si="3"/>
        <v>0</v>
      </c>
      <c r="BI30" s="832">
        <f>$AW$33+$AW$107</f>
        <v>0</v>
      </c>
      <c r="BJ30" s="832">
        <f t="shared" si="3"/>
        <v>0</v>
      </c>
      <c r="BK30" s="832">
        <f>$AS$33+$AS$107</f>
        <v>0</v>
      </c>
      <c r="BL30" s="832">
        <f>$AY$33+$AY$107</f>
        <v>0</v>
      </c>
      <c r="BM30" s="832">
        <f>$AZ$33+$AZ$107</f>
        <v>0</v>
      </c>
      <c r="BN30" s="832">
        <f t="shared" si="57"/>
        <v>0</v>
      </c>
      <c r="BO30" s="832">
        <f>$BC$33+$BC$107</f>
        <v>0</v>
      </c>
    </row>
    <row r="31" spans="1:142" x14ac:dyDescent="0.25">
      <c r="A31" s="846">
        <f t="shared" si="27"/>
        <v>16</v>
      </c>
      <c r="B31" s="847">
        <f t="shared" si="45"/>
        <v>0</v>
      </c>
      <c r="C31" s="847">
        <f t="shared" si="28"/>
        <v>0</v>
      </c>
      <c r="D31" s="847">
        <f t="shared" si="29"/>
        <v>0</v>
      </c>
      <c r="E31" s="847">
        <f t="shared" si="14"/>
        <v>0</v>
      </c>
      <c r="F31" s="847">
        <f t="shared" si="54"/>
        <v>0</v>
      </c>
      <c r="G31" s="847">
        <f t="shared" si="30"/>
        <v>0</v>
      </c>
      <c r="H31" s="847">
        <f t="shared" si="46"/>
        <v>0</v>
      </c>
      <c r="I31" s="839">
        <f t="shared" si="15"/>
        <v>0</v>
      </c>
      <c r="J31" s="839">
        <f t="shared" si="16"/>
        <v>0</v>
      </c>
      <c r="K31" s="839">
        <f t="shared" si="17"/>
        <v>0</v>
      </c>
      <c r="L31" s="847">
        <f t="shared" si="47"/>
        <v>0</v>
      </c>
      <c r="M31" s="848">
        <f t="shared" si="31"/>
        <v>0</v>
      </c>
      <c r="N31" s="841"/>
      <c r="O31" s="846">
        <f t="shared" si="32"/>
        <v>16</v>
      </c>
      <c r="P31" s="847">
        <f t="shared" si="48"/>
        <v>0</v>
      </c>
      <c r="Q31" s="847">
        <f t="shared" si="33"/>
        <v>0</v>
      </c>
      <c r="R31" s="847">
        <f t="shared" si="34"/>
        <v>0</v>
      </c>
      <c r="S31" s="847">
        <f t="shared" si="18"/>
        <v>0</v>
      </c>
      <c r="T31" s="847">
        <f t="shared" ref="T31:T85" si="59">IF(Z31=0,0,S31+T30)</f>
        <v>0</v>
      </c>
      <c r="U31" s="847">
        <f t="shared" si="35"/>
        <v>0</v>
      </c>
      <c r="V31" s="847">
        <f t="shared" si="49"/>
        <v>0</v>
      </c>
      <c r="W31" s="839">
        <f t="shared" si="19"/>
        <v>0</v>
      </c>
      <c r="X31" s="839">
        <f t="shared" si="20"/>
        <v>0</v>
      </c>
      <c r="Y31" s="839">
        <f t="shared" si="21"/>
        <v>0</v>
      </c>
      <c r="Z31" s="847">
        <f t="shared" si="50"/>
        <v>0</v>
      </c>
      <c r="AA31" s="848">
        <f t="shared" si="36"/>
        <v>0</v>
      </c>
      <c r="AB31" s="841"/>
      <c r="AC31" s="846">
        <f t="shared" si="37"/>
        <v>16</v>
      </c>
      <c r="AD31" s="847">
        <f t="shared" si="51"/>
        <v>0</v>
      </c>
      <c r="AE31" s="847">
        <f t="shared" si="38"/>
        <v>0</v>
      </c>
      <c r="AF31" s="847">
        <f t="shared" si="39"/>
        <v>0</v>
      </c>
      <c r="AG31" s="847">
        <f t="shared" si="22"/>
        <v>0</v>
      </c>
      <c r="AH31" s="847">
        <f t="shared" ref="AH31:AH85" si="60">IF(AN31=0,0,AG31+AH30)</f>
        <v>0</v>
      </c>
      <c r="AI31" s="847">
        <f t="shared" si="40"/>
        <v>0</v>
      </c>
      <c r="AJ31" s="847">
        <f t="shared" si="52"/>
        <v>0</v>
      </c>
      <c r="AK31" s="839">
        <f t="shared" si="23"/>
        <v>0</v>
      </c>
      <c r="AL31" s="839">
        <f t="shared" si="24"/>
        <v>0</v>
      </c>
      <c r="AM31" s="839">
        <f t="shared" si="25"/>
        <v>0</v>
      </c>
      <c r="AN31" s="847">
        <f t="shared" si="53"/>
        <v>0</v>
      </c>
      <c r="AO31" s="848">
        <f t="shared" si="41"/>
        <v>0</v>
      </c>
      <c r="AQ31" s="846">
        <f t="shared" si="42"/>
        <v>16</v>
      </c>
      <c r="AR31" s="847">
        <f t="shared" si="26"/>
        <v>0</v>
      </c>
      <c r="AS31" s="847">
        <f t="shared" si="4"/>
        <v>0</v>
      </c>
      <c r="AT31" s="847">
        <f t="shared" si="5"/>
        <v>0</v>
      </c>
      <c r="AU31" s="847">
        <f t="shared" si="6"/>
        <v>0</v>
      </c>
      <c r="AV31" s="847">
        <f t="shared" si="7"/>
        <v>0</v>
      </c>
      <c r="AW31" s="847">
        <f t="shared" si="8"/>
        <v>0</v>
      </c>
      <c r="AX31" s="847">
        <f t="shared" si="9"/>
        <v>0</v>
      </c>
      <c r="AY31" s="839">
        <f t="shared" si="10"/>
        <v>0</v>
      </c>
      <c r="AZ31" s="839">
        <f t="shared" si="11"/>
        <v>0</v>
      </c>
      <c r="BA31" s="839">
        <f t="shared" si="12"/>
        <v>0</v>
      </c>
      <c r="BB31" s="847">
        <f t="shared" si="13"/>
        <v>0</v>
      </c>
      <c r="BC31" s="848">
        <f t="shared" si="13"/>
        <v>0</v>
      </c>
      <c r="BE31" s="826">
        <f t="shared" si="2"/>
        <v>19</v>
      </c>
      <c r="BF31" s="850" t="str">
        <f t="shared" si="58"/>
        <v>JULIOL</v>
      </c>
      <c r="BG31" s="832">
        <f>$AU$34+$AU$108</f>
        <v>0</v>
      </c>
      <c r="BH31" s="832">
        <f t="shared" si="3"/>
        <v>0</v>
      </c>
      <c r="BI31" s="832">
        <f>$AW$34+$AW$108</f>
        <v>0</v>
      </c>
      <c r="BJ31" s="832">
        <f t="shared" si="3"/>
        <v>0</v>
      </c>
      <c r="BK31" s="832">
        <f>$AS$34+$AS$108</f>
        <v>0</v>
      </c>
      <c r="BL31" s="832">
        <f>$AY$34+$AY$108</f>
        <v>0</v>
      </c>
      <c r="BM31" s="832">
        <f>$AZ$34+$AZ$108</f>
        <v>0</v>
      </c>
      <c r="BN31" s="832">
        <f t="shared" si="57"/>
        <v>0</v>
      </c>
      <c r="BO31" s="832">
        <f>$BC$34+$BC$108</f>
        <v>0</v>
      </c>
    </row>
    <row r="32" spans="1:142" x14ac:dyDescent="0.25">
      <c r="A32" s="846">
        <f t="shared" si="27"/>
        <v>17</v>
      </c>
      <c r="B32" s="847">
        <f t="shared" si="45"/>
        <v>0</v>
      </c>
      <c r="C32" s="847">
        <f t="shared" si="28"/>
        <v>0</v>
      </c>
      <c r="D32" s="847">
        <f t="shared" si="29"/>
        <v>0</v>
      </c>
      <c r="E32" s="847">
        <f t="shared" si="14"/>
        <v>0</v>
      </c>
      <c r="F32" s="847">
        <f t="shared" si="54"/>
        <v>0</v>
      </c>
      <c r="G32" s="847">
        <f t="shared" si="30"/>
        <v>0</v>
      </c>
      <c r="H32" s="847">
        <f t="shared" si="46"/>
        <v>0</v>
      </c>
      <c r="I32" s="839">
        <f t="shared" si="15"/>
        <v>0</v>
      </c>
      <c r="J32" s="839">
        <f t="shared" si="16"/>
        <v>0</v>
      </c>
      <c r="K32" s="839">
        <f t="shared" si="17"/>
        <v>0</v>
      </c>
      <c r="L32" s="847">
        <f t="shared" si="47"/>
        <v>0</v>
      </c>
      <c r="M32" s="848">
        <f t="shared" si="31"/>
        <v>0</v>
      </c>
      <c r="N32" s="841"/>
      <c r="O32" s="846">
        <f t="shared" si="32"/>
        <v>17</v>
      </c>
      <c r="P32" s="847">
        <f t="shared" si="48"/>
        <v>0</v>
      </c>
      <c r="Q32" s="847">
        <f t="shared" si="33"/>
        <v>0</v>
      </c>
      <c r="R32" s="847">
        <f t="shared" si="34"/>
        <v>0</v>
      </c>
      <c r="S32" s="847">
        <f t="shared" si="18"/>
        <v>0</v>
      </c>
      <c r="T32" s="847">
        <f t="shared" si="59"/>
        <v>0</v>
      </c>
      <c r="U32" s="847">
        <f t="shared" si="35"/>
        <v>0</v>
      </c>
      <c r="V32" s="847">
        <f t="shared" si="49"/>
        <v>0</v>
      </c>
      <c r="W32" s="839">
        <f t="shared" si="19"/>
        <v>0</v>
      </c>
      <c r="X32" s="839">
        <f t="shared" si="20"/>
        <v>0</v>
      </c>
      <c r="Y32" s="839">
        <f t="shared" si="21"/>
        <v>0</v>
      </c>
      <c r="Z32" s="847">
        <f t="shared" si="50"/>
        <v>0</v>
      </c>
      <c r="AA32" s="848">
        <f t="shared" si="36"/>
        <v>0</v>
      </c>
      <c r="AB32" s="841"/>
      <c r="AC32" s="846">
        <f t="shared" si="37"/>
        <v>17</v>
      </c>
      <c r="AD32" s="847">
        <f t="shared" si="51"/>
        <v>0</v>
      </c>
      <c r="AE32" s="847">
        <f t="shared" si="38"/>
        <v>0</v>
      </c>
      <c r="AF32" s="847">
        <f t="shared" si="39"/>
        <v>0</v>
      </c>
      <c r="AG32" s="847">
        <f t="shared" si="22"/>
        <v>0</v>
      </c>
      <c r="AH32" s="847">
        <f t="shared" si="60"/>
        <v>0</v>
      </c>
      <c r="AI32" s="847">
        <f t="shared" si="40"/>
        <v>0</v>
      </c>
      <c r="AJ32" s="847">
        <f t="shared" si="52"/>
        <v>0</v>
      </c>
      <c r="AK32" s="839">
        <f t="shared" si="23"/>
        <v>0</v>
      </c>
      <c r="AL32" s="839">
        <f t="shared" si="24"/>
        <v>0</v>
      </c>
      <c r="AM32" s="839">
        <f t="shared" si="25"/>
        <v>0</v>
      </c>
      <c r="AN32" s="847">
        <f t="shared" si="53"/>
        <v>0</v>
      </c>
      <c r="AO32" s="848">
        <f t="shared" si="41"/>
        <v>0</v>
      </c>
      <c r="AQ32" s="846">
        <f t="shared" si="42"/>
        <v>17</v>
      </c>
      <c r="AR32" s="847">
        <f t="shared" si="26"/>
        <v>0</v>
      </c>
      <c r="AS32" s="847">
        <f t="shared" si="4"/>
        <v>0</v>
      </c>
      <c r="AT32" s="847">
        <f t="shared" si="5"/>
        <v>0</v>
      </c>
      <c r="AU32" s="847">
        <f t="shared" si="6"/>
        <v>0</v>
      </c>
      <c r="AV32" s="847">
        <f t="shared" si="7"/>
        <v>0</v>
      </c>
      <c r="AW32" s="847">
        <f t="shared" si="8"/>
        <v>0</v>
      </c>
      <c r="AX32" s="847">
        <f t="shared" si="9"/>
        <v>0</v>
      </c>
      <c r="AY32" s="839">
        <f t="shared" si="10"/>
        <v>0</v>
      </c>
      <c r="AZ32" s="839">
        <f t="shared" si="11"/>
        <v>0</v>
      </c>
      <c r="BA32" s="839">
        <f t="shared" si="12"/>
        <v>0</v>
      </c>
      <c r="BB32" s="847">
        <f t="shared" si="13"/>
        <v>0</v>
      </c>
      <c r="BC32" s="848">
        <f t="shared" si="13"/>
        <v>0</v>
      </c>
      <c r="BE32" s="826">
        <f t="shared" si="2"/>
        <v>20</v>
      </c>
      <c r="BF32" s="850" t="str">
        <f t="shared" si="58"/>
        <v>AGOST</v>
      </c>
      <c r="BG32" s="832">
        <f>$AU$35+$AU$109</f>
        <v>0</v>
      </c>
      <c r="BH32" s="832">
        <f t="shared" si="3"/>
        <v>0</v>
      </c>
      <c r="BI32" s="832">
        <f>$AW$35+$AW$109</f>
        <v>0</v>
      </c>
      <c r="BJ32" s="832">
        <f t="shared" si="3"/>
        <v>0</v>
      </c>
      <c r="BK32" s="832">
        <f>$AS$35+$AS$109</f>
        <v>0</v>
      </c>
      <c r="BL32" s="832">
        <f>$AY$35+$AY$109</f>
        <v>0</v>
      </c>
      <c r="BM32" s="832">
        <f>$AZ$35+$AZ$109</f>
        <v>0</v>
      </c>
      <c r="BN32" s="832">
        <f t="shared" si="57"/>
        <v>0</v>
      </c>
      <c r="BO32" s="832">
        <f>$BC$35+$BC$109</f>
        <v>0</v>
      </c>
    </row>
    <row r="33" spans="1:67" x14ac:dyDescent="0.25">
      <c r="A33" s="846">
        <f t="shared" si="27"/>
        <v>18</v>
      </c>
      <c r="B33" s="847">
        <f t="shared" si="45"/>
        <v>0</v>
      </c>
      <c r="C33" s="847">
        <f t="shared" si="28"/>
        <v>0</v>
      </c>
      <c r="D33" s="847">
        <f t="shared" si="29"/>
        <v>0</v>
      </c>
      <c r="E33" s="847">
        <f t="shared" si="14"/>
        <v>0</v>
      </c>
      <c r="F33" s="847">
        <f t="shared" si="54"/>
        <v>0</v>
      </c>
      <c r="G33" s="847">
        <f t="shared" si="30"/>
        <v>0</v>
      </c>
      <c r="H33" s="847">
        <f t="shared" si="46"/>
        <v>0</v>
      </c>
      <c r="I33" s="839">
        <f t="shared" si="15"/>
        <v>0</v>
      </c>
      <c r="J33" s="839">
        <f t="shared" si="16"/>
        <v>0</v>
      </c>
      <c r="K33" s="839">
        <f t="shared" si="17"/>
        <v>0</v>
      </c>
      <c r="L33" s="847">
        <f t="shared" si="47"/>
        <v>0</v>
      </c>
      <c r="M33" s="848">
        <f t="shared" si="31"/>
        <v>0</v>
      </c>
      <c r="N33" s="841"/>
      <c r="O33" s="846">
        <f t="shared" si="32"/>
        <v>18</v>
      </c>
      <c r="P33" s="847">
        <f t="shared" si="48"/>
        <v>0</v>
      </c>
      <c r="Q33" s="847">
        <f t="shared" si="33"/>
        <v>0</v>
      </c>
      <c r="R33" s="847">
        <f t="shared" si="34"/>
        <v>0</v>
      </c>
      <c r="S33" s="847">
        <f t="shared" si="18"/>
        <v>0</v>
      </c>
      <c r="T33" s="847">
        <f t="shared" si="59"/>
        <v>0</v>
      </c>
      <c r="U33" s="847">
        <f t="shared" si="35"/>
        <v>0</v>
      </c>
      <c r="V33" s="847">
        <f t="shared" si="49"/>
        <v>0</v>
      </c>
      <c r="W33" s="839">
        <f t="shared" si="19"/>
        <v>0</v>
      </c>
      <c r="X33" s="839">
        <f t="shared" si="20"/>
        <v>0</v>
      </c>
      <c r="Y33" s="839">
        <f t="shared" si="21"/>
        <v>0</v>
      </c>
      <c r="Z33" s="847">
        <f t="shared" si="50"/>
        <v>0</v>
      </c>
      <c r="AA33" s="848">
        <f t="shared" si="36"/>
        <v>0</v>
      </c>
      <c r="AB33" s="841"/>
      <c r="AC33" s="846">
        <f t="shared" si="37"/>
        <v>18</v>
      </c>
      <c r="AD33" s="847">
        <f t="shared" si="51"/>
        <v>0</v>
      </c>
      <c r="AE33" s="847">
        <f t="shared" si="38"/>
        <v>0</v>
      </c>
      <c r="AF33" s="847">
        <f t="shared" si="39"/>
        <v>0</v>
      </c>
      <c r="AG33" s="847">
        <f t="shared" si="22"/>
        <v>0</v>
      </c>
      <c r="AH33" s="847">
        <f t="shared" si="60"/>
        <v>0</v>
      </c>
      <c r="AI33" s="847">
        <f t="shared" si="40"/>
        <v>0</v>
      </c>
      <c r="AJ33" s="847">
        <f t="shared" si="52"/>
        <v>0</v>
      </c>
      <c r="AK33" s="839">
        <f t="shared" si="23"/>
        <v>0</v>
      </c>
      <c r="AL33" s="839">
        <f t="shared" si="24"/>
        <v>0</v>
      </c>
      <c r="AM33" s="839">
        <f t="shared" si="25"/>
        <v>0</v>
      </c>
      <c r="AN33" s="847">
        <f t="shared" si="53"/>
        <v>0</v>
      </c>
      <c r="AO33" s="848">
        <f t="shared" si="41"/>
        <v>0</v>
      </c>
      <c r="AQ33" s="846">
        <f t="shared" si="42"/>
        <v>18</v>
      </c>
      <c r="AR33" s="847">
        <f t="shared" si="26"/>
        <v>0</v>
      </c>
      <c r="AS33" s="847">
        <f t="shared" si="4"/>
        <v>0</v>
      </c>
      <c r="AT33" s="847">
        <f t="shared" si="5"/>
        <v>0</v>
      </c>
      <c r="AU33" s="847">
        <f t="shared" si="6"/>
        <v>0</v>
      </c>
      <c r="AV33" s="847">
        <f t="shared" si="7"/>
        <v>0</v>
      </c>
      <c r="AW33" s="847">
        <f t="shared" si="8"/>
        <v>0</v>
      </c>
      <c r="AX33" s="847">
        <f t="shared" si="9"/>
        <v>0</v>
      </c>
      <c r="AY33" s="839">
        <f t="shared" si="10"/>
        <v>0</v>
      </c>
      <c r="AZ33" s="839">
        <f t="shared" si="11"/>
        <v>0</v>
      </c>
      <c r="BA33" s="839">
        <f t="shared" si="12"/>
        <v>0</v>
      </c>
      <c r="BB33" s="847">
        <f t="shared" si="13"/>
        <v>0</v>
      </c>
      <c r="BC33" s="848">
        <f t="shared" si="13"/>
        <v>0</v>
      </c>
      <c r="BE33" s="826">
        <f t="shared" si="2"/>
        <v>21</v>
      </c>
      <c r="BF33" s="850" t="str">
        <f t="shared" si="58"/>
        <v>SETEMBRE</v>
      </c>
      <c r="BG33" s="832">
        <f>$AU$36+$AU$110</f>
        <v>0</v>
      </c>
      <c r="BH33" s="832">
        <f t="shared" si="3"/>
        <v>0</v>
      </c>
      <c r="BI33" s="832">
        <f>$AW$36+$AW$110</f>
        <v>0</v>
      </c>
      <c r="BJ33" s="832">
        <f t="shared" si="3"/>
        <v>0</v>
      </c>
      <c r="BK33" s="832">
        <f>$AS$36+$AS$110</f>
        <v>0</v>
      </c>
      <c r="BL33" s="832">
        <f>$AY$36+$AY$110</f>
        <v>0</v>
      </c>
      <c r="BM33" s="832">
        <f>$AZ$36+$AZ$110</f>
        <v>0</v>
      </c>
      <c r="BN33" s="832">
        <f t="shared" si="57"/>
        <v>0</v>
      </c>
      <c r="BO33" s="832">
        <f>$BC$36+$BC$110</f>
        <v>0</v>
      </c>
    </row>
    <row r="34" spans="1:67" x14ac:dyDescent="0.25">
      <c r="A34" s="846">
        <f t="shared" si="27"/>
        <v>19</v>
      </c>
      <c r="B34" s="847">
        <f t="shared" si="45"/>
        <v>0</v>
      </c>
      <c r="C34" s="847">
        <f t="shared" si="28"/>
        <v>0</v>
      </c>
      <c r="D34" s="847">
        <f t="shared" si="29"/>
        <v>0</v>
      </c>
      <c r="E34" s="847">
        <f t="shared" si="14"/>
        <v>0</v>
      </c>
      <c r="F34" s="847">
        <f t="shared" si="54"/>
        <v>0</v>
      </c>
      <c r="G34" s="847">
        <f t="shared" si="30"/>
        <v>0</v>
      </c>
      <c r="H34" s="847">
        <f t="shared" si="46"/>
        <v>0</v>
      </c>
      <c r="I34" s="839">
        <f t="shared" si="15"/>
        <v>0</v>
      </c>
      <c r="J34" s="839">
        <f t="shared" si="16"/>
        <v>0</v>
      </c>
      <c r="K34" s="839">
        <f t="shared" si="17"/>
        <v>0</v>
      </c>
      <c r="L34" s="847">
        <f t="shared" si="47"/>
        <v>0</v>
      </c>
      <c r="M34" s="848">
        <f t="shared" si="31"/>
        <v>0</v>
      </c>
      <c r="N34" s="841"/>
      <c r="O34" s="846">
        <f t="shared" si="32"/>
        <v>19</v>
      </c>
      <c r="P34" s="847">
        <f t="shared" si="48"/>
        <v>0</v>
      </c>
      <c r="Q34" s="847">
        <f t="shared" si="33"/>
        <v>0</v>
      </c>
      <c r="R34" s="847">
        <f t="shared" si="34"/>
        <v>0</v>
      </c>
      <c r="S34" s="847">
        <f t="shared" si="18"/>
        <v>0</v>
      </c>
      <c r="T34" s="847">
        <f t="shared" si="59"/>
        <v>0</v>
      </c>
      <c r="U34" s="847">
        <f t="shared" si="35"/>
        <v>0</v>
      </c>
      <c r="V34" s="847">
        <f t="shared" si="49"/>
        <v>0</v>
      </c>
      <c r="W34" s="839">
        <f t="shared" si="19"/>
        <v>0</v>
      </c>
      <c r="X34" s="839">
        <f t="shared" si="20"/>
        <v>0</v>
      </c>
      <c r="Y34" s="839">
        <f t="shared" si="21"/>
        <v>0</v>
      </c>
      <c r="Z34" s="847">
        <f t="shared" si="50"/>
        <v>0</v>
      </c>
      <c r="AA34" s="848">
        <f t="shared" si="36"/>
        <v>0</v>
      </c>
      <c r="AB34" s="841"/>
      <c r="AC34" s="846">
        <f t="shared" si="37"/>
        <v>19</v>
      </c>
      <c r="AD34" s="847">
        <f t="shared" si="51"/>
        <v>0</v>
      </c>
      <c r="AE34" s="847">
        <f t="shared" si="38"/>
        <v>0</v>
      </c>
      <c r="AF34" s="847">
        <f t="shared" si="39"/>
        <v>0</v>
      </c>
      <c r="AG34" s="847">
        <f t="shared" si="22"/>
        <v>0</v>
      </c>
      <c r="AH34" s="847">
        <f t="shared" si="60"/>
        <v>0</v>
      </c>
      <c r="AI34" s="847">
        <f t="shared" si="40"/>
        <v>0</v>
      </c>
      <c r="AJ34" s="847">
        <f t="shared" si="52"/>
        <v>0</v>
      </c>
      <c r="AK34" s="839">
        <f t="shared" si="23"/>
        <v>0</v>
      </c>
      <c r="AL34" s="839">
        <f t="shared" si="24"/>
        <v>0</v>
      </c>
      <c r="AM34" s="839">
        <f t="shared" si="25"/>
        <v>0</v>
      </c>
      <c r="AN34" s="847">
        <f t="shared" si="53"/>
        <v>0</v>
      </c>
      <c r="AO34" s="848">
        <f t="shared" si="41"/>
        <v>0</v>
      </c>
      <c r="AQ34" s="846">
        <f t="shared" si="42"/>
        <v>19</v>
      </c>
      <c r="AR34" s="847">
        <f t="shared" si="26"/>
        <v>0</v>
      </c>
      <c r="AS34" s="847">
        <f t="shared" si="4"/>
        <v>0</v>
      </c>
      <c r="AT34" s="847">
        <f t="shared" si="5"/>
        <v>0</v>
      </c>
      <c r="AU34" s="847">
        <f t="shared" si="6"/>
        <v>0</v>
      </c>
      <c r="AV34" s="847">
        <f t="shared" si="7"/>
        <v>0</v>
      </c>
      <c r="AW34" s="847">
        <f t="shared" si="8"/>
        <v>0</v>
      </c>
      <c r="AX34" s="847">
        <f t="shared" si="9"/>
        <v>0</v>
      </c>
      <c r="AY34" s="839">
        <f t="shared" si="10"/>
        <v>0</v>
      </c>
      <c r="AZ34" s="839">
        <f t="shared" si="11"/>
        <v>0</v>
      </c>
      <c r="BA34" s="839">
        <f t="shared" si="12"/>
        <v>0</v>
      </c>
      <c r="BB34" s="847">
        <f t="shared" si="13"/>
        <v>0</v>
      </c>
      <c r="BC34" s="848">
        <f t="shared" si="13"/>
        <v>0</v>
      </c>
      <c r="BE34" s="826">
        <f t="shared" si="2"/>
        <v>22</v>
      </c>
      <c r="BF34" s="850" t="str">
        <f t="shared" si="58"/>
        <v>OCTUBRE</v>
      </c>
      <c r="BG34" s="832">
        <f>$AU$37+$AU$111</f>
        <v>0</v>
      </c>
      <c r="BH34" s="832">
        <f t="shared" si="3"/>
        <v>0</v>
      </c>
      <c r="BI34" s="832">
        <f>$AW$37+$AW$111</f>
        <v>0</v>
      </c>
      <c r="BJ34" s="832">
        <f t="shared" si="3"/>
        <v>0</v>
      </c>
      <c r="BK34" s="832">
        <f>$AS$37+$AS$111</f>
        <v>0</v>
      </c>
      <c r="BL34" s="832">
        <f>$AY$37+$AY$111</f>
        <v>0</v>
      </c>
      <c r="BM34" s="832">
        <f>$AZ$37+$AZ$111</f>
        <v>0</v>
      </c>
      <c r="BN34" s="832">
        <f t="shared" si="57"/>
        <v>0</v>
      </c>
      <c r="BO34" s="832">
        <f>$BC$37+$BC$111</f>
        <v>0</v>
      </c>
    </row>
    <row r="35" spans="1:67" x14ac:dyDescent="0.25">
      <c r="A35" s="846">
        <f t="shared" si="27"/>
        <v>20</v>
      </c>
      <c r="B35" s="847">
        <f t="shared" si="45"/>
        <v>0</v>
      </c>
      <c r="C35" s="847">
        <f t="shared" si="28"/>
        <v>0</v>
      </c>
      <c r="D35" s="847">
        <f t="shared" si="29"/>
        <v>0</v>
      </c>
      <c r="E35" s="847">
        <f t="shared" si="14"/>
        <v>0</v>
      </c>
      <c r="F35" s="847">
        <f t="shared" si="54"/>
        <v>0</v>
      </c>
      <c r="G35" s="847">
        <f t="shared" si="30"/>
        <v>0</v>
      </c>
      <c r="H35" s="847">
        <f t="shared" si="46"/>
        <v>0</v>
      </c>
      <c r="I35" s="839">
        <f t="shared" si="15"/>
        <v>0</v>
      </c>
      <c r="J35" s="839">
        <f t="shared" si="16"/>
        <v>0</v>
      </c>
      <c r="K35" s="839">
        <f t="shared" si="17"/>
        <v>0</v>
      </c>
      <c r="L35" s="847">
        <f t="shared" si="47"/>
        <v>0</v>
      </c>
      <c r="M35" s="848">
        <f t="shared" si="31"/>
        <v>0</v>
      </c>
      <c r="N35" s="841"/>
      <c r="O35" s="846">
        <f t="shared" si="32"/>
        <v>20</v>
      </c>
      <c r="P35" s="847">
        <f t="shared" si="48"/>
        <v>0</v>
      </c>
      <c r="Q35" s="847">
        <f t="shared" si="33"/>
        <v>0</v>
      </c>
      <c r="R35" s="847">
        <f t="shared" si="34"/>
        <v>0</v>
      </c>
      <c r="S35" s="847">
        <f t="shared" si="18"/>
        <v>0</v>
      </c>
      <c r="T35" s="847">
        <f t="shared" si="59"/>
        <v>0</v>
      </c>
      <c r="U35" s="847">
        <f t="shared" si="35"/>
        <v>0</v>
      </c>
      <c r="V35" s="847">
        <f t="shared" si="49"/>
        <v>0</v>
      </c>
      <c r="W35" s="839">
        <f t="shared" si="19"/>
        <v>0</v>
      </c>
      <c r="X35" s="839">
        <f t="shared" si="20"/>
        <v>0</v>
      </c>
      <c r="Y35" s="839">
        <f t="shared" si="21"/>
        <v>0</v>
      </c>
      <c r="Z35" s="847">
        <f t="shared" si="50"/>
        <v>0</v>
      </c>
      <c r="AA35" s="848">
        <f t="shared" si="36"/>
        <v>0</v>
      </c>
      <c r="AB35" s="841"/>
      <c r="AC35" s="846">
        <f t="shared" si="37"/>
        <v>20</v>
      </c>
      <c r="AD35" s="847">
        <f t="shared" si="51"/>
        <v>0</v>
      </c>
      <c r="AE35" s="847">
        <f t="shared" si="38"/>
        <v>0</v>
      </c>
      <c r="AF35" s="847">
        <f t="shared" si="39"/>
        <v>0</v>
      </c>
      <c r="AG35" s="847">
        <f t="shared" si="22"/>
        <v>0</v>
      </c>
      <c r="AH35" s="847">
        <f t="shared" si="60"/>
        <v>0</v>
      </c>
      <c r="AI35" s="847">
        <f t="shared" si="40"/>
        <v>0</v>
      </c>
      <c r="AJ35" s="847">
        <f t="shared" si="52"/>
        <v>0</v>
      </c>
      <c r="AK35" s="839">
        <f t="shared" si="23"/>
        <v>0</v>
      </c>
      <c r="AL35" s="839">
        <f t="shared" si="24"/>
        <v>0</v>
      </c>
      <c r="AM35" s="839">
        <f t="shared" si="25"/>
        <v>0</v>
      </c>
      <c r="AN35" s="847">
        <f t="shared" si="53"/>
        <v>0</v>
      </c>
      <c r="AO35" s="848">
        <f t="shared" si="41"/>
        <v>0</v>
      </c>
      <c r="AQ35" s="846">
        <f t="shared" si="42"/>
        <v>20</v>
      </c>
      <c r="AR35" s="847">
        <f t="shared" si="26"/>
        <v>0</v>
      </c>
      <c r="AS35" s="847">
        <f t="shared" si="4"/>
        <v>0</v>
      </c>
      <c r="AT35" s="847">
        <f t="shared" si="5"/>
        <v>0</v>
      </c>
      <c r="AU35" s="847">
        <f t="shared" si="6"/>
        <v>0</v>
      </c>
      <c r="AV35" s="847">
        <f t="shared" si="7"/>
        <v>0</v>
      </c>
      <c r="AW35" s="847">
        <f t="shared" si="8"/>
        <v>0</v>
      </c>
      <c r="AX35" s="847">
        <f t="shared" si="9"/>
        <v>0</v>
      </c>
      <c r="AY35" s="839">
        <f t="shared" si="10"/>
        <v>0</v>
      </c>
      <c r="AZ35" s="839">
        <f t="shared" si="11"/>
        <v>0</v>
      </c>
      <c r="BA35" s="839">
        <f t="shared" si="12"/>
        <v>0</v>
      </c>
      <c r="BB35" s="847">
        <f t="shared" si="13"/>
        <v>0</v>
      </c>
      <c r="BC35" s="848">
        <f t="shared" si="13"/>
        <v>0</v>
      </c>
      <c r="BE35" s="826">
        <f t="shared" si="2"/>
        <v>23</v>
      </c>
      <c r="BF35" s="850" t="str">
        <f t="shared" si="58"/>
        <v>NOVEMBRE</v>
      </c>
      <c r="BG35" s="832">
        <f>$AU$38+$AU$112</f>
        <v>0</v>
      </c>
      <c r="BH35" s="832">
        <f t="shared" si="3"/>
        <v>0</v>
      </c>
      <c r="BI35" s="832">
        <f>$AW$38+$AW$112</f>
        <v>0</v>
      </c>
      <c r="BJ35" s="832">
        <f t="shared" si="3"/>
        <v>0</v>
      </c>
      <c r="BK35" s="832">
        <f>$AS$38+$AS$112</f>
        <v>0</v>
      </c>
      <c r="BL35" s="832">
        <f>$AY$38+$AY$112</f>
        <v>0</v>
      </c>
      <c r="BM35" s="832">
        <f>$AZ$38+$AZ$112</f>
        <v>0</v>
      </c>
      <c r="BN35" s="832">
        <f t="shared" si="57"/>
        <v>0</v>
      </c>
      <c r="BO35" s="832">
        <f>$BC$38+$BC$112</f>
        <v>0</v>
      </c>
    </row>
    <row r="36" spans="1:67" x14ac:dyDescent="0.25">
      <c r="A36" s="846">
        <f t="shared" si="27"/>
        <v>21</v>
      </c>
      <c r="B36" s="847">
        <f t="shared" si="45"/>
        <v>0</v>
      </c>
      <c r="C36" s="847">
        <f t="shared" si="28"/>
        <v>0</v>
      </c>
      <c r="D36" s="847">
        <f t="shared" si="29"/>
        <v>0</v>
      </c>
      <c r="E36" s="847">
        <f t="shared" si="14"/>
        <v>0</v>
      </c>
      <c r="F36" s="847">
        <f t="shared" si="54"/>
        <v>0</v>
      </c>
      <c r="G36" s="847">
        <f t="shared" si="30"/>
        <v>0</v>
      </c>
      <c r="H36" s="847">
        <f t="shared" si="46"/>
        <v>0</v>
      </c>
      <c r="I36" s="839">
        <f t="shared" si="15"/>
        <v>0</v>
      </c>
      <c r="J36" s="839">
        <f t="shared" si="16"/>
        <v>0</v>
      </c>
      <c r="K36" s="839">
        <f t="shared" si="17"/>
        <v>0</v>
      </c>
      <c r="L36" s="847">
        <f t="shared" si="47"/>
        <v>0</v>
      </c>
      <c r="M36" s="848">
        <f t="shared" si="31"/>
        <v>0</v>
      </c>
      <c r="N36" s="841"/>
      <c r="O36" s="846">
        <f t="shared" si="32"/>
        <v>21</v>
      </c>
      <c r="P36" s="847">
        <f t="shared" si="48"/>
        <v>0</v>
      </c>
      <c r="Q36" s="847">
        <f t="shared" si="33"/>
        <v>0</v>
      </c>
      <c r="R36" s="847">
        <f t="shared" si="34"/>
        <v>0</v>
      </c>
      <c r="S36" s="847">
        <f t="shared" si="18"/>
        <v>0</v>
      </c>
      <c r="T36" s="847">
        <f t="shared" si="59"/>
        <v>0</v>
      </c>
      <c r="U36" s="847">
        <f t="shared" si="35"/>
        <v>0</v>
      </c>
      <c r="V36" s="847">
        <f t="shared" si="49"/>
        <v>0</v>
      </c>
      <c r="W36" s="839">
        <f t="shared" si="19"/>
        <v>0</v>
      </c>
      <c r="X36" s="839">
        <f t="shared" si="20"/>
        <v>0</v>
      </c>
      <c r="Y36" s="839">
        <f t="shared" si="21"/>
        <v>0</v>
      </c>
      <c r="Z36" s="847">
        <f t="shared" si="50"/>
        <v>0</v>
      </c>
      <c r="AA36" s="848">
        <f t="shared" si="36"/>
        <v>0</v>
      </c>
      <c r="AB36" s="841"/>
      <c r="AC36" s="846">
        <f t="shared" si="37"/>
        <v>21</v>
      </c>
      <c r="AD36" s="847">
        <f t="shared" si="51"/>
        <v>0</v>
      </c>
      <c r="AE36" s="847">
        <f t="shared" si="38"/>
        <v>0</v>
      </c>
      <c r="AF36" s="847">
        <f t="shared" si="39"/>
        <v>0</v>
      </c>
      <c r="AG36" s="847">
        <f t="shared" si="22"/>
        <v>0</v>
      </c>
      <c r="AH36" s="847">
        <f t="shared" si="60"/>
        <v>0</v>
      </c>
      <c r="AI36" s="847">
        <f t="shared" si="40"/>
        <v>0</v>
      </c>
      <c r="AJ36" s="847">
        <f t="shared" si="52"/>
        <v>0</v>
      </c>
      <c r="AK36" s="839">
        <f t="shared" si="23"/>
        <v>0</v>
      </c>
      <c r="AL36" s="839">
        <f t="shared" si="24"/>
        <v>0</v>
      </c>
      <c r="AM36" s="839">
        <f t="shared" si="25"/>
        <v>0</v>
      </c>
      <c r="AN36" s="847">
        <f t="shared" si="53"/>
        <v>0</v>
      </c>
      <c r="AO36" s="848">
        <f t="shared" si="41"/>
        <v>0</v>
      </c>
      <c r="AQ36" s="846">
        <f t="shared" si="42"/>
        <v>21</v>
      </c>
      <c r="AR36" s="847">
        <f t="shared" si="26"/>
        <v>0</v>
      </c>
      <c r="AS36" s="847">
        <f t="shared" si="4"/>
        <v>0</v>
      </c>
      <c r="AT36" s="847">
        <f t="shared" si="5"/>
        <v>0</v>
      </c>
      <c r="AU36" s="847">
        <f t="shared" si="6"/>
        <v>0</v>
      </c>
      <c r="AV36" s="847">
        <f t="shared" si="7"/>
        <v>0</v>
      </c>
      <c r="AW36" s="847">
        <f t="shared" si="8"/>
        <v>0</v>
      </c>
      <c r="AX36" s="847">
        <f t="shared" si="9"/>
        <v>0</v>
      </c>
      <c r="AY36" s="839">
        <f t="shared" si="10"/>
        <v>0</v>
      </c>
      <c r="AZ36" s="839">
        <f t="shared" si="11"/>
        <v>0</v>
      </c>
      <c r="BA36" s="839">
        <f t="shared" si="12"/>
        <v>0</v>
      </c>
      <c r="BB36" s="847">
        <f t="shared" si="13"/>
        <v>0</v>
      </c>
      <c r="BC36" s="848">
        <f t="shared" si="13"/>
        <v>0</v>
      </c>
      <c r="BE36" s="826">
        <f t="shared" si="2"/>
        <v>24</v>
      </c>
      <c r="BF36" s="850" t="str">
        <f t="shared" si="58"/>
        <v>DESEMBRE</v>
      </c>
      <c r="BG36" s="832">
        <f>$AU$39+$AU$113</f>
        <v>0</v>
      </c>
      <c r="BH36" s="832">
        <f t="shared" si="3"/>
        <v>0</v>
      </c>
      <c r="BI36" s="832">
        <f>$AW$39+$AW$113</f>
        <v>0</v>
      </c>
      <c r="BJ36" s="832">
        <f t="shared" si="3"/>
        <v>0</v>
      </c>
      <c r="BK36" s="832">
        <f>$AS$39+$AS$113</f>
        <v>0</v>
      </c>
      <c r="BL36" s="832">
        <f>$AY$39+$AY$113</f>
        <v>0</v>
      </c>
      <c r="BM36" s="832">
        <f>$AZ$39+$AZ$113</f>
        <v>0</v>
      </c>
      <c r="BN36" s="832">
        <f t="shared" si="57"/>
        <v>0</v>
      </c>
      <c r="BO36" s="832">
        <f>$BC$39+$BC$113</f>
        <v>0</v>
      </c>
    </row>
    <row r="37" spans="1:67" x14ac:dyDescent="0.25">
      <c r="A37" s="846">
        <f t="shared" si="27"/>
        <v>22</v>
      </c>
      <c r="B37" s="847">
        <f t="shared" si="45"/>
        <v>0</v>
      </c>
      <c r="C37" s="847">
        <f t="shared" si="28"/>
        <v>0</v>
      </c>
      <c r="D37" s="847">
        <f t="shared" si="29"/>
        <v>0</v>
      </c>
      <c r="E37" s="847">
        <f t="shared" si="14"/>
        <v>0</v>
      </c>
      <c r="F37" s="847">
        <f t="shared" si="54"/>
        <v>0</v>
      </c>
      <c r="G37" s="847">
        <f t="shared" si="30"/>
        <v>0</v>
      </c>
      <c r="H37" s="847">
        <f t="shared" si="46"/>
        <v>0</v>
      </c>
      <c r="I37" s="839">
        <f t="shared" si="15"/>
        <v>0</v>
      </c>
      <c r="J37" s="839">
        <f t="shared" si="16"/>
        <v>0</v>
      </c>
      <c r="K37" s="839">
        <f t="shared" si="17"/>
        <v>0</v>
      </c>
      <c r="L37" s="847">
        <f t="shared" si="47"/>
        <v>0</v>
      </c>
      <c r="M37" s="848">
        <f t="shared" si="31"/>
        <v>0</v>
      </c>
      <c r="N37" s="841"/>
      <c r="O37" s="846">
        <f t="shared" si="32"/>
        <v>22</v>
      </c>
      <c r="P37" s="847">
        <f t="shared" si="48"/>
        <v>0</v>
      </c>
      <c r="Q37" s="847">
        <f t="shared" si="33"/>
        <v>0</v>
      </c>
      <c r="R37" s="847">
        <f t="shared" si="34"/>
        <v>0</v>
      </c>
      <c r="S37" s="847">
        <f t="shared" si="18"/>
        <v>0</v>
      </c>
      <c r="T37" s="847">
        <f t="shared" si="59"/>
        <v>0</v>
      </c>
      <c r="U37" s="847">
        <f t="shared" si="35"/>
        <v>0</v>
      </c>
      <c r="V37" s="847">
        <f t="shared" si="49"/>
        <v>0</v>
      </c>
      <c r="W37" s="839">
        <f t="shared" si="19"/>
        <v>0</v>
      </c>
      <c r="X37" s="839">
        <f t="shared" si="20"/>
        <v>0</v>
      </c>
      <c r="Y37" s="839">
        <f t="shared" si="21"/>
        <v>0</v>
      </c>
      <c r="Z37" s="847">
        <f t="shared" si="50"/>
        <v>0</v>
      </c>
      <c r="AA37" s="848">
        <f t="shared" si="36"/>
        <v>0</v>
      </c>
      <c r="AB37" s="841"/>
      <c r="AC37" s="846">
        <f t="shared" si="37"/>
        <v>22</v>
      </c>
      <c r="AD37" s="847">
        <f t="shared" si="51"/>
        <v>0</v>
      </c>
      <c r="AE37" s="847">
        <f t="shared" si="38"/>
        <v>0</v>
      </c>
      <c r="AF37" s="847">
        <f t="shared" si="39"/>
        <v>0</v>
      </c>
      <c r="AG37" s="847">
        <f t="shared" si="22"/>
        <v>0</v>
      </c>
      <c r="AH37" s="847">
        <f t="shared" si="60"/>
        <v>0</v>
      </c>
      <c r="AI37" s="847">
        <f t="shared" si="40"/>
        <v>0</v>
      </c>
      <c r="AJ37" s="847">
        <f t="shared" si="52"/>
        <v>0</v>
      </c>
      <c r="AK37" s="839">
        <f t="shared" si="23"/>
        <v>0</v>
      </c>
      <c r="AL37" s="839">
        <f t="shared" si="24"/>
        <v>0</v>
      </c>
      <c r="AM37" s="839">
        <f t="shared" si="25"/>
        <v>0</v>
      </c>
      <c r="AN37" s="847">
        <f t="shared" si="53"/>
        <v>0</v>
      </c>
      <c r="AO37" s="848">
        <f t="shared" si="41"/>
        <v>0</v>
      </c>
      <c r="AQ37" s="846">
        <f t="shared" si="42"/>
        <v>22</v>
      </c>
      <c r="AR37" s="847">
        <f t="shared" si="26"/>
        <v>0</v>
      </c>
      <c r="AS37" s="847">
        <f t="shared" si="4"/>
        <v>0</v>
      </c>
      <c r="AT37" s="847">
        <f t="shared" si="5"/>
        <v>0</v>
      </c>
      <c r="AU37" s="847">
        <f t="shared" si="6"/>
        <v>0</v>
      </c>
      <c r="AV37" s="847">
        <f t="shared" si="7"/>
        <v>0</v>
      </c>
      <c r="AW37" s="847">
        <f t="shared" si="8"/>
        <v>0</v>
      </c>
      <c r="AX37" s="847">
        <f t="shared" si="9"/>
        <v>0</v>
      </c>
      <c r="AY37" s="839">
        <f t="shared" si="10"/>
        <v>0</v>
      </c>
      <c r="AZ37" s="839">
        <f t="shared" si="11"/>
        <v>0</v>
      </c>
      <c r="BA37" s="839">
        <f t="shared" si="12"/>
        <v>0</v>
      </c>
      <c r="BB37" s="847">
        <f t="shared" si="13"/>
        <v>0</v>
      </c>
      <c r="BC37" s="848">
        <f t="shared" si="13"/>
        <v>0</v>
      </c>
      <c r="BE37" s="827">
        <f t="shared" si="2"/>
        <v>25</v>
      </c>
      <c r="BF37" s="851" t="str">
        <f>BF25</f>
        <v>GENER</v>
      </c>
      <c r="BG37" s="833">
        <f>$AU$40+$AU$114+$AU$188</f>
        <v>0</v>
      </c>
      <c r="BH37" s="833">
        <f t="shared" si="3"/>
        <v>0</v>
      </c>
      <c r="BI37" s="833">
        <f>$AW$40+$AW$114+$AW$188</f>
        <v>0</v>
      </c>
      <c r="BJ37" s="833">
        <f t="shared" si="3"/>
        <v>0</v>
      </c>
      <c r="BK37" s="833">
        <f>$AS$40+$AS$114+$AS$188</f>
        <v>0</v>
      </c>
      <c r="BL37" s="833">
        <f>$AY$40+$AY$114+$AY$188</f>
        <v>0</v>
      </c>
      <c r="BM37" s="833">
        <f>$AZ$40+$AZ$114+$AZ$188</f>
        <v>0</v>
      </c>
      <c r="BN37" s="833">
        <f t="shared" ref="BN37:BN84" si="61">BA40+BA114+BA188</f>
        <v>0</v>
      </c>
      <c r="BO37" s="833">
        <f>$BC$40+$BC$114+$BC$188</f>
        <v>0</v>
      </c>
    </row>
    <row r="38" spans="1:67" x14ac:dyDescent="0.25">
      <c r="A38" s="846">
        <f t="shared" si="27"/>
        <v>23</v>
      </c>
      <c r="B38" s="847">
        <f t="shared" si="45"/>
        <v>0</v>
      </c>
      <c r="C38" s="847">
        <f t="shared" si="28"/>
        <v>0</v>
      </c>
      <c r="D38" s="847">
        <f t="shared" si="29"/>
        <v>0</v>
      </c>
      <c r="E38" s="847">
        <f t="shared" si="14"/>
        <v>0</v>
      </c>
      <c r="F38" s="847">
        <f t="shared" si="54"/>
        <v>0</v>
      </c>
      <c r="G38" s="847">
        <f t="shared" si="30"/>
        <v>0</v>
      </c>
      <c r="H38" s="847">
        <f t="shared" si="46"/>
        <v>0</v>
      </c>
      <c r="I38" s="839">
        <f t="shared" si="15"/>
        <v>0</v>
      </c>
      <c r="J38" s="839">
        <f t="shared" si="16"/>
        <v>0</v>
      </c>
      <c r="K38" s="839">
        <f t="shared" si="17"/>
        <v>0</v>
      </c>
      <c r="L38" s="847">
        <f t="shared" si="47"/>
        <v>0</v>
      </c>
      <c r="M38" s="848">
        <f t="shared" si="31"/>
        <v>0</v>
      </c>
      <c r="N38" s="841"/>
      <c r="O38" s="846">
        <f t="shared" si="32"/>
        <v>23</v>
      </c>
      <c r="P38" s="847">
        <f t="shared" si="48"/>
        <v>0</v>
      </c>
      <c r="Q38" s="847">
        <f t="shared" si="33"/>
        <v>0</v>
      </c>
      <c r="R38" s="847">
        <f t="shared" si="34"/>
        <v>0</v>
      </c>
      <c r="S38" s="847">
        <f t="shared" si="18"/>
        <v>0</v>
      </c>
      <c r="T38" s="847">
        <f t="shared" si="59"/>
        <v>0</v>
      </c>
      <c r="U38" s="847">
        <f t="shared" si="35"/>
        <v>0</v>
      </c>
      <c r="V38" s="847">
        <f t="shared" si="49"/>
        <v>0</v>
      </c>
      <c r="W38" s="839">
        <f t="shared" si="19"/>
        <v>0</v>
      </c>
      <c r="X38" s="839">
        <f t="shared" si="20"/>
        <v>0</v>
      </c>
      <c r="Y38" s="839">
        <f t="shared" si="21"/>
        <v>0</v>
      </c>
      <c r="Z38" s="847">
        <f t="shared" si="50"/>
        <v>0</v>
      </c>
      <c r="AA38" s="848">
        <f t="shared" si="36"/>
        <v>0</v>
      </c>
      <c r="AB38" s="841"/>
      <c r="AC38" s="846">
        <f t="shared" si="37"/>
        <v>23</v>
      </c>
      <c r="AD38" s="847">
        <f t="shared" si="51"/>
        <v>0</v>
      </c>
      <c r="AE38" s="847">
        <f t="shared" si="38"/>
        <v>0</v>
      </c>
      <c r="AF38" s="847">
        <f t="shared" si="39"/>
        <v>0</v>
      </c>
      <c r="AG38" s="847">
        <f t="shared" si="22"/>
        <v>0</v>
      </c>
      <c r="AH38" s="847">
        <f t="shared" si="60"/>
        <v>0</v>
      </c>
      <c r="AI38" s="847">
        <f t="shared" si="40"/>
        <v>0</v>
      </c>
      <c r="AJ38" s="847">
        <f t="shared" si="52"/>
        <v>0</v>
      </c>
      <c r="AK38" s="839">
        <f t="shared" si="23"/>
        <v>0</v>
      </c>
      <c r="AL38" s="839">
        <f t="shared" si="24"/>
        <v>0</v>
      </c>
      <c r="AM38" s="839">
        <f t="shared" si="25"/>
        <v>0</v>
      </c>
      <c r="AN38" s="847">
        <f t="shared" si="53"/>
        <v>0</v>
      </c>
      <c r="AO38" s="848">
        <f t="shared" si="41"/>
        <v>0</v>
      </c>
      <c r="AQ38" s="846">
        <f t="shared" si="42"/>
        <v>23</v>
      </c>
      <c r="AR38" s="847">
        <f t="shared" si="26"/>
        <v>0</v>
      </c>
      <c r="AS38" s="847">
        <f t="shared" si="4"/>
        <v>0</v>
      </c>
      <c r="AT38" s="847">
        <f t="shared" si="5"/>
        <v>0</v>
      </c>
      <c r="AU38" s="847">
        <f t="shared" si="6"/>
        <v>0</v>
      </c>
      <c r="AV38" s="847">
        <f t="shared" si="7"/>
        <v>0</v>
      </c>
      <c r="AW38" s="847">
        <f t="shared" si="8"/>
        <v>0</v>
      </c>
      <c r="AX38" s="847">
        <f t="shared" si="9"/>
        <v>0</v>
      </c>
      <c r="AY38" s="839">
        <f t="shared" si="10"/>
        <v>0</v>
      </c>
      <c r="AZ38" s="839">
        <f t="shared" si="11"/>
        <v>0</v>
      </c>
      <c r="BA38" s="839">
        <f t="shared" si="12"/>
        <v>0</v>
      </c>
      <c r="BB38" s="847">
        <f t="shared" si="13"/>
        <v>0</v>
      </c>
      <c r="BC38" s="848">
        <f t="shared" si="13"/>
        <v>0</v>
      </c>
      <c r="BE38" s="827">
        <f t="shared" si="2"/>
        <v>26</v>
      </c>
      <c r="BF38" s="851" t="str">
        <f t="shared" ref="BF38:BF48" si="62">BF26</f>
        <v>FEBRER</v>
      </c>
      <c r="BG38" s="833">
        <f>$AU$41+$AU$115+$AU$189</f>
        <v>0</v>
      </c>
      <c r="BH38" s="833">
        <f t="shared" si="3"/>
        <v>0</v>
      </c>
      <c r="BI38" s="833">
        <f>$AW$41+$AW$115+$AW$189</f>
        <v>0</v>
      </c>
      <c r="BJ38" s="833">
        <f t="shared" si="3"/>
        <v>0</v>
      </c>
      <c r="BK38" s="833">
        <f>$AS$41+$AS$115+$AS$189</f>
        <v>0</v>
      </c>
      <c r="BL38" s="833">
        <f>$AY$41+$AY$115+$AY$189</f>
        <v>0</v>
      </c>
      <c r="BM38" s="833">
        <f>$AZ$41+$AZ$115+$AZ$189</f>
        <v>0</v>
      </c>
      <c r="BN38" s="833">
        <f t="shared" si="61"/>
        <v>0</v>
      </c>
      <c r="BO38" s="833">
        <f>$BC$41+$BC$115+$BC$189</f>
        <v>0</v>
      </c>
    </row>
    <row r="39" spans="1:67" x14ac:dyDescent="0.25">
      <c r="A39" s="846">
        <f t="shared" si="27"/>
        <v>24</v>
      </c>
      <c r="B39" s="847">
        <f t="shared" si="45"/>
        <v>0</v>
      </c>
      <c r="C39" s="847">
        <f t="shared" si="28"/>
        <v>0</v>
      </c>
      <c r="D39" s="847">
        <f t="shared" si="29"/>
        <v>0</v>
      </c>
      <c r="E39" s="847">
        <f t="shared" si="14"/>
        <v>0</v>
      </c>
      <c r="F39" s="847">
        <f t="shared" si="54"/>
        <v>0</v>
      </c>
      <c r="G39" s="847">
        <f t="shared" si="30"/>
        <v>0</v>
      </c>
      <c r="H39" s="847">
        <f t="shared" si="46"/>
        <v>0</v>
      </c>
      <c r="I39" s="839">
        <f t="shared" si="15"/>
        <v>0</v>
      </c>
      <c r="J39" s="839">
        <f t="shared" si="16"/>
        <v>0</v>
      </c>
      <c r="K39" s="839">
        <f t="shared" si="17"/>
        <v>0</v>
      </c>
      <c r="L39" s="847">
        <f t="shared" si="47"/>
        <v>0</v>
      </c>
      <c r="M39" s="848">
        <f t="shared" si="31"/>
        <v>0</v>
      </c>
      <c r="N39" s="841"/>
      <c r="O39" s="846">
        <f t="shared" si="32"/>
        <v>24</v>
      </c>
      <c r="P39" s="847">
        <f t="shared" si="48"/>
        <v>0</v>
      </c>
      <c r="Q39" s="847">
        <f t="shared" si="33"/>
        <v>0</v>
      </c>
      <c r="R39" s="847">
        <f t="shared" si="34"/>
        <v>0</v>
      </c>
      <c r="S39" s="847">
        <f t="shared" si="18"/>
        <v>0</v>
      </c>
      <c r="T39" s="847">
        <f t="shared" si="59"/>
        <v>0</v>
      </c>
      <c r="U39" s="847">
        <f t="shared" si="35"/>
        <v>0</v>
      </c>
      <c r="V39" s="847">
        <f t="shared" si="49"/>
        <v>0</v>
      </c>
      <c r="W39" s="839">
        <f t="shared" si="19"/>
        <v>0</v>
      </c>
      <c r="X39" s="839">
        <f t="shared" si="20"/>
        <v>0</v>
      </c>
      <c r="Y39" s="839">
        <f t="shared" si="21"/>
        <v>0</v>
      </c>
      <c r="Z39" s="847">
        <f t="shared" si="50"/>
        <v>0</v>
      </c>
      <c r="AA39" s="848">
        <f t="shared" si="36"/>
        <v>0</v>
      </c>
      <c r="AB39" s="841"/>
      <c r="AC39" s="846">
        <f t="shared" si="37"/>
        <v>24</v>
      </c>
      <c r="AD39" s="847">
        <f t="shared" si="51"/>
        <v>0</v>
      </c>
      <c r="AE39" s="847">
        <f t="shared" si="38"/>
        <v>0</v>
      </c>
      <c r="AF39" s="847">
        <f t="shared" si="39"/>
        <v>0</v>
      </c>
      <c r="AG39" s="847">
        <f t="shared" si="22"/>
        <v>0</v>
      </c>
      <c r="AH39" s="847">
        <f t="shared" si="60"/>
        <v>0</v>
      </c>
      <c r="AI39" s="847">
        <f t="shared" si="40"/>
        <v>0</v>
      </c>
      <c r="AJ39" s="847">
        <f t="shared" si="52"/>
        <v>0</v>
      </c>
      <c r="AK39" s="839">
        <f t="shared" si="23"/>
        <v>0</v>
      </c>
      <c r="AL39" s="839">
        <f t="shared" si="24"/>
        <v>0</v>
      </c>
      <c r="AM39" s="839">
        <f t="shared" si="25"/>
        <v>0</v>
      </c>
      <c r="AN39" s="847">
        <f t="shared" si="53"/>
        <v>0</v>
      </c>
      <c r="AO39" s="848">
        <f t="shared" si="41"/>
        <v>0</v>
      </c>
      <c r="AQ39" s="846">
        <f t="shared" si="42"/>
        <v>24</v>
      </c>
      <c r="AR39" s="847">
        <f t="shared" si="26"/>
        <v>0</v>
      </c>
      <c r="AS39" s="847">
        <f t="shared" si="4"/>
        <v>0</v>
      </c>
      <c r="AT39" s="847">
        <f t="shared" si="5"/>
        <v>0</v>
      </c>
      <c r="AU39" s="847">
        <f t="shared" si="6"/>
        <v>0</v>
      </c>
      <c r="AV39" s="847">
        <f t="shared" si="7"/>
        <v>0</v>
      </c>
      <c r="AW39" s="847">
        <f t="shared" si="8"/>
        <v>0</v>
      </c>
      <c r="AX39" s="847">
        <f t="shared" si="9"/>
        <v>0</v>
      </c>
      <c r="AY39" s="839">
        <f t="shared" si="10"/>
        <v>0</v>
      </c>
      <c r="AZ39" s="839">
        <f t="shared" si="11"/>
        <v>0</v>
      </c>
      <c r="BA39" s="839">
        <f t="shared" si="12"/>
        <v>0</v>
      </c>
      <c r="BB39" s="847">
        <f t="shared" si="13"/>
        <v>0</v>
      </c>
      <c r="BC39" s="848">
        <f t="shared" si="13"/>
        <v>0</v>
      </c>
      <c r="BE39" s="827">
        <f t="shared" si="2"/>
        <v>27</v>
      </c>
      <c r="BF39" s="851" t="str">
        <f t="shared" si="62"/>
        <v>MARÇ</v>
      </c>
      <c r="BG39" s="833">
        <f>$AU$42+$AU$116+$AU$190</f>
        <v>0</v>
      </c>
      <c r="BH39" s="833">
        <f t="shared" si="3"/>
        <v>0</v>
      </c>
      <c r="BI39" s="833">
        <f>$AW$42+$AW$116+$AW$190</f>
        <v>0</v>
      </c>
      <c r="BJ39" s="833">
        <f t="shared" si="3"/>
        <v>0</v>
      </c>
      <c r="BK39" s="833">
        <f>$AS$42+$AS$116+$AS$190</f>
        <v>0</v>
      </c>
      <c r="BL39" s="833">
        <f>$AY$42+$AY$116+$AY$190</f>
        <v>0</v>
      </c>
      <c r="BM39" s="833">
        <f>$AZ$42+$AZ$116+$AZ$190</f>
        <v>0</v>
      </c>
      <c r="BN39" s="833">
        <f t="shared" si="61"/>
        <v>0</v>
      </c>
      <c r="BO39" s="833">
        <f>$BC$42+$BC$116+$BC$190</f>
        <v>0</v>
      </c>
    </row>
    <row r="40" spans="1:67" x14ac:dyDescent="0.25">
      <c r="A40" s="846">
        <f t="shared" si="27"/>
        <v>25</v>
      </c>
      <c r="B40" s="847">
        <f t="shared" si="45"/>
        <v>0</v>
      </c>
      <c r="C40" s="847">
        <f t="shared" si="28"/>
        <v>0</v>
      </c>
      <c r="D40" s="847">
        <f t="shared" si="29"/>
        <v>0</v>
      </c>
      <c r="E40" s="847">
        <f t="shared" si="14"/>
        <v>0</v>
      </c>
      <c r="F40" s="847">
        <f t="shared" si="54"/>
        <v>0</v>
      </c>
      <c r="G40" s="847">
        <f t="shared" si="30"/>
        <v>0</v>
      </c>
      <c r="H40" s="847">
        <f t="shared" si="46"/>
        <v>0</v>
      </c>
      <c r="I40" s="839">
        <f t="shared" si="15"/>
        <v>0</v>
      </c>
      <c r="J40" s="839">
        <f t="shared" si="16"/>
        <v>0</v>
      </c>
      <c r="K40" s="839">
        <f t="shared" si="17"/>
        <v>0</v>
      </c>
      <c r="L40" s="847">
        <f t="shared" si="47"/>
        <v>0</v>
      </c>
      <c r="M40" s="848">
        <f t="shared" si="31"/>
        <v>0</v>
      </c>
      <c r="N40" s="841"/>
      <c r="O40" s="846">
        <f t="shared" si="32"/>
        <v>25</v>
      </c>
      <c r="P40" s="847">
        <f t="shared" si="48"/>
        <v>0</v>
      </c>
      <c r="Q40" s="847">
        <f t="shared" si="33"/>
        <v>0</v>
      </c>
      <c r="R40" s="847">
        <f t="shared" si="34"/>
        <v>0</v>
      </c>
      <c r="S40" s="847">
        <f t="shared" si="18"/>
        <v>0</v>
      </c>
      <c r="T40" s="847">
        <f t="shared" si="59"/>
        <v>0</v>
      </c>
      <c r="U40" s="847">
        <f t="shared" si="35"/>
        <v>0</v>
      </c>
      <c r="V40" s="847">
        <f t="shared" si="49"/>
        <v>0</v>
      </c>
      <c r="W40" s="839">
        <f t="shared" si="19"/>
        <v>0</v>
      </c>
      <c r="X40" s="839">
        <f t="shared" si="20"/>
        <v>0</v>
      </c>
      <c r="Y40" s="839">
        <f t="shared" si="21"/>
        <v>0</v>
      </c>
      <c r="Z40" s="847">
        <f t="shared" si="50"/>
        <v>0</v>
      </c>
      <c r="AA40" s="848">
        <f t="shared" si="36"/>
        <v>0</v>
      </c>
      <c r="AB40" s="841"/>
      <c r="AC40" s="846">
        <f t="shared" si="37"/>
        <v>25</v>
      </c>
      <c r="AD40" s="847">
        <f t="shared" si="51"/>
        <v>0</v>
      </c>
      <c r="AE40" s="847">
        <f t="shared" si="38"/>
        <v>0</v>
      </c>
      <c r="AF40" s="847">
        <f t="shared" si="39"/>
        <v>0</v>
      </c>
      <c r="AG40" s="847">
        <f t="shared" si="22"/>
        <v>0</v>
      </c>
      <c r="AH40" s="847">
        <f t="shared" si="60"/>
        <v>0</v>
      </c>
      <c r="AI40" s="847">
        <f t="shared" si="40"/>
        <v>0</v>
      </c>
      <c r="AJ40" s="847">
        <f t="shared" si="52"/>
        <v>0</v>
      </c>
      <c r="AK40" s="839">
        <f t="shared" si="23"/>
        <v>0</v>
      </c>
      <c r="AL40" s="839">
        <f t="shared" si="24"/>
        <v>0</v>
      </c>
      <c r="AM40" s="839">
        <f t="shared" si="25"/>
        <v>0</v>
      </c>
      <c r="AN40" s="847">
        <f t="shared" si="53"/>
        <v>0</v>
      </c>
      <c r="AO40" s="848">
        <f t="shared" si="41"/>
        <v>0</v>
      </c>
      <c r="AQ40" s="846">
        <f t="shared" si="42"/>
        <v>25</v>
      </c>
      <c r="AR40" s="847">
        <f t="shared" si="26"/>
        <v>0</v>
      </c>
      <c r="AS40" s="847">
        <f t="shared" si="4"/>
        <v>0</v>
      </c>
      <c r="AT40" s="847">
        <f t="shared" si="5"/>
        <v>0</v>
      </c>
      <c r="AU40" s="847">
        <f t="shared" si="6"/>
        <v>0</v>
      </c>
      <c r="AV40" s="847">
        <f t="shared" si="7"/>
        <v>0</v>
      </c>
      <c r="AW40" s="847">
        <f t="shared" si="8"/>
        <v>0</v>
      </c>
      <c r="AX40" s="847">
        <f t="shared" si="9"/>
        <v>0</v>
      </c>
      <c r="AY40" s="839">
        <f t="shared" si="10"/>
        <v>0</v>
      </c>
      <c r="AZ40" s="839">
        <f t="shared" si="11"/>
        <v>0</v>
      </c>
      <c r="BA40" s="839">
        <f t="shared" si="12"/>
        <v>0</v>
      </c>
      <c r="BB40" s="847">
        <f t="shared" si="13"/>
        <v>0</v>
      </c>
      <c r="BC40" s="848">
        <f t="shared" si="13"/>
        <v>0</v>
      </c>
      <c r="BE40" s="827">
        <f t="shared" si="2"/>
        <v>28</v>
      </c>
      <c r="BF40" s="851" t="str">
        <f t="shared" si="62"/>
        <v>ABRIL</v>
      </c>
      <c r="BG40" s="833">
        <f>$AU$43+$AU$117+$AU$191</f>
        <v>0</v>
      </c>
      <c r="BH40" s="833">
        <f t="shared" si="3"/>
        <v>0</v>
      </c>
      <c r="BI40" s="833">
        <f>$AW$43+$AW$117+$AW$191</f>
        <v>0</v>
      </c>
      <c r="BJ40" s="833">
        <f t="shared" si="3"/>
        <v>0</v>
      </c>
      <c r="BK40" s="833">
        <f>$AS$43+$AS$117+$AS$191</f>
        <v>0</v>
      </c>
      <c r="BL40" s="833">
        <f>$AY$43+$AY$117+$AY$191</f>
        <v>0</v>
      </c>
      <c r="BM40" s="833">
        <f>$AZ$43+$AZ$117+$AZ$191</f>
        <v>0</v>
      </c>
      <c r="BN40" s="833">
        <f t="shared" si="61"/>
        <v>0</v>
      </c>
      <c r="BO40" s="833">
        <f>$BC$43+$BC$117+$BC$191</f>
        <v>0</v>
      </c>
    </row>
    <row r="41" spans="1:67" x14ac:dyDescent="0.25">
      <c r="A41" s="846">
        <f t="shared" si="27"/>
        <v>26</v>
      </c>
      <c r="B41" s="847">
        <f t="shared" si="45"/>
        <v>0</v>
      </c>
      <c r="C41" s="847">
        <f t="shared" si="28"/>
        <v>0</v>
      </c>
      <c r="D41" s="847">
        <f t="shared" si="29"/>
        <v>0</v>
      </c>
      <c r="E41" s="847">
        <f t="shared" si="14"/>
        <v>0</v>
      </c>
      <c r="F41" s="847">
        <f t="shared" si="54"/>
        <v>0</v>
      </c>
      <c r="G41" s="847">
        <f t="shared" si="30"/>
        <v>0</v>
      </c>
      <c r="H41" s="847">
        <f t="shared" si="46"/>
        <v>0</v>
      </c>
      <c r="I41" s="839">
        <f t="shared" si="15"/>
        <v>0</v>
      </c>
      <c r="J41" s="839">
        <f t="shared" si="16"/>
        <v>0</v>
      </c>
      <c r="K41" s="839">
        <f t="shared" si="17"/>
        <v>0</v>
      </c>
      <c r="L41" s="847">
        <f t="shared" si="47"/>
        <v>0</v>
      </c>
      <c r="M41" s="848">
        <f t="shared" si="31"/>
        <v>0</v>
      </c>
      <c r="N41" s="841"/>
      <c r="O41" s="846">
        <f t="shared" si="32"/>
        <v>26</v>
      </c>
      <c r="P41" s="847">
        <f t="shared" si="48"/>
        <v>0</v>
      </c>
      <c r="Q41" s="847">
        <f t="shared" si="33"/>
        <v>0</v>
      </c>
      <c r="R41" s="847">
        <f t="shared" si="34"/>
        <v>0</v>
      </c>
      <c r="S41" s="847">
        <f t="shared" si="18"/>
        <v>0</v>
      </c>
      <c r="T41" s="847">
        <f t="shared" si="59"/>
        <v>0</v>
      </c>
      <c r="U41" s="847">
        <f t="shared" si="35"/>
        <v>0</v>
      </c>
      <c r="V41" s="847">
        <f t="shared" si="49"/>
        <v>0</v>
      </c>
      <c r="W41" s="839">
        <f t="shared" si="19"/>
        <v>0</v>
      </c>
      <c r="X41" s="839">
        <f t="shared" si="20"/>
        <v>0</v>
      </c>
      <c r="Y41" s="839">
        <f t="shared" si="21"/>
        <v>0</v>
      </c>
      <c r="Z41" s="847">
        <f t="shared" si="50"/>
        <v>0</v>
      </c>
      <c r="AA41" s="848">
        <f t="shared" si="36"/>
        <v>0</v>
      </c>
      <c r="AB41" s="841"/>
      <c r="AC41" s="846">
        <f t="shared" si="37"/>
        <v>26</v>
      </c>
      <c r="AD41" s="847">
        <f t="shared" si="51"/>
        <v>0</v>
      </c>
      <c r="AE41" s="847">
        <f t="shared" si="38"/>
        <v>0</v>
      </c>
      <c r="AF41" s="847">
        <f t="shared" si="39"/>
        <v>0</v>
      </c>
      <c r="AG41" s="847">
        <f t="shared" si="22"/>
        <v>0</v>
      </c>
      <c r="AH41" s="847">
        <f t="shared" si="60"/>
        <v>0</v>
      </c>
      <c r="AI41" s="847">
        <f t="shared" si="40"/>
        <v>0</v>
      </c>
      <c r="AJ41" s="847">
        <f t="shared" si="52"/>
        <v>0</v>
      </c>
      <c r="AK41" s="839">
        <f t="shared" si="23"/>
        <v>0</v>
      </c>
      <c r="AL41" s="839">
        <f t="shared" si="24"/>
        <v>0</v>
      </c>
      <c r="AM41" s="839">
        <f t="shared" si="25"/>
        <v>0</v>
      </c>
      <c r="AN41" s="847">
        <f t="shared" si="53"/>
        <v>0</v>
      </c>
      <c r="AO41" s="848">
        <f t="shared" si="41"/>
        <v>0</v>
      </c>
      <c r="AQ41" s="846">
        <f t="shared" si="42"/>
        <v>26</v>
      </c>
      <c r="AR41" s="847">
        <f t="shared" si="26"/>
        <v>0</v>
      </c>
      <c r="AS41" s="847">
        <f t="shared" si="4"/>
        <v>0</v>
      </c>
      <c r="AT41" s="847">
        <f t="shared" si="5"/>
        <v>0</v>
      </c>
      <c r="AU41" s="847">
        <f t="shared" si="6"/>
        <v>0</v>
      </c>
      <c r="AV41" s="847">
        <f t="shared" si="7"/>
        <v>0</v>
      </c>
      <c r="AW41" s="847">
        <f t="shared" si="8"/>
        <v>0</v>
      </c>
      <c r="AX41" s="847">
        <f t="shared" si="9"/>
        <v>0</v>
      </c>
      <c r="AY41" s="839">
        <f t="shared" si="10"/>
        <v>0</v>
      </c>
      <c r="AZ41" s="839">
        <f t="shared" si="11"/>
        <v>0</v>
      </c>
      <c r="BA41" s="839">
        <f t="shared" si="12"/>
        <v>0</v>
      </c>
      <c r="BB41" s="847">
        <f t="shared" si="13"/>
        <v>0</v>
      </c>
      <c r="BC41" s="848">
        <f t="shared" si="13"/>
        <v>0</v>
      </c>
      <c r="BE41" s="827">
        <f t="shared" si="2"/>
        <v>29</v>
      </c>
      <c r="BF41" s="851" t="str">
        <f t="shared" si="62"/>
        <v>MAIG</v>
      </c>
      <c r="BG41" s="833">
        <f>$AU$44+$AU$118+$AU$192</f>
        <v>0</v>
      </c>
      <c r="BH41" s="833">
        <f t="shared" si="3"/>
        <v>0</v>
      </c>
      <c r="BI41" s="833">
        <f>$AW$44+$AW$118+$AW$192</f>
        <v>0</v>
      </c>
      <c r="BJ41" s="833">
        <f t="shared" si="3"/>
        <v>0</v>
      </c>
      <c r="BK41" s="833">
        <f>$AS$44+$AS$118+$AS$192</f>
        <v>0</v>
      </c>
      <c r="BL41" s="833">
        <f>$AY$44+$AY$118+$AY$192</f>
        <v>0</v>
      </c>
      <c r="BM41" s="833">
        <f>$AZ$44+$AZ$118+$AZ$192</f>
        <v>0</v>
      </c>
      <c r="BN41" s="833">
        <f t="shared" si="61"/>
        <v>0</v>
      </c>
      <c r="BO41" s="833">
        <f>$BC$44+$BC$118+$BC$192</f>
        <v>0</v>
      </c>
    </row>
    <row r="42" spans="1:67" x14ac:dyDescent="0.25">
      <c r="A42" s="846">
        <f t="shared" si="27"/>
        <v>27</v>
      </c>
      <c r="B42" s="847">
        <f t="shared" si="45"/>
        <v>0</v>
      </c>
      <c r="C42" s="847">
        <f t="shared" si="28"/>
        <v>0</v>
      </c>
      <c r="D42" s="847">
        <f t="shared" si="29"/>
        <v>0</v>
      </c>
      <c r="E42" s="847">
        <f t="shared" si="14"/>
        <v>0</v>
      </c>
      <c r="F42" s="847">
        <f t="shared" si="54"/>
        <v>0</v>
      </c>
      <c r="G42" s="847">
        <f t="shared" si="30"/>
        <v>0</v>
      </c>
      <c r="H42" s="847">
        <f t="shared" si="46"/>
        <v>0</v>
      </c>
      <c r="I42" s="839">
        <f t="shared" si="15"/>
        <v>0</v>
      </c>
      <c r="J42" s="839">
        <f t="shared" si="16"/>
        <v>0</v>
      </c>
      <c r="K42" s="839">
        <f t="shared" si="17"/>
        <v>0</v>
      </c>
      <c r="L42" s="847">
        <f t="shared" si="47"/>
        <v>0</v>
      </c>
      <c r="M42" s="848">
        <f t="shared" si="31"/>
        <v>0</v>
      </c>
      <c r="N42" s="841"/>
      <c r="O42" s="846">
        <f t="shared" si="32"/>
        <v>27</v>
      </c>
      <c r="P42" s="847">
        <f t="shared" si="48"/>
        <v>0</v>
      </c>
      <c r="Q42" s="847">
        <f t="shared" si="33"/>
        <v>0</v>
      </c>
      <c r="R42" s="847">
        <f t="shared" si="34"/>
        <v>0</v>
      </c>
      <c r="S42" s="847">
        <f t="shared" si="18"/>
        <v>0</v>
      </c>
      <c r="T42" s="847">
        <f t="shared" si="59"/>
        <v>0</v>
      </c>
      <c r="U42" s="847">
        <f t="shared" si="35"/>
        <v>0</v>
      </c>
      <c r="V42" s="847">
        <f t="shared" si="49"/>
        <v>0</v>
      </c>
      <c r="W42" s="839">
        <f t="shared" si="19"/>
        <v>0</v>
      </c>
      <c r="X42" s="839">
        <f t="shared" si="20"/>
        <v>0</v>
      </c>
      <c r="Y42" s="839">
        <f t="shared" si="21"/>
        <v>0</v>
      </c>
      <c r="Z42" s="847">
        <f t="shared" si="50"/>
        <v>0</v>
      </c>
      <c r="AA42" s="848">
        <f t="shared" si="36"/>
        <v>0</v>
      </c>
      <c r="AB42" s="841"/>
      <c r="AC42" s="846">
        <f t="shared" si="37"/>
        <v>27</v>
      </c>
      <c r="AD42" s="847">
        <f t="shared" si="51"/>
        <v>0</v>
      </c>
      <c r="AE42" s="847">
        <f t="shared" si="38"/>
        <v>0</v>
      </c>
      <c r="AF42" s="847">
        <f t="shared" si="39"/>
        <v>0</v>
      </c>
      <c r="AG42" s="847">
        <f t="shared" si="22"/>
        <v>0</v>
      </c>
      <c r="AH42" s="847">
        <f t="shared" si="60"/>
        <v>0</v>
      </c>
      <c r="AI42" s="847">
        <f t="shared" si="40"/>
        <v>0</v>
      </c>
      <c r="AJ42" s="847">
        <f t="shared" si="52"/>
        <v>0</v>
      </c>
      <c r="AK42" s="839">
        <f t="shared" si="23"/>
        <v>0</v>
      </c>
      <c r="AL42" s="839">
        <f t="shared" si="24"/>
        <v>0</v>
      </c>
      <c r="AM42" s="839">
        <f t="shared" si="25"/>
        <v>0</v>
      </c>
      <c r="AN42" s="847">
        <f t="shared" si="53"/>
        <v>0</v>
      </c>
      <c r="AO42" s="848">
        <f t="shared" si="41"/>
        <v>0</v>
      </c>
      <c r="AQ42" s="846">
        <f t="shared" si="42"/>
        <v>27</v>
      </c>
      <c r="AR42" s="847">
        <f t="shared" si="26"/>
        <v>0</v>
      </c>
      <c r="AS42" s="847">
        <f t="shared" si="4"/>
        <v>0</v>
      </c>
      <c r="AT42" s="847">
        <f t="shared" si="5"/>
        <v>0</v>
      </c>
      <c r="AU42" s="847">
        <f t="shared" si="6"/>
        <v>0</v>
      </c>
      <c r="AV42" s="847">
        <f t="shared" si="7"/>
        <v>0</v>
      </c>
      <c r="AW42" s="847">
        <f t="shared" si="8"/>
        <v>0</v>
      </c>
      <c r="AX42" s="847">
        <f t="shared" si="9"/>
        <v>0</v>
      </c>
      <c r="AY42" s="839">
        <f t="shared" si="10"/>
        <v>0</v>
      </c>
      <c r="AZ42" s="839">
        <f t="shared" si="11"/>
        <v>0</v>
      </c>
      <c r="BA42" s="839">
        <f t="shared" si="12"/>
        <v>0</v>
      </c>
      <c r="BB42" s="847">
        <f t="shared" si="13"/>
        <v>0</v>
      </c>
      <c r="BC42" s="848">
        <f t="shared" si="13"/>
        <v>0</v>
      </c>
      <c r="BE42" s="827">
        <f t="shared" si="2"/>
        <v>30</v>
      </c>
      <c r="BF42" s="851" t="str">
        <f t="shared" si="62"/>
        <v>JUNY</v>
      </c>
      <c r="BG42" s="833">
        <f>$AU$45+$AU$119+$AU$193</f>
        <v>0</v>
      </c>
      <c r="BH42" s="833">
        <f t="shared" si="3"/>
        <v>0</v>
      </c>
      <c r="BI42" s="833">
        <f>$AW$45+$AW$119+$AW$193</f>
        <v>0</v>
      </c>
      <c r="BJ42" s="833">
        <f t="shared" si="3"/>
        <v>0</v>
      </c>
      <c r="BK42" s="833">
        <f>$AS$45+$AS$119+$AS$193</f>
        <v>0</v>
      </c>
      <c r="BL42" s="833">
        <f>$AY$45+$AY$119+$AY$193</f>
        <v>0</v>
      </c>
      <c r="BM42" s="833">
        <f>$AZ$45+$AZ$119+$AZ$193</f>
        <v>0</v>
      </c>
      <c r="BN42" s="833">
        <f t="shared" si="61"/>
        <v>0</v>
      </c>
      <c r="BO42" s="833">
        <f>$BC$45+$BC$119+$BC$193</f>
        <v>0</v>
      </c>
    </row>
    <row r="43" spans="1:67" x14ac:dyDescent="0.25">
      <c r="A43" s="846">
        <f t="shared" si="27"/>
        <v>28</v>
      </c>
      <c r="B43" s="847">
        <f t="shared" si="45"/>
        <v>0</v>
      </c>
      <c r="C43" s="847">
        <f t="shared" si="28"/>
        <v>0</v>
      </c>
      <c r="D43" s="847">
        <f t="shared" si="29"/>
        <v>0</v>
      </c>
      <c r="E43" s="847">
        <f t="shared" si="14"/>
        <v>0</v>
      </c>
      <c r="F43" s="847">
        <f t="shared" si="54"/>
        <v>0</v>
      </c>
      <c r="G43" s="847">
        <f t="shared" si="30"/>
        <v>0</v>
      </c>
      <c r="H43" s="847">
        <f t="shared" si="46"/>
        <v>0</v>
      </c>
      <c r="I43" s="839">
        <f t="shared" si="15"/>
        <v>0</v>
      </c>
      <c r="J43" s="839">
        <f t="shared" si="16"/>
        <v>0</v>
      </c>
      <c r="K43" s="839">
        <f t="shared" si="17"/>
        <v>0</v>
      </c>
      <c r="L43" s="847">
        <f t="shared" si="47"/>
        <v>0</v>
      </c>
      <c r="M43" s="848">
        <f t="shared" si="31"/>
        <v>0</v>
      </c>
      <c r="N43" s="841"/>
      <c r="O43" s="846">
        <f t="shared" si="32"/>
        <v>28</v>
      </c>
      <c r="P43" s="847">
        <f t="shared" si="48"/>
        <v>0</v>
      </c>
      <c r="Q43" s="847">
        <f t="shared" si="33"/>
        <v>0</v>
      </c>
      <c r="R43" s="847">
        <f t="shared" si="34"/>
        <v>0</v>
      </c>
      <c r="S43" s="847">
        <f t="shared" si="18"/>
        <v>0</v>
      </c>
      <c r="T43" s="847">
        <f t="shared" si="59"/>
        <v>0</v>
      </c>
      <c r="U43" s="847">
        <f t="shared" si="35"/>
        <v>0</v>
      </c>
      <c r="V43" s="847">
        <f t="shared" si="49"/>
        <v>0</v>
      </c>
      <c r="W43" s="839">
        <f t="shared" si="19"/>
        <v>0</v>
      </c>
      <c r="X43" s="839">
        <f t="shared" si="20"/>
        <v>0</v>
      </c>
      <c r="Y43" s="839">
        <f t="shared" si="21"/>
        <v>0</v>
      </c>
      <c r="Z43" s="847">
        <f t="shared" si="50"/>
        <v>0</v>
      </c>
      <c r="AA43" s="848">
        <f t="shared" si="36"/>
        <v>0</v>
      </c>
      <c r="AB43" s="841"/>
      <c r="AC43" s="846">
        <f t="shared" si="37"/>
        <v>28</v>
      </c>
      <c r="AD43" s="847">
        <f t="shared" si="51"/>
        <v>0</v>
      </c>
      <c r="AE43" s="847">
        <f t="shared" si="38"/>
        <v>0</v>
      </c>
      <c r="AF43" s="847">
        <f t="shared" si="39"/>
        <v>0</v>
      </c>
      <c r="AG43" s="847">
        <f t="shared" si="22"/>
        <v>0</v>
      </c>
      <c r="AH43" s="847">
        <f t="shared" si="60"/>
        <v>0</v>
      </c>
      <c r="AI43" s="847">
        <f t="shared" si="40"/>
        <v>0</v>
      </c>
      <c r="AJ43" s="847">
        <f t="shared" si="52"/>
        <v>0</v>
      </c>
      <c r="AK43" s="839">
        <f t="shared" si="23"/>
        <v>0</v>
      </c>
      <c r="AL43" s="839">
        <f t="shared" si="24"/>
        <v>0</v>
      </c>
      <c r="AM43" s="839">
        <f t="shared" si="25"/>
        <v>0</v>
      </c>
      <c r="AN43" s="847">
        <f t="shared" si="53"/>
        <v>0</v>
      </c>
      <c r="AO43" s="848">
        <f t="shared" si="41"/>
        <v>0</v>
      </c>
      <c r="AQ43" s="846">
        <f t="shared" si="42"/>
        <v>28</v>
      </c>
      <c r="AR43" s="847">
        <f t="shared" si="26"/>
        <v>0</v>
      </c>
      <c r="AS43" s="847">
        <f t="shared" si="4"/>
        <v>0</v>
      </c>
      <c r="AT43" s="847">
        <f t="shared" si="5"/>
        <v>0</v>
      </c>
      <c r="AU43" s="847">
        <f t="shared" si="6"/>
        <v>0</v>
      </c>
      <c r="AV43" s="847">
        <f t="shared" si="7"/>
        <v>0</v>
      </c>
      <c r="AW43" s="847">
        <f t="shared" si="8"/>
        <v>0</v>
      </c>
      <c r="AX43" s="847">
        <f t="shared" si="9"/>
        <v>0</v>
      </c>
      <c r="AY43" s="839">
        <f t="shared" si="10"/>
        <v>0</v>
      </c>
      <c r="AZ43" s="839">
        <f t="shared" si="11"/>
        <v>0</v>
      </c>
      <c r="BA43" s="839">
        <f t="shared" si="12"/>
        <v>0</v>
      </c>
      <c r="BB43" s="847">
        <f t="shared" si="13"/>
        <v>0</v>
      </c>
      <c r="BC43" s="848">
        <f t="shared" si="13"/>
        <v>0</v>
      </c>
      <c r="BE43" s="827">
        <f t="shared" si="2"/>
        <v>31</v>
      </c>
      <c r="BF43" s="851" t="str">
        <f t="shared" si="62"/>
        <v>JULIOL</v>
      </c>
      <c r="BG43" s="833">
        <f>$AU$46+$AU$120+$AU$194</f>
        <v>0</v>
      </c>
      <c r="BH43" s="833">
        <f t="shared" si="3"/>
        <v>0</v>
      </c>
      <c r="BI43" s="833">
        <f>$AW$46+$AW$120+$AW$194</f>
        <v>0</v>
      </c>
      <c r="BJ43" s="833">
        <f t="shared" si="3"/>
        <v>0</v>
      </c>
      <c r="BK43" s="833">
        <f>$AS$46+$AS$120+$AS$194</f>
        <v>0</v>
      </c>
      <c r="BL43" s="833">
        <f>$AY$46+$AY$120+$AY$194</f>
        <v>0</v>
      </c>
      <c r="BM43" s="833">
        <f>$AZ$46+$AZ$120+$AZ$194</f>
        <v>0</v>
      </c>
      <c r="BN43" s="833">
        <f t="shared" si="61"/>
        <v>0</v>
      </c>
      <c r="BO43" s="833">
        <f>$BC$46+$BC$120+$BC$194</f>
        <v>0</v>
      </c>
    </row>
    <row r="44" spans="1:67" x14ac:dyDescent="0.25">
      <c r="A44" s="846">
        <f t="shared" si="27"/>
        <v>29</v>
      </c>
      <c r="B44" s="847">
        <f t="shared" si="45"/>
        <v>0</v>
      </c>
      <c r="C44" s="847">
        <f t="shared" si="28"/>
        <v>0</v>
      </c>
      <c r="D44" s="847">
        <f t="shared" si="29"/>
        <v>0</v>
      </c>
      <c r="E44" s="847">
        <f t="shared" si="14"/>
        <v>0</v>
      </c>
      <c r="F44" s="847">
        <f t="shared" si="54"/>
        <v>0</v>
      </c>
      <c r="G44" s="847">
        <f t="shared" si="30"/>
        <v>0</v>
      </c>
      <c r="H44" s="847">
        <f t="shared" si="46"/>
        <v>0</v>
      </c>
      <c r="I44" s="839">
        <f t="shared" si="15"/>
        <v>0</v>
      </c>
      <c r="J44" s="839">
        <f t="shared" si="16"/>
        <v>0</v>
      </c>
      <c r="K44" s="839">
        <f t="shared" si="17"/>
        <v>0</v>
      </c>
      <c r="L44" s="847">
        <f t="shared" si="47"/>
        <v>0</v>
      </c>
      <c r="M44" s="848">
        <f t="shared" si="31"/>
        <v>0</v>
      </c>
      <c r="N44" s="841"/>
      <c r="O44" s="846">
        <f t="shared" si="32"/>
        <v>29</v>
      </c>
      <c r="P44" s="847">
        <f t="shared" si="48"/>
        <v>0</v>
      </c>
      <c r="Q44" s="847">
        <f t="shared" si="33"/>
        <v>0</v>
      </c>
      <c r="R44" s="847">
        <f t="shared" si="34"/>
        <v>0</v>
      </c>
      <c r="S44" s="847">
        <f t="shared" si="18"/>
        <v>0</v>
      </c>
      <c r="T44" s="847">
        <f t="shared" si="59"/>
        <v>0</v>
      </c>
      <c r="U44" s="847">
        <f t="shared" si="35"/>
        <v>0</v>
      </c>
      <c r="V44" s="847">
        <f t="shared" si="49"/>
        <v>0</v>
      </c>
      <c r="W44" s="839">
        <f t="shared" si="19"/>
        <v>0</v>
      </c>
      <c r="X44" s="839">
        <f t="shared" si="20"/>
        <v>0</v>
      </c>
      <c r="Y44" s="839">
        <f t="shared" si="21"/>
        <v>0</v>
      </c>
      <c r="Z44" s="847">
        <f t="shared" si="50"/>
        <v>0</v>
      </c>
      <c r="AA44" s="848">
        <f t="shared" si="36"/>
        <v>0</v>
      </c>
      <c r="AB44" s="841"/>
      <c r="AC44" s="846">
        <f t="shared" si="37"/>
        <v>29</v>
      </c>
      <c r="AD44" s="847">
        <f t="shared" si="51"/>
        <v>0</v>
      </c>
      <c r="AE44" s="847">
        <f t="shared" si="38"/>
        <v>0</v>
      </c>
      <c r="AF44" s="847">
        <f t="shared" si="39"/>
        <v>0</v>
      </c>
      <c r="AG44" s="847">
        <f t="shared" si="22"/>
        <v>0</v>
      </c>
      <c r="AH44" s="847">
        <f t="shared" si="60"/>
        <v>0</v>
      </c>
      <c r="AI44" s="847">
        <f t="shared" si="40"/>
        <v>0</v>
      </c>
      <c r="AJ44" s="847">
        <f t="shared" si="52"/>
        <v>0</v>
      </c>
      <c r="AK44" s="839">
        <f t="shared" si="23"/>
        <v>0</v>
      </c>
      <c r="AL44" s="839">
        <f t="shared" si="24"/>
        <v>0</v>
      </c>
      <c r="AM44" s="839">
        <f t="shared" si="25"/>
        <v>0</v>
      </c>
      <c r="AN44" s="847">
        <f t="shared" si="53"/>
        <v>0</v>
      </c>
      <c r="AO44" s="848">
        <f t="shared" si="41"/>
        <v>0</v>
      </c>
      <c r="AQ44" s="846">
        <f t="shared" si="42"/>
        <v>29</v>
      </c>
      <c r="AR44" s="847">
        <f t="shared" si="26"/>
        <v>0</v>
      </c>
      <c r="AS44" s="847">
        <f t="shared" si="4"/>
        <v>0</v>
      </c>
      <c r="AT44" s="847">
        <f t="shared" si="5"/>
        <v>0</v>
      </c>
      <c r="AU44" s="847">
        <f t="shared" si="6"/>
        <v>0</v>
      </c>
      <c r="AV44" s="847">
        <f t="shared" si="7"/>
        <v>0</v>
      </c>
      <c r="AW44" s="847">
        <f t="shared" si="8"/>
        <v>0</v>
      </c>
      <c r="AX44" s="847">
        <f t="shared" si="9"/>
        <v>0</v>
      </c>
      <c r="AY44" s="839">
        <f t="shared" si="10"/>
        <v>0</v>
      </c>
      <c r="AZ44" s="839">
        <f t="shared" si="11"/>
        <v>0</v>
      </c>
      <c r="BA44" s="839">
        <f t="shared" si="12"/>
        <v>0</v>
      </c>
      <c r="BB44" s="847">
        <f t="shared" si="13"/>
        <v>0</v>
      </c>
      <c r="BC44" s="848">
        <f t="shared" si="13"/>
        <v>0</v>
      </c>
      <c r="BE44" s="827">
        <f t="shared" si="2"/>
        <v>32</v>
      </c>
      <c r="BF44" s="851" t="str">
        <f t="shared" si="62"/>
        <v>AGOST</v>
      </c>
      <c r="BG44" s="833">
        <f>$AU$47+$AU$121+$AU$195</f>
        <v>0</v>
      </c>
      <c r="BH44" s="833">
        <f t="shared" si="3"/>
        <v>0</v>
      </c>
      <c r="BI44" s="833">
        <f>$AW$47+$AW$121+$AW$195</f>
        <v>0</v>
      </c>
      <c r="BJ44" s="833">
        <f t="shared" si="3"/>
        <v>0</v>
      </c>
      <c r="BK44" s="833">
        <f>$AS$47+$AS$121+$AS$195</f>
        <v>0</v>
      </c>
      <c r="BL44" s="833">
        <f>$AY$47+$AY$121+$AY$195</f>
        <v>0</v>
      </c>
      <c r="BM44" s="833">
        <f>$AZ$47+$AZ$121+$AZ$195</f>
        <v>0</v>
      </c>
      <c r="BN44" s="833">
        <f t="shared" si="61"/>
        <v>0</v>
      </c>
      <c r="BO44" s="833">
        <f>$BC$47+$BC$121+$BC$195</f>
        <v>0</v>
      </c>
    </row>
    <row r="45" spans="1:67" x14ac:dyDescent="0.25">
      <c r="A45" s="846">
        <f t="shared" si="27"/>
        <v>30</v>
      </c>
      <c r="B45" s="847">
        <f t="shared" si="45"/>
        <v>0</v>
      </c>
      <c r="C45" s="847">
        <f t="shared" si="28"/>
        <v>0</v>
      </c>
      <c r="D45" s="847">
        <f t="shared" si="29"/>
        <v>0</v>
      </c>
      <c r="E45" s="847">
        <f t="shared" si="14"/>
        <v>0</v>
      </c>
      <c r="F45" s="847">
        <f t="shared" si="54"/>
        <v>0</v>
      </c>
      <c r="G45" s="847">
        <f t="shared" si="30"/>
        <v>0</v>
      </c>
      <c r="H45" s="847">
        <f t="shared" si="46"/>
        <v>0</v>
      </c>
      <c r="I45" s="839">
        <f t="shared" si="15"/>
        <v>0</v>
      </c>
      <c r="J45" s="839">
        <f t="shared" si="16"/>
        <v>0</v>
      </c>
      <c r="K45" s="839">
        <f t="shared" si="17"/>
        <v>0</v>
      </c>
      <c r="L45" s="847">
        <f t="shared" si="47"/>
        <v>0</v>
      </c>
      <c r="M45" s="848">
        <f t="shared" si="31"/>
        <v>0</v>
      </c>
      <c r="N45" s="841"/>
      <c r="O45" s="846">
        <f t="shared" si="32"/>
        <v>30</v>
      </c>
      <c r="P45" s="847">
        <f t="shared" si="48"/>
        <v>0</v>
      </c>
      <c r="Q45" s="847">
        <f t="shared" si="33"/>
        <v>0</v>
      </c>
      <c r="R45" s="847">
        <f t="shared" si="34"/>
        <v>0</v>
      </c>
      <c r="S45" s="847">
        <f t="shared" si="18"/>
        <v>0</v>
      </c>
      <c r="T45" s="847">
        <f t="shared" si="59"/>
        <v>0</v>
      </c>
      <c r="U45" s="847">
        <f t="shared" si="35"/>
        <v>0</v>
      </c>
      <c r="V45" s="847">
        <f t="shared" si="49"/>
        <v>0</v>
      </c>
      <c r="W45" s="839">
        <f t="shared" si="19"/>
        <v>0</v>
      </c>
      <c r="X45" s="839">
        <f t="shared" si="20"/>
        <v>0</v>
      </c>
      <c r="Y45" s="839">
        <f t="shared" si="21"/>
        <v>0</v>
      </c>
      <c r="Z45" s="847">
        <f t="shared" si="50"/>
        <v>0</v>
      </c>
      <c r="AA45" s="848">
        <f t="shared" si="36"/>
        <v>0</v>
      </c>
      <c r="AB45" s="841"/>
      <c r="AC45" s="846">
        <f t="shared" si="37"/>
        <v>30</v>
      </c>
      <c r="AD45" s="847">
        <f t="shared" si="51"/>
        <v>0</v>
      </c>
      <c r="AE45" s="847">
        <f t="shared" si="38"/>
        <v>0</v>
      </c>
      <c r="AF45" s="847">
        <f t="shared" si="39"/>
        <v>0</v>
      </c>
      <c r="AG45" s="847">
        <f t="shared" si="22"/>
        <v>0</v>
      </c>
      <c r="AH45" s="847">
        <f t="shared" si="60"/>
        <v>0</v>
      </c>
      <c r="AI45" s="847">
        <f t="shared" si="40"/>
        <v>0</v>
      </c>
      <c r="AJ45" s="847">
        <f t="shared" si="52"/>
        <v>0</v>
      </c>
      <c r="AK45" s="839">
        <f t="shared" si="23"/>
        <v>0</v>
      </c>
      <c r="AL45" s="839">
        <f t="shared" si="24"/>
        <v>0</v>
      </c>
      <c r="AM45" s="839">
        <f t="shared" si="25"/>
        <v>0</v>
      </c>
      <c r="AN45" s="847">
        <f t="shared" si="53"/>
        <v>0</v>
      </c>
      <c r="AO45" s="848">
        <f t="shared" si="41"/>
        <v>0</v>
      </c>
      <c r="AQ45" s="846">
        <f t="shared" si="42"/>
        <v>30</v>
      </c>
      <c r="AR45" s="847">
        <f t="shared" si="26"/>
        <v>0</v>
      </c>
      <c r="AS45" s="847">
        <f t="shared" si="4"/>
        <v>0</v>
      </c>
      <c r="AT45" s="847">
        <f t="shared" si="5"/>
        <v>0</v>
      </c>
      <c r="AU45" s="847">
        <f t="shared" si="6"/>
        <v>0</v>
      </c>
      <c r="AV45" s="847">
        <f t="shared" si="7"/>
        <v>0</v>
      </c>
      <c r="AW45" s="847">
        <f t="shared" si="8"/>
        <v>0</v>
      </c>
      <c r="AX45" s="847">
        <f t="shared" si="9"/>
        <v>0</v>
      </c>
      <c r="AY45" s="839">
        <f t="shared" si="10"/>
        <v>0</v>
      </c>
      <c r="AZ45" s="839">
        <f t="shared" si="11"/>
        <v>0</v>
      </c>
      <c r="BA45" s="839">
        <f t="shared" si="12"/>
        <v>0</v>
      </c>
      <c r="BB45" s="847">
        <f t="shared" si="13"/>
        <v>0</v>
      </c>
      <c r="BC45" s="848">
        <f t="shared" si="13"/>
        <v>0</v>
      </c>
      <c r="BE45" s="827">
        <f t="shared" si="2"/>
        <v>33</v>
      </c>
      <c r="BF45" s="851" t="str">
        <f t="shared" si="62"/>
        <v>SETEMBRE</v>
      </c>
      <c r="BG45" s="833">
        <f>$AU$48+$AU$122+$AU$196</f>
        <v>0</v>
      </c>
      <c r="BH45" s="833">
        <f t="shared" si="3"/>
        <v>0</v>
      </c>
      <c r="BI45" s="833">
        <f>$AW$48+$AW$122+$AW$196</f>
        <v>0</v>
      </c>
      <c r="BJ45" s="833">
        <f t="shared" si="3"/>
        <v>0</v>
      </c>
      <c r="BK45" s="833">
        <f>$AS$48+$AS$122+$AS$196</f>
        <v>0</v>
      </c>
      <c r="BL45" s="833">
        <f>$AY$48+$AY$122+$AY$196</f>
        <v>0</v>
      </c>
      <c r="BM45" s="833">
        <f>$AZ$48+$AZ$122+$AZ$196</f>
        <v>0</v>
      </c>
      <c r="BN45" s="833">
        <f t="shared" si="61"/>
        <v>0</v>
      </c>
      <c r="BO45" s="833">
        <f>$BC$48+$BC$122+$BC$196</f>
        <v>0</v>
      </c>
    </row>
    <row r="46" spans="1:67" x14ac:dyDescent="0.25">
      <c r="A46" s="846">
        <f t="shared" si="27"/>
        <v>31</v>
      </c>
      <c r="B46" s="847">
        <f t="shared" si="45"/>
        <v>0</v>
      </c>
      <c r="C46" s="847">
        <f t="shared" si="28"/>
        <v>0</v>
      </c>
      <c r="D46" s="847">
        <f t="shared" si="29"/>
        <v>0</v>
      </c>
      <c r="E46" s="847">
        <f t="shared" si="14"/>
        <v>0</v>
      </c>
      <c r="F46" s="847">
        <f t="shared" si="54"/>
        <v>0</v>
      </c>
      <c r="G46" s="847">
        <f t="shared" si="30"/>
        <v>0</v>
      </c>
      <c r="H46" s="847">
        <f t="shared" si="46"/>
        <v>0</v>
      </c>
      <c r="I46" s="839">
        <f t="shared" si="15"/>
        <v>0</v>
      </c>
      <c r="J46" s="839">
        <f t="shared" si="16"/>
        <v>0</v>
      </c>
      <c r="K46" s="839">
        <f t="shared" si="17"/>
        <v>0</v>
      </c>
      <c r="L46" s="847">
        <f t="shared" si="47"/>
        <v>0</v>
      </c>
      <c r="M46" s="848">
        <f t="shared" si="31"/>
        <v>0</v>
      </c>
      <c r="N46" s="841"/>
      <c r="O46" s="846">
        <f t="shared" si="32"/>
        <v>31</v>
      </c>
      <c r="P46" s="847">
        <f t="shared" si="48"/>
        <v>0</v>
      </c>
      <c r="Q46" s="847">
        <f t="shared" si="33"/>
        <v>0</v>
      </c>
      <c r="R46" s="847">
        <f t="shared" si="34"/>
        <v>0</v>
      </c>
      <c r="S46" s="847">
        <f t="shared" si="18"/>
        <v>0</v>
      </c>
      <c r="T46" s="847">
        <f t="shared" si="59"/>
        <v>0</v>
      </c>
      <c r="U46" s="847">
        <f t="shared" si="35"/>
        <v>0</v>
      </c>
      <c r="V46" s="847">
        <f t="shared" si="49"/>
        <v>0</v>
      </c>
      <c r="W46" s="839">
        <f t="shared" si="19"/>
        <v>0</v>
      </c>
      <c r="X46" s="839">
        <f t="shared" si="20"/>
        <v>0</v>
      </c>
      <c r="Y46" s="839">
        <f t="shared" si="21"/>
        <v>0</v>
      </c>
      <c r="Z46" s="847">
        <f t="shared" si="50"/>
        <v>0</v>
      </c>
      <c r="AA46" s="848">
        <f t="shared" si="36"/>
        <v>0</v>
      </c>
      <c r="AB46" s="841"/>
      <c r="AC46" s="846">
        <f t="shared" si="37"/>
        <v>31</v>
      </c>
      <c r="AD46" s="847">
        <f t="shared" si="51"/>
        <v>0</v>
      </c>
      <c r="AE46" s="847">
        <f t="shared" si="38"/>
        <v>0</v>
      </c>
      <c r="AF46" s="847">
        <f t="shared" si="39"/>
        <v>0</v>
      </c>
      <c r="AG46" s="847">
        <f t="shared" si="22"/>
        <v>0</v>
      </c>
      <c r="AH46" s="847">
        <f t="shared" si="60"/>
        <v>0</v>
      </c>
      <c r="AI46" s="847">
        <f t="shared" si="40"/>
        <v>0</v>
      </c>
      <c r="AJ46" s="847">
        <f t="shared" si="52"/>
        <v>0</v>
      </c>
      <c r="AK46" s="839">
        <f t="shared" si="23"/>
        <v>0</v>
      </c>
      <c r="AL46" s="839">
        <f t="shared" si="24"/>
        <v>0</v>
      </c>
      <c r="AM46" s="839">
        <f t="shared" si="25"/>
        <v>0</v>
      </c>
      <c r="AN46" s="847">
        <f t="shared" si="53"/>
        <v>0</v>
      </c>
      <c r="AO46" s="848">
        <f t="shared" si="41"/>
        <v>0</v>
      </c>
      <c r="AQ46" s="846">
        <f t="shared" si="42"/>
        <v>31</v>
      </c>
      <c r="AR46" s="847">
        <f t="shared" si="26"/>
        <v>0</v>
      </c>
      <c r="AS46" s="847">
        <f t="shared" si="4"/>
        <v>0</v>
      </c>
      <c r="AT46" s="847">
        <f t="shared" si="5"/>
        <v>0</v>
      </c>
      <c r="AU46" s="847">
        <f t="shared" si="6"/>
        <v>0</v>
      </c>
      <c r="AV46" s="847">
        <f t="shared" si="7"/>
        <v>0</v>
      </c>
      <c r="AW46" s="847">
        <f t="shared" si="8"/>
        <v>0</v>
      </c>
      <c r="AX46" s="847">
        <f t="shared" si="9"/>
        <v>0</v>
      </c>
      <c r="AY46" s="839">
        <f t="shared" si="10"/>
        <v>0</v>
      </c>
      <c r="AZ46" s="839">
        <f t="shared" si="11"/>
        <v>0</v>
      </c>
      <c r="BA46" s="839">
        <f t="shared" si="12"/>
        <v>0</v>
      </c>
      <c r="BB46" s="847">
        <f t="shared" si="13"/>
        <v>0</v>
      </c>
      <c r="BC46" s="848">
        <f t="shared" si="13"/>
        <v>0</v>
      </c>
      <c r="BE46" s="827">
        <f t="shared" si="2"/>
        <v>34</v>
      </c>
      <c r="BF46" s="851" t="str">
        <f t="shared" si="62"/>
        <v>OCTUBRE</v>
      </c>
      <c r="BG46" s="833">
        <f>$AU$49+$AU$123+$AU$197</f>
        <v>0</v>
      </c>
      <c r="BH46" s="833">
        <f t="shared" si="3"/>
        <v>0</v>
      </c>
      <c r="BI46" s="833">
        <f>$AW$49+$AW$123+$AW$197</f>
        <v>0</v>
      </c>
      <c r="BJ46" s="833">
        <f t="shared" si="3"/>
        <v>0</v>
      </c>
      <c r="BK46" s="833">
        <f>$AS$49+$AS$123+$AS$197</f>
        <v>0</v>
      </c>
      <c r="BL46" s="833">
        <f>$AY$49+$AY$123+$AY$197</f>
        <v>0</v>
      </c>
      <c r="BM46" s="833">
        <f>$AZ$49+$AZ$123+$AZ$197</f>
        <v>0</v>
      </c>
      <c r="BN46" s="833">
        <f t="shared" si="61"/>
        <v>0</v>
      </c>
      <c r="BO46" s="833">
        <f>$BC$49+$BC$123+$BC$197</f>
        <v>0</v>
      </c>
    </row>
    <row r="47" spans="1:67" x14ac:dyDescent="0.25">
      <c r="A47" s="846">
        <f t="shared" si="27"/>
        <v>32</v>
      </c>
      <c r="B47" s="847">
        <f t="shared" si="45"/>
        <v>0</v>
      </c>
      <c r="C47" s="847">
        <f t="shared" si="28"/>
        <v>0</v>
      </c>
      <c r="D47" s="847">
        <f t="shared" si="29"/>
        <v>0</v>
      </c>
      <c r="E47" s="847">
        <f t="shared" si="14"/>
        <v>0</v>
      </c>
      <c r="F47" s="847">
        <f t="shared" si="54"/>
        <v>0</v>
      </c>
      <c r="G47" s="847">
        <f t="shared" si="30"/>
        <v>0</v>
      </c>
      <c r="H47" s="847">
        <f t="shared" si="46"/>
        <v>0</v>
      </c>
      <c r="I47" s="839">
        <f t="shared" si="15"/>
        <v>0</v>
      </c>
      <c r="J47" s="839">
        <f t="shared" si="16"/>
        <v>0</v>
      </c>
      <c r="K47" s="839">
        <f t="shared" si="17"/>
        <v>0</v>
      </c>
      <c r="L47" s="847">
        <f t="shared" si="47"/>
        <v>0</v>
      </c>
      <c r="M47" s="848">
        <f t="shared" si="31"/>
        <v>0</v>
      </c>
      <c r="N47" s="841"/>
      <c r="O47" s="846">
        <f t="shared" si="32"/>
        <v>32</v>
      </c>
      <c r="P47" s="847">
        <f t="shared" si="48"/>
        <v>0</v>
      </c>
      <c r="Q47" s="847">
        <f t="shared" si="33"/>
        <v>0</v>
      </c>
      <c r="R47" s="847">
        <f t="shared" si="34"/>
        <v>0</v>
      </c>
      <c r="S47" s="847">
        <f t="shared" si="18"/>
        <v>0</v>
      </c>
      <c r="T47" s="847">
        <f t="shared" si="59"/>
        <v>0</v>
      </c>
      <c r="U47" s="847">
        <f t="shared" si="35"/>
        <v>0</v>
      </c>
      <c r="V47" s="847">
        <f t="shared" si="49"/>
        <v>0</v>
      </c>
      <c r="W47" s="839">
        <f t="shared" si="19"/>
        <v>0</v>
      </c>
      <c r="X47" s="839">
        <f t="shared" si="20"/>
        <v>0</v>
      </c>
      <c r="Y47" s="839">
        <f t="shared" si="21"/>
        <v>0</v>
      </c>
      <c r="Z47" s="847">
        <f t="shared" si="50"/>
        <v>0</v>
      </c>
      <c r="AA47" s="848">
        <f t="shared" si="36"/>
        <v>0</v>
      </c>
      <c r="AB47" s="841"/>
      <c r="AC47" s="846">
        <f t="shared" si="37"/>
        <v>32</v>
      </c>
      <c r="AD47" s="847">
        <f t="shared" si="51"/>
        <v>0</v>
      </c>
      <c r="AE47" s="847">
        <f t="shared" si="38"/>
        <v>0</v>
      </c>
      <c r="AF47" s="847">
        <f t="shared" si="39"/>
        <v>0</v>
      </c>
      <c r="AG47" s="847">
        <f t="shared" si="22"/>
        <v>0</v>
      </c>
      <c r="AH47" s="847">
        <f t="shared" si="60"/>
        <v>0</v>
      </c>
      <c r="AI47" s="847">
        <f t="shared" si="40"/>
        <v>0</v>
      </c>
      <c r="AJ47" s="847">
        <f t="shared" si="52"/>
        <v>0</v>
      </c>
      <c r="AK47" s="839">
        <f t="shared" si="23"/>
        <v>0</v>
      </c>
      <c r="AL47" s="839">
        <f t="shared" si="24"/>
        <v>0</v>
      </c>
      <c r="AM47" s="839">
        <f t="shared" si="25"/>
        <v>0</v>
      </c>
      <c r="AN47" s="847">
        <f t="shared" si="53"/>
        <v>0</v>
      </c>
      <c r="AO47" s="848">
        <f t="shared" si="41"/>
        <v>0</v>
      </c>
      <c r="AQ47" s="846">
        <f t="shared" si="42"/>
        <v>32</v>
      </c>
      <c r="AR47" s="847">
        <f t="shared" si="26"/>
        <v>0</v>
      </c>
      <c r="AS47" s="847">
        <f t="shared" si="4"/>
        <v>0</v>
      </c>
      <c r="AT47" s="847">
        <f t="shared" si="5"/>
        <v>0</v>
      </c>
      <c r="AU47" s="847">
        <f t="shared" si="6"/>
        <v>0</v>
      </c>
      <c r="AV47" s="847">
        <f t="shared" si="7"/>
        <v>0</v>
      </c>
      <c r="AW47" s="847">
        <f t="shared" si="8"/>
        <v>0</v>
      </c>
      <c r="AX47" s="847">
        <f t="shared" si="9"/>
        <v>0</v>
      </c>
      <c r="AY47" s="839">
        <f t="shared" si="10"/>
        <v>0</v>
      </c>
      <c r="AZ47" s="839">
        <f t="shared" si="11"/>
        <v>0</v>
      </c>
      <c r="BA47" s="839">
        <f t="shared" si="12"/>
        <v>0</v>
      </c>
      <c r="BB47" s="847">
        <f t="shared" si="13"/>
        <v>0</v>
      </c>
      <c r="BC47" s="848">
        <f t="shared" si="13"/>
        <v>0</v>
      </c>
      <c r="BE47" s="827">
        <f t="shared" si="2"/>
        <v>35</v>
      </c>
      <c r="BF47" s="851" t="str">
        <f t="shared" si="62"/>
        <v>NOVEMBRE</v>
      </c>
      <c r="BG47" s="833">
        <f>$AU$50+$AU$124+$AU$198</f>
        <v>0</v>
      </c>
      <c r="BH47" s="833">
        <f t="shared" si="3"/>
        <v>0</v>
      </c>
      <c r="BI47" s="833">
        <f>$AW$50+$AW$124+$AW$198</f>
        <v>0</v>
      </c>
      <c r="BJ47" s="833">
        <f t="shared" si="3"/>
        <v>0</v>
      </c>
      <c r="BK47" s="833">
        <f>$AS$50+$AS$124+$AS$198</f>
        <v>0</v>
      </c>
      <c r="BL47" s="833">
        <f>$AY$50+$AY$124+$AY$198</f>
        <v>0</v>
      </c>
      <c r="BM47" s="833">
        <f>$AZ$50+$AZ$124+$AZ$198</f>
        <v>0</v>
      </c>
      <c r="BN47" s="833">
        <f t="shared" si="61"/>
        <v>0</v>
      </c>
      <c r="BO47" s="833">
        <f>$BC$50+$BC$124+$BC$198</f>
        <v>0</v>
      </c>
    </row>
    <row r="48" spans="1:67" x14ac:dyDescent="0.25">
      <c r="A48" s="846">
        <f t="shared" si="27"/>
        <v>33</v>
      </c>
      <c r="B48" s="847">
        <f t="shared" si="45"/>
        <v>0</v>
      </c>
      <c r="C48" s="847">
        <f t="shared" si="28"/>
        <v>0</v>
      </c>
      <c r="D48" s="847">
        <f t="shared" si="29"/>
        <v>0</v>
      </c>
      <c r="E48" s="847">
        <f t="shared" si="14"/>
        <v>0</v>
      </c>
      <c r="F48" s="847">
        <f t="shared" si="54"/>
        <v>0</v>
      </c>
      <c r="G48" s="847">
        <f t="shared" si="30"/>
        <v>0</v>
      </c>
      <c r="H48" s="847">
        <f t="shared" si="46"/>
        <v>0</v>
      </c>
      <c r="I48" s="839">
        <f t="shared" si="15"/>
        <v>0</v>
      </c>
      <c r="J48" s="839">
        <f t="shared" si="16"/>
        <v>0</v>
      </c>
      <c r="K48" s="839">
        <f t="shared" si="17"/>
        <v>0</v>
      </c>
      <c r="L48" s="847">
        <f t="shared" si="47"/>
        <v>0</v>
      </c>
      <c r="M48" s="848">
        <f t="shared" si="31"/>
        <v>0</v>
      </c>
      <c r="N48" s="841"/>
      <c r="O48" s="846">
        <f t="shared" si="32"/>
        <v>33</v>
      </c>
      <c r="P48" s="847">
        <f t="shared" si="48"/>
        <v>0</v>
      </c>
      <c r="Q48" s="847">
        <f t="shared" si="33"/>
        <v>0</v>
      </c>
      <c r="R48" s="847">
        <f t="shared" si="34"/>
        <v>0</v>
      </c>
      <c r="S48" s="847">
        <f t="shared" si="18"/>
        <v>0</v>
      </c>
      <c r="T48" s="847">
        <f t="shared" si="59"/>
        <v>0</v>
      </c>
      <c r="U48" s="847">
        <f t="shared" si="35"/>
        <v>0</v>
      </c>
      <c r="V48" s="847">
        <f t="shared" si="49"/>
        <v>0</v>
      </c>
      <c r="W48" s="839">
        <f t="shared" si="19"/>
        <v>0</v>
      </c>
      <c r="X48" s="839">
        <f t="shared" si="20"/>
        <v>0</v>
      </c>
      <c r="Y48" s="839">
        <f t="shared" si="21"/>
        <v>0</v>
      </c>
      <c r="Z48" s="847">
        <f t="shared" si="50"/>
        <v>0</v>
      </c>
      <c r="AA48" s="848">
        <f t="shared" si="36"/>
        <v>0</v>
      </c>
      <c r="AB48" s="841"/>
      <c r="AC48" s="846">
        <f t="shared" si="37"/>
        <v>33</v>
      </c>
      <c r="AD48" s="847">
        <f t="shared" si="51"/>
        <v>0</v>
      </c>
      <c r="AE48" s="847">
        <f t="shared" si="38"/>
        <v>0</v>
      </c>
      <c r="AF48" s="847">
        <f t="shared" si="39"/>
        <v>0</v>
      </c>
      <c r="AG48" s="847">
        <f t="shared" si="22"/>
        <v>0</v>
      </c>
      <c r="AH48" s="847">
        <f t="shared" si="60"/>
        <v>0</v>
      </c>
      <c r="AI48" s="847">
        <f t="shared" si="40"/>
        <v>0</v>
      </c>
      <c r="AJ48" s="847">
        <f t="shared" si="52"/>
        <v>0</v>
      </c>
      <c r="AK48" s="839">
        <f t="shared" si="23"/>
        <v>0</v>
      </c>
      <c r="AL48" s="839">
        <f t="shared" si="24"/>
        <v>0</v>
      </c>
      <c r="AM48" s="839">
        <f t="shared" si="25"/>
        <v>0</v>
      </c>
      <c r="AN48" s="847">
        <f t="shared" si="53"/>
        <v>0</v>
      </c>
      <c r="AO48" s="848">
        <f t="shared" si="41"/>
        <v>0</v>
      </c>
      <c r="AQ48" s="846">
        <f t="shared" si="42"/>
        <v>33</v>
      </c>
      <c r="AR48" s="847">
        <f t="shared" si="26"/>
        <v>0</v>
      </c>
      <c r="AS48" s="847">
        <f t="shared" si="4"/>
        <v>0</v>
      </c>
      <c r="AT48" s="847">
        <f t="shared" si="5"/>
        <v>0</v>
      </c>
      <c r="AU48" s="847">
        <f t="shared" si="6"/>
        <v>0</v>
      </c>
      <c r="AV48" s="847">
        <f t="shared" si="7"/>
        <v>0</v>
      </c>
      <c r="AW48" s="847">
        <f t="shared" si="8"/>
        <v>0</v>
      </c>
      <c r="AX48" s="847">
        <f t="shared" si="9"/>
        <v>0</v>
      </c>
      <c r="AY48" s="839">
        <f t="shared" si="10"/>
        <v>0</v>
      </c>
      <c r="AZ48" s="839">
        <f t="shared" si="11"/>
        <v>0</v>
      </c>
      <c r="BA48" s="839">
        <f t="shared" si="12"/>
        <v>0</v>
      </c>
      <c r="BB48" s="847">
        <f t="shared" si="13"/>
        <v>0</v>
      </c>
      <c r="BC48" s="848">
        <f t="shared" si="13"/>
        <v>0</v>
      </c>
      <c r="BE48" s="827">
        <f t="shared" si="2"/>
        <v>36</v>
      </c>
      <c r="BF48" s="851" t="str">
        <f t="shared" si="62"/>
        <v>DESEMBRE</v>
      </c>
      <c r="BG48" s="833">
        <f>$AU$51+$AU$125+$AU$199</f>
        <v>0</v>
      </c>
      <c r="BH48" s="833">
        <f t="shared" si="3"/>
        <v>0</v>
      </c>
      <c r="BI48" s="833">
        <f>$AW$51+$AW$125+$AW$199</f>
        <v>0</v>
      </c>
      <c r="BJ48" s="833">
        <f t="shared" si="3"/>
        <v>0</v>
      </c>
      <c r="BK48" s="833">
        <f>$AS$51+$AS$125+$AS$199</f>
        <v>0</v>
      </c>
      <c r="BL48" s="833">
        <f>$AY$51+$AY$125+$AY$199</f>
        <v>0</v>
      </c>
      <c r="BM48" s="833">
        <f>$AZ$51+$AZ$125+$AZ$199</f>
        <v>0</v>
      </c>
      <c r="BN48" s="833">
        <f t="shared" si="61"/>
        <v>0</v>
      </c>
      <c r="BO48" s="833">
        <f>$BC$51+$BC$125+$BC$199</f>
        <v>0</v>
      </c>
    </row>
    <row r="49" spans="1:67" x14ac:dyDescent="0.25">
      <c r="A49" s="846">
        <f t="shared" si="27"/>
        <v>34</v>
      </c>
      <c r="B49" s="847">
        <f t="shared" si="45"/>
        <v>0</v>
      </c>
      <c r="C49" s="847">
        <f t="shared" si="28"/>
        <v>0</v>
      </c>
      <c r="D49" s="847">
        <f t="shared" si="29"/>
        <v>0</v>
      </c>
      <c r="E49" s="847">
        <f t="shared" ref="E49:E80" si="63">L48*C$9/12</f>
        <v>0</v>
      </c>
      <c r="F49" s="847">
        <f t="shared" si="54"/>
        <v>0</v>
      </c>
      <c r="G49" s="847">
        <f t="shared" si="30"/>
        <v>0</v>
      </c>
      <c r="H49" s="847">
        <f t="shared" si="46"/>
        <v>0</v>
      </c>
      <c r="I49" s="839">
        <f t="shared" si="15"/>
        <v>0</v>
      </c>
      <c r="J49" s="839">
        <f t="shared" si="16"/>
        <v>0</v>
      </c>
      <c r="K49" s="839">
        <f t="shared" si="17"/>
        <v>0</v>
      </c>
      <c r="L49" s="847">
        <f t="shared" si="47"/>
        <v>0</v>
      </c>
      <c r="M49" s="848">
        <f t="shared" si="31"/>
        <v>0</v>
      </c>
      <c r="N49" s="841"/>
      <c r="O49" s="846">
        <f t="shared" si="32"/>
        <v>34</v>
      </c>
      <c r="P49" s="847">
        <f t="shared" si="48"/>
        <v>0</v>
      </c>
      <c r="Q49" s="847">
        <f t="shared" si="33"/>
        <v>0</v>
      </c>
      <c r="R49" s="847">
        <f t="shared" si="34"/>
        <v>0</v>
      </c>
      <c r="S49" s="847">
        <f t="shared" ref="S49:S80" si="64">Z48*Q$9/12</f>
        <v>0</v>
      </c>
      <c r="T49" s="847">
        <f t="shared" si="59"/>
        <v>0</v>
      </c>
      <c r="U49" s="847">
        <f t="shared" si="35"/>
        <v>0</v>
      </c>
      <c r="V49" s="847">
        <f t="shared" si="49"/>
        <v>0</v>
      </c>
      <c r="W49" s="839">
        <f t="shared" si="19"/>
        <v>0</v>
      </c>
      <c r="X49" s="839">
        <f t="shared" si="20"/>
        <v>0</v>
      </c>
      <c r="Y49" s="839">
        <f t="shared" si="21"/>
        <v>0</v>
      </c>
      <c r="Z49" s="847">
        <f t="shared" si="50"/>
        <v>0</v>
      </c>
      <c r="AA49" s="848">
        <f t="shared" si="36"/>
        <v>0</v>
      </c>
      <c r="AB49" s="841"/>
      <c r="AC49" s="846">
        <f t="shared" si="37"/>
        <v>34</v>
      </c>
      <c r="AD49" s="847">
        <f t="shared" si="51"/>
        <v>0</v>
      </c>
      <c r="AE49" s="847">
        <f t="shared" si="38"/>
        <v>0</v>
      </c>
      <c r="AF49" s="847">
        <f t="shared" si="39"/>
        <v>0</v>
      </c>
      <c r="AG49" s="847">
        <f t="shared" ref="AG49:AG80" si="65">AN48*AE$9/12</f>
        <v>0</v>
      </c>
      <c r="AH49" s="847">
        <f t="shared" si="60"/>
        <v>0</v>
      </c>
      <c r="AI49" s="847">
        <f t="shared" si="40"/>
        <v>0</v>
      </c>
      <c r="AJ49" s="847">
        <f t="shared" si="52"/>
        <v>0</v>
      </c>
      <c r="AK49" s="839">
        <f t="shared" si="23"/>
        <v>0</v>
      </c>
      <c r="AL49" s="839">
        <f t="shared" si="24"/>
        <v>0</v>
      </c>
      <c r="AM49" s="839">
        <f t="shared" si="25"/>
        <v>0</v>
      </c>
      <c r="AN49" s="847">
        <f t="shared" si="53"/>
        <v>0</v>
      </c>
      <c r="AO49" s="848">
        <f t="shared" si="41"/>
        <v>0</v>
      </c>
      <c r="AQ49" s="846">
        <f t="shared" si="42"/>
        <v>34</v>
      </c>
      <c r="AR49" s="847">
        <f t="shared" si="26"/>
        <v>0</v>
      </c>
      <c r="AS49" s="847">
        <f t="shared" si="4"/>
        <v>0</v>
      </c>
      <c r="AT49" s="847">
        <f t="shared" si="5"/>
        <v>0</v>
      </c>
      <c r="AU49" s="847">
        <f t="shared" si="6"/>
        <v>0</v>
      </c>
      <c r="AV49" s="847">
        <f t="shared" si="7"/>
        <v>0</v>
      </c>
      <c r="AW49" s="847">
        <f t="shared" si="8"/>
        <v>0</v>
      </c>
      <c r="AX49" s="847">
        <f t="shared" si="9"/>
        <v>0</v>
      </c>
      <c r="AY49" s="839">
        <f t="shared" si="10"/>
        <v>0</v>
      </c>
      <c r="AZ49" s="839">
        <f t="shared" si="11"/>
        <v>0</v>
      </c>
      <c r="BA49" s="839">
        <f t="shared" si="12"/>
        <v>0</v>
      </c>
      <c r="BB49" s="847">
        <f t="shared" si="13"/>
        <v>0</v>
      </c>
      <c r="BC49" s="848">
        <f t="shared" si="13"/>
        <v>0</v>
      </c>
      <c r="BE49" s="828">
        <f t="shared" si="2"/>
        <v>37</v>
      </c>
      <c r="BF49" s="852" t="str">
        <f>BF37</f>
        <v>GENER</v>
      </c>
      <c r="BG49" s="834">
        <f>$AU$52+$AU$126+$AU$200</f>
        <v>0</v>
      </c>
      <c r="BH49" s="834">
        <f t="shared" si="3"/>
        <v>0</v>
      </c>
      <c r="BI49" s="834">
        <f>$AW$52+$AW$126+$AW$200</f>
        <v>0</v>
      </c>
      <c r="BJ49" s="834">
        <f t="shared" si="3"/>
        <v>0</v>
      </c>
      <c r="BK49" s="834">
        <f>$AS$52+$AS$126+$AS$200</f>
        <v>0</v>
      </c>
      <c r="BL49" s="834">
        <f>$AY$52+$AY$126+$AY$200</f>
        <v>0</v>
      </c>
      <c r="BM49" s="834">
        <f>$AZ$52+$AZ$126+$AZ$200</f>
        <v>0</v>
      </c>
      <c r="BN49" s="834">
        <f t="shared" si="61"/>
        <v>0</v>
      </c>
      <c r="BO49" s="834">
        <f>$BC$52+$BC$126+$BC$200</f>
        <v>0</v>
      </c>
    </row>
    <row r="50" spans="1:67" x14ac:dyDescent="0.25">
      <c r="A50" s="846">
        <f t="shared" si="27"/>
        <v>35</v>
      </c>
      <c r="B50" s="847">
        <f t="shared" si="45"/>
        <v>0</v>
      </c>
      <c r="C50" s="847">
        <f t="shared" si="28"/>
        <v>0</v>
      </c>
      <c r="D50" s="847">
        <f t="shared" si="29"/>
        <v>0</v>
      </c>
      <c r="E50" s="847">
        <f t="shared" si="63"/>
        <v>0</v>
      </c>
      <c r="F50" s="847">
        <f t="shared" si="54"/>
        <v>0</v>
      </c>
      <c r="G50" s="847">
        <f t="shared" ref="G50:G81" si="66">IF(ABS(C$8-H49)&lt;1,0,G49*(1+C$9/12))</f>
        <v>0</v>
      </c>
      <c r="H50" s="847">
        <f t="shared" si="46"/>
        <v>0</v>
      </c>
      <c r="I50" s="839">
        <f t="shared" si="15"/>
        <v>0</v>
      </c>
      <c r="J50" s="839">
        <f t="shared" si="16"/>
        <v>0</v>
      </c>
      <c r="K50" s="839">
        <f t="shared" si="17"/>
        <v>0</v>
      </c>
      <c r="L50" s="847">
        <f t="shared" si="47"/>
        <v>0</v>
      </c>
      <c r="M50" s="848">
        <f t="shared" si="31"/>
        <v>0</v>
      </c>
      <c r="N50" s="841"/>
      <c r="O50" s="846">
        <f t="shared" si="32"/>
        <v>35</v>
      </c>
      <c r="P50" s="847">
        <f t="shared" si="48"/>
        <v>0</v>
      </c>
      <c r="Q50" s="847">
        <f t="shared" si="33"/>
        <v>0</v>
      </c>
      <c r="R50" s="847">
        <f t="shared" si="34"/>
        <v>0</v>
      </c>
      <c r="S50" s="847">
        <f t="shared" si="64"/>
        <v>0</v>
      </c>
      <c r="T50" s="847">
        <f t="shared" si="59"/>
        <v>0</v>
      </c>
      <c r="U50" s="847">
        <f t="shared" ref="U50:U81" si="67">IF(ABS(Q$8-V49)&lt;1,0,U49*(1+Q$9/12))</f>
        <v>0</v>
      </c>
      <c r="V50" s="847">
        <f t="shared" si="49"/>
        <v>0</v>
      </c>
      <c r="W50" s="839">
        <f t="shared" si="19"/>
        <v>0</v>
      </c>
      <c r="X50" s="839">
        <f t="shared" si="20"/>
        <v>0</v>
      </c>
      <c r="Y50" s="839">
        <f t="shared" si="21"/>
        <v>0</v>
      </c>
      <c r="Z50" s="847">
        <f t="shared" si="50"/>
        <v>0</v>
      </c>
      <c r="AA50" s="848">
        <f t="shared" si="36"/>
        <v>0</v>
      </c>
      <c r="AB50" s="841"/>
      <c r="AC50" s="846">
        <f t="shared" si="37"/>
        <v>35</v>
      </c>
      <c r="AD50" s="847">
        <f t="shared" si="51"/>
        <v>0</v>
      </c>
      <c r="AE50" s="847">
        <f t="shared" si="38"/>
        <v>0</v>
      </c>
      <c r="AF50" s="847">
        <f t="shared" si="39"/>
        <v>0</v>
      </c>
      <c r="AG50" s="847">
        <f t="shared" si="65"/>
        <v>0</v>
      </c>
      <c r="AH50" s="847">
        <f t="shared" si="60"/>
        <v>0</v>
      </c>
      <c r="AI50" s="847">
        <f t="shared" ref="AI50:AI81" si="68">IF(ABS(AE$8-AJ49)&lt;1,0,AI49*(1+AE$9/12))</f>
        <v>0</v>
      </c>
      <c r="AJ50" s="847">
        <f t="shared" si="52"/>
        <v>0</v>
      </c>
      <c r="AK50" s="839">
        <f t="shared" si="23"/>
        <v>0</v>
      </c>
      <c r="AL50" s="839">
        <f t="shared" si="24"/>
        <v>0</v>
      </c>
      <c r="AM50" s="839">
        <f t="shared" si="25"/>
        <v>0</v>
      </c>
      <c r="AN50" s="847">
        <f t="shared" si="53"/>
        <v>0</v>
      </c>
      <c r="AO50" s="848">
        <f t="shared" si="41"/>
        <v>0</v>
      </c>
      <c r="AQ50" s="846">
        <f t="shared" si="42"/>
        <v>35</v>
      </c>
      <c r="AR50" s="847">
        <f t="shared" si="26"/>
        <v>0</v>
      </c>
      <c r="AS50" s="847">
        <f t="shared" si="4"/>
        <v>0</v>
      </c>
      <c r="AT50" s="847">
        <f t="shared" si="5"/>
        <v>0</v>
      </c>
      <c r="AU50" s="847">
        <f t="shared" si="6"/>
        <v>0</v>
      </c>
      <c r="AV50" s="847">
        <f t="shared" si="7"/>
        <v>0</v>
      </c>
      <c r="AW50" s="847">
        <f t="shared" si="8"/>
        <v>0</v>
      </c>
      <c r="AX50" s="847">
        <f t="shared" si="9"/>
        <v>0</v>
      </c>
      <c r="AY50" s="839">
        <f t="shared" si="10"/>
        <v>0</v>
      </c>
      <c r="AZ50" s="839">
        <f t="shared" si="11"/>
        <v>0</v>
      </c>
      <c r="BA50" s="839">
        <f t="shared" si="12"/>
        <v>0</v>
      </c>
      <c r="BB50" s="847">
        <f t="shared" si="13"/>
        <v>0</v>
      </c>
      <c r="BC50" s="848">
        <f t="shared" si="13"/>
        <v>0</v>
      </c>
      <c r="BE50" s="828">
        <f t="shared" si="2"/>
        <v>38</v>
      </c>
      <c r="BF50" s="852" t="str">
        <f t="shared" ref="BF50:BF84" si="69">BF38</f>
        <v>FEBRER</v>
      </c>
      <c r="BG50" s="834">
        <f>$AU$53+$AU$127+$AU$201</f>
        <v>0</v>
      </c>
      <c r="BH50" s="834">
        <f t="shared" si="3"/>
        <v>0</v>
      </c>
      <c r="BI50" s="834">
        <f>$AW$53+$AW$127+$AW$201</f>
        <v>0</v>
      </c>
      <c r="BJ50" s="834">
        <f t="shared" si="3"/>
        <v>0</v>
      </c>
      <c r="BK50" s="834">
        <f>$AS$53+$AS$127+$AS$201</f>
        <v>0</v>
      </c>
      <c r="BL50" s="834">
        <f>$AY$53+$AY$127+$AY$201</f>
        <v>0</v>
      </c>
      <c r="BM50" s="834">
        <f>$AZ$53+$AZ$127+$AZ$201</f>
        <v>0</v>
      </c>
      <c r="BN50" s="834">
        <f t="shared" si="61"/>
        <v>0</v>
      </c>
      <c r="BO50" s="834">
        <f>$BC$53+$BC$127+$BC$201</f>
        <v>0</v>
      </c>
    </row>
    <row r="51" spans="1:67" x14ac:dyDescent="0.25">
      <c r="A51" s="846">
        <f t="shared" si="27"/>
        <v>36</v>
      </c>
      <c r="B51" s="847">
        <f t="shared" si="45"/>
        <v>0</v>
      </c>
      <c r="C51" s="847">
        <f t="shared" si="28"/>
        <v>0</v>
      </c>
      <c r="D51" s="847">
        <f t="shared" si="29"/>
        <v>0</v>
      </c>
      <c r="E51" s="847">
        <f t="shared" si="63"/>
        <v>0</v>
      </c>
      <c r="F51" s="847">
        <f t="shared" si="54"/>
        <v>0</v>
      </c>
      <c r="G51" s="847">
        <f t="shared" si="66"/>
        <v>0</v>
      </c>
      <c r="H51" s="847">
        <f t="shared" si="46"/>
        <v>0</v>
      </c>
      <c r="I51" s="839">
        <f t="shared" si="15"/>
        <v>0</v>
      </c>
      <c r="J51" s="839">
        <f t="shared" si="16"/>
        <v>0</v>
      </c>
      <c r="K51" s="839">
        <f t="shared" si="17"/>
        <v>0</v>
      </c>
      <c r="L51" s="847">
        <f t="shared" si="47"/>
        <v>0</v>
      </c>
      <c r="M51" s="848">
        <f t="shared" si="31"/>
        <v>0</v>
      </c>
      <c r="N51" s="841"/>
      <c r="O51" s="846">
        <f t="shared" si="32"/>
        <v>36</v>
      </c>
      <c r="P51" s="847">
        <f t="shared" si="48"/>
        <v>0</v>
      </c>
      <c r="Q51" s="847">
        <f t="shared" si="33"/>
        <v>0</v>
      </c>
      <c r="R51" s="847">
        <f t="shared" si="34"/>
        <v>0</v>
      </c>
      <c r="S51" s="847">
        <f t="shared" si="64"/>
        <v>0</v>
      </c>
      <c r="T51" s="847">
        <f t="shared" si="59"/>
        <v>0</v>
      </c>
      <c r="U51" s="847">
        <f t="shared" si="67"/>
        <v>0</v>
      </c>
      <c r="V51" s="847">
        <f t="shared" si="49"/>
        <v>0</v>
      </c>
      <c r="W51" s="839">
        <f t="shared" si="19"/>
        <v>0</v>
      </c>
      <c r="X51" s="839">
        <f t="shared" si="20"/>
        <v>0</v>
      </c>
      <c r="Y51" s="839">
        <f t="shared" si="21"/>
        <v>0</v>
      </c>
      <c r="Z51" s="847">
        <f t="shared" si="50"/>
        <v>0</v>
      </c>
      <c r="AA51" s="848">
        <f t="shared" si="36"/>
        <v>0</v>
      </c>
      <c r="AB51" s="841"/>
      <c r="AC51" s="846">
        <f t="shared" si="37"/>
        <v>36</v>
      </c>
      <c r="AD51" s="847">
        <f t="shared" si="51"/>
        <v>0</v>
      </c>
      <c r="AE51" s="847">
        <f t="shared" si="38"/>
        <v>0</v>
      </c>
      <c r="AF51" s="847">
        <f t="shared" si="39"/>
        <v>0</v>
      </c>
      <c r="AG51" s="847">
        <f t="shared" si="65"/>
        <v>0</v>
      </c>
      <c r="AH51" s="847">
        <f t="shared" si="60"/>
        <v>0</v>
      </c>
      <c r="AI51" s="847">
        <f t="shared" si="68"/>
        <v>0</v>
      </c>
      <c r="AJ51" s="847">
        <f t="shared" si="52"/>
        <v>0</v>
      </c>
      <c r="AK51" s="839">
        <f t="shared" si="23"/>
        <v>0</v>
      </c>
      <c r="AL51" s="839">
        <f t="shared" si="24"/>
        <v>0</v>
      </c>
      <c r="AM51" s="839">
        <f t="shared" si="25"/>
        <v>0</v>
      </c>
      <c r="AN51" s="847">
        <f t="shared" si="53"/>
        <v>0</v>
      </c>
      <c r="AO51" s="848">
        <f t="shared" si="41"/>
        <v>0</v>
      </c>
      <c r="AQ51" s="846">
        <f t="shared" si="42"/>
        <v>36</v>
      </c>
      <c r="AR51" s="847">
        <f t="shared" si="26"/>
        <v>0</v>
      </c>
      <c r="AS51" s="847">
        <f t="shared" si="4"/>
        <v>0</v>
      </c>
      <c r="AT51" s="847">
        <f t="shared" si="5"/>
        <v>0</v>
      </c>
      <c r="AU51" s="847">
        <f t="shared" si="6"/>
        <v>0</v>
      </c>
      <c r="AV51" s="847">
        <f t="shared" si="7"/>
        <v>0</v>
      </c>
      <c r="AW51" s="847">
        <f t="shared" si="8"/>
        <v>0</v>
      </c>
      <c r="AX51" s="847">
        <f t="shared" si="9"/>
        <v>0</v>
      </c>
      <c r="AY51" s="839">
        <f t="shared" si="10"/>
        <v>0</v>
      </c>
      <c r="AZ51" s="839">
        <f t="shared" si="11"/>
        <v>0</v>
      </c>
      <c r="BA51" s="839">
        <f t="shared" si="12"/>
        <v>0</v>
      </c>
      <c r="BB51" s="847">
        <f t="shared" si="13"/>
        <v>0</v>
      </c>
      <c r="BC51" s="848">
        <f t="shared" si="13"/>
        <v>0</v>
      </c>
      <c r="BE51" s="828">
        <f t="shared" si="2"/>
        <v>39</v>
      </c>
      <c r="BF51" s="852" t="str">
        <f t="shared" si="69"/>
        <v>MARÇ</v>
      </c>
      <c r="BG51" s="834">
        <f>$AU$54+$AU$128+$AU$202</f>
        <v>0</v>
      </c>
      <c r="BH51" s="834">
        <f t="shared" si="3"/>
        <v>0</v>
      </c>
      <c r="BI51" s="834">
        <f>$AW$54+$AW$128+$AW$202</f>
        <v>0</v>
      </c>
      <c r="BJ51" s="834">
        <f t="shared" si="3"/>
        <v>0</v>
      </c>
      <c r="BK51" s="834">
        <f>$AS$54+$AS$128+$AS$202</f>
        <v>0</v>
      </c>
      <c r="BL51" s="834">
        <f>$AY$54+$AY$128+$AY$202</f>
        <v>0</v>
      </c>
      <c r="BM51" s="834">
        <f>$AZ$54+$AZ$128+$AZ$202</f>
        <v>0</v>
      </c>
      <c r="BN51" s="834">
        <f t="shared" si="61"/>
        <v>0</v>
      </c>
      <c r="BO51" s="834">
        <f>$BC$54+$BC$128+$BC$202</f>
        <v>0</v>
      </c>
    </row>
    <row r="52" spans="1:67" x14ac:dyDescent="0.25">
      <c r="A52" s="846">
        <f t="shared" si="27"/>
        <v>37</v>
      </c>
      <c r="B52" s="847">
        <f t="shared" si="45"/>
        <v>0</v>
      </c>
      <c r="C52" s="847">
        <f>IF(B52=0,0,C51)</f>
        <v>0</v>
      </c>
      <c r="D52" s="847">
        <f>IF(C52=0,0,C52+D51)</f>
        <v>0</v>
      </c>
      <c r="E52" s="847">
        <f t="shared" si="63"/>
        <v>0</v>
      </c>
      <c r="F52" s="847">
        <f t="shared" si="54"/>
        <v>0</v>
      </c>
      <c r="G52" s="847">
        <f t="shared" si="66"/>
        <v>0</v>
      </c>
      <c r="H52" s="847">
        <f>IF(B52=0,0,G52+H51)</f>
        <v>0</v>
      </c>
      <c r="I52" s="839">
        <f t="shared" si="15"/>
        <v>0</v>
      </c>
      <c r="J52" s="839">
        <f t="shared" si="16"/>
        <v>0</v>
      </c>
      <c r="K52" s="839">
        <f t="shared" si="17"/>
        <v>0</v>
      </c>
      <c r="L52" s="847">
        <f t="shared" si="47"/>
        <v>0</v>
      </c>
      <c r="M52" s="848">
        <f t="shared" si="31"/>
        <v>0</v>
      </c>
      <c r="N52" s="841"/>
      <c r="O52" s="846">
        <f t="shared" si="32"/>
        <v>37</v>
      </c>
      <c r="P52" s="847">
        <f t="shared" si="48"/>
        <v>0</v>
      </c>
      <c r="Q52" s="847">
        <f>IF(P52=0,0,Q51)</f>
        <v>0</v>
      </c>
      <c r="R52" s="847">
        <f>IF(Q52=0,0,Q52+R51)</f>
        <v>0</v>
      </c>
      <c r="S52" s="847">
        <f t="shared" si="64"/>
        <v>0</v>
      </c>
      <c r="T52" s="847">
        <f t="shared" si="59"/>
        <v>0</v>
      </c>
      <c r="U52" s="847">
        <f t="shared" si="67"/>
        <v>0</v>
      </c>
      <c r="V52" s="847">
        <f>IF(P52=0,0,U52+V51)</f>
        <v>0</v>
      </c>
      <c r="W52" s="839">
        <f t="shared" si="19"/>
        <v>0</v>
      </c>
      <c r="X52" s="839">
        <f t="shared" si="20"/>
        <v>0</v>
      </c>
      <c r="Y52" s="839">
        <f t="shared" si="21"/>
        <v>0</v>
      </c>
      <c r="Z52" s="847">
        <f t="shared" si="50"/>
        <v>0</v>
      </c>
      <c r="AA52" s="848">
        <f t="shared" si="36"/>
        <v>0</v>
      </c>
      <c r="AB52" s="841"/>
      <c r="AC52" s="846">
        <f t="shared" si="37"/>
        <v>37</v>
      </c>
      <c r="AD52" s="847">
        <f t="shared" si="51"/>
        <v>0</v>
      </c>
      <c r="AE52" s="847">
        <f>IF(AD52=0,0,AE51)</f>
        <v>0</v>
      </c>
      <c r="AF52" s="847">
        <f>IF(AE52=0,0,AE52+AF51)</f>
        <v>0</v>
      </c>
      <c r="AG52" s="847">
        <f t="shared" si="65"/>
        <v>0</v>
      </c>
      <c r="AH52" s="847">
        <f t="shared" si="60"/>
        <v>0</v>
      </c>
      <c r="AI52" s="847">
        <f t="shared" si="68"/>
        <v>0</v>
      </c>
      <c r="AJ52" s="847">
        <f>IF(AD52=0,0,AI52+AJ51)</f>
        <v>0</v>
      </c>
      <c r="AK52" s="839">
        <f t="shared" si="23"/>
        <v>0</v>
      </c>
      <c r="AL52" s="839">
        <f t="shared" si="24"/>
        <v>0</v>
      </c>
      <c r="AM52" s="839">
        <f t="shared" si="25"/>
        <v>0</v>
      </c>
      <c r="AN52" s="847">
        <f t="shared" si="53"/>
        <v>0</v>
      </c>
      <c r="AO52" s="848">
        <f t="shared" si="41"/>
        <v>0</v>
      </c>
      <c r="AQ52" s="846">
        <f t="shared" si="42"/>
        <v>37</v>
      </c>
      <c r="AR52" s="847">
        <f t="shared" si="26"/>
        <v>0</v>
      </c>
      <c r="AS52" s="847">
        <f t="shared" si="4"/>
        <v>0</v>
      </c>
      <c r="AT52" s="847">
        <f t="shared" si="5"/>
        <v>0</v>
      </c>
      <c r="AU52" s="847">
        <f t="shared" si="6"/>
        <v>0</v>
      </c>
      <c r="AV52" s="847">
        <f t="shared" si="7"/>
        <v>0</v>
      </c>
      <c r="AW52" s="847">
        <f t="shared" si="8"/>
        <v>0</v>
      </c>
      <c r="AX52" s="847">
        <f t="shared" si="9"/>
        <v>0</v>
      </c>
      <c r="AY52" s="839">
        <f t="shared" si="10"/>
        <v>0</v>
      </c>
      <c r="AZ52" s="839">
        <f t="shared" si="11"/>
        <v>0</v>
      </c>
      <c r="BA52" s="839">
        <f t="shared" si="12"/>
        <v>0</v>
      </c>
      <c r="BB52" s="847">
        <f t="shared" si="13"/>
        <v>0</v>
      </c>
      <c r="BC52" s="848">
        <f t="shared" si="13"/>
        <v>0</v>
      </c>
      <c r="BE52" s="828">
        <f t="shared" si="2"/>
        <v>40</v>
      </c>
      <c r="BF52" s="852" t="str">
        <f t="shared" si="69"/>
        <v>ABRIL</v>
      </c>
      <c r="BG52" s="834">
        <f>$AU$55+$AU$129+$AU$203</f>
        <v>0</v>
      </c>
      <c r="BH52" s="834">
        <f t="shared" si="3"/>
        <v>0</v>
      </c>
      <c r="BI52" s="834">
        <f>$AW$55+$AW$129+$AW$203</f>
        <v>0</v>
      </c>
      <c r="BJ52" s="834">
        <f t="shared" si="3"/>
        <v>0</v>
      </c>
      <c r="BK52" s="834">
        <f>$AS$55+$AS$129+$AS$203</f>
        <v>0</v>
      </c>
      <c r="BL52" s="834">
        <f>$AY$55+$AY$129+$AY$203</f>
        <v>0</v>
      </c>
      <c r="BM52" s="834">
        <f>$AZ$55+$AZ$129+$AZ$203</f>
        <v>0</v>
      </c>
      <c r="BN52" s="834">
        <f t="shared" si="61"/>
        <v>0</v>
      </c>
      <c r="BO52" s="834">
        <f>$BC$55+$BC$129+$BC$203</f>
        <v>0</v>
      </c>
    </row>
    <row r="53" spans="1:67" x14ac:dyDescent="0.25">
      <c r="A53" s="846">
        <f t="shared" si="27"/>
        <v>38</v>
      </c>
      <c r="B53" s="847">
        <f t="shared" ref="B53:B87" si="70">IF(E53&lt;0.05,0,B52+G53+E53)</f>
        <v>0</v>
      </c>
      <c r="C53" s="847">
        <f t="shared" ref="C53:C87" si="71">IF(AND(B53=0,G53=0),0,C52)</f>
        <v>0</v>
      </c>
      <c r="D53" s="847">
        <f t="shared" ref="D53:D87" si="72">IF(C53=0,0,C53+D52)</f>
        <v>0</v>
      </c>
      <c r="E53" s="847">
        <f t="shared" si="63"/>
        <v>0</v>
      </c>
      <c r="F53" s="847">
        <f t="shared" si="54"/>
        <v>0</v>
      </c>
      <c r="G53" s="847">
        <f t="shared" si="66"/>
        <v>0</v>
      </c>
      <c r="H53" s="847">
        <f t="shared" ref="H53:H87" si="73">IF(B53=0,0,G53+H52)</f>
        <v>0</v>
      </c>
      <c r="I53" s="839">
        <f t="shared" si="15"/>
        <v>0</v>
      </c>
      <c r="J53" s="839">
        <f t="shared" si="16"/>
        <v>0</v>
      </c>
      <c r="K53" s="839">
        <f t="shared" si="17"/>
        <v>0</v>
      </c>
      <c r="L53" s="847">
        <f t="shared" si="47"/>
        <v>0</v>
      </c>
      <c r="M53" s="848">
        <f t="shared" si="31"/>
        <v>0</v>
      </c>
      <c r="N53" s="841"/>
      <c r="O53" s="846">
        <f t="shared" si="32"/>
        <v>38</v>
      </c>
      <c r="P53" s="847">
        <f t="shared" si="48"/>
        <v>0</v>
      </c>
      <c r="Q53" s="847">
        <f t="shared" ref="Q53:Q87" si="74">IF(AND(P53=0,U53=0),0,Q52)</f>
        <v>0</v>
      </c>
      <c r="R53" s="847">
        <f t="shared" ref="R53:R87" si="75">IF(Q53=0,0,Q53+R52)</f>
        <v>0</v>
      </c>
      <c r="S53" s="847">
        <f t="shared" si="64"/>
        <v>0</v>
      </c>
      <c r="T53" s="847">
        <f t="shared" si="59"/>
        <v>0</v>
      </c>
      <c r="U53" s="847">
        <f t="shared" si="67"/>
        <v>0</v>
      </c>
      <c r="V53" s="847">
        <f t="shared" ref="V53:V87" si="76">IF(P53=0,0,U53+V52)</f>
        <v>0</v>
      </c>
      <c r="W53" s="839">
        <f t="shared" si="19"/>
        <v>0</v>
      </c>
      <c r="X53" s="839">
        <f t="shared" si="20"/>
        <v>0</v>
      </c>
      <c r="Y53" s="839">
        <f t="shared" si="21"/>
        <v>0</v>
      </c>
      <c r="Z53" s="847">
        <f t="shared" si="50"/>
        <v>0</v>
      </c>
      <c r="AA53" s="848">
        <f t="shared" si="36"/>
        <v>0</v>
      </c>
      <c r="AB53" s="841"/>
      <c r="AC53" s="846">
        <f t="shared" si="37"/>
        <v>38</v>
      </c>
      <c r="AD53" s="847">
        <f t="shared" si="51"/>
        <v>0</v>
      </c>
      <c r="AE53" s="847">
        <f t="shared" ref="AE53:AE87" si="77">IF(AND(AD53=0,AI53=0),0,AE52)</f>
        <v>0</v>
      </c>
      <c r="AF53" s="847">
        <f t="shared" ref="AF53:AF87" si="78">IF(AE53=0,0,AE53+AF52)</f>
        <v>0</v>
      </c>
      <c r="AG53" s="847">
        <f t="shared" si="65"/>
        <v>0</v>
      </c>
      <c r="AH53" s="847">
        <f t="shared" si="60"/>
        <v>0</v>
      </c>
      <c r="AI53" s="847">
        <f t="shared" si="68"/>
        <v>0</v>
      </c>
      <c r="AJ53" s="847">
        <f t="shared" ref="AJ53:AJ87" si="79">IF(AD53=0,0,AI53+AJ52)</f>
        <v>0</v>
      </c>
      <c r="AK53" s="839">
        <f t="shared" si="23"/>
        <v>0</v>
      </c>
      <c r="AL53" s="839">
        <f t="shared" si="24"/>
        <v>0</v>
      </c>
      <c r="AM53" s="839">
        <f t="shared" si="25"/>
        <v>0</v>
      </c>
      <c r="AN53" s="847">
        <f t="shared" si="53"/>
        <v>0</v>
      </c>
      <c r="AO53" s="848">
        <f t="shared" si="41"/>
        <v>0</v>
      </c>
      <c r="AQ53" s="846">
        <f t="shared" si="42"/>
        <v>38</v>
      </c>
      <c r="AR53" s="847">
        <f t="shared" si="26"/>
        <v>0</v>
      </c>
      <c r="AS53" s="847">
        <f t="shared" si="4"/>
        <v>0</v>
      </c>
      <c r="AT53" s="847">
        <f t="shared" si="5"/>
        <v>0</v>
      </c>
      <c r="AU53" s="847">
        <f t="shared" si="6"/>
        <v>0</v>
      </c>
      <c r="AV53" s="847">
        <f t="shared" si="7"/>
        <v>0</v>
      </c>
      <c r="AW53" s="847">
        <f t="shared" si="8"/>
        <v>0</v>
      </c>
      <c r="AX53" s="847">
        <f t="shared" si="9"/>
        <v>0</v>
      </c>
      <c r="AY53" s="839">
        <f t="shared" si="10"/>
        <v>0</v>
      </c>
      <c r="AZ53" s="839">
        <f t="shared" si="11"/>
        <v>0</v>
      </c>
      <c r="BA53" s="839">
        <f t="shared" si="12"/>
        <v>0</v>
      </c>
      <c r="BB53" s="847">
        <f t="shared" si="13"/>
        <v>0</v>
      </c>
      <c r="BC53" s="848">
        <f t="shared" si="13"/>
        <v>0</v>
      </c>
      <c r="BE53" s="828">
        <f t="shared" si="2"/>
        <v>41</v>
      </c>
      <c r="BF53" s="852" t="str">
        <f t="shared" si="69"/>
        <v>MAIG</v>
      </c>
      <c r="BG53" s="834">
        <f>$AU$56+$AU$130+$AU$204</f>
        <v>0</v>
      </c>
      <c r="BH53" s="834">
        <f t="shared" si="3"/>
        <v>0</v>
      </c>
      <c r="BI53" s="834">
        <f>$AW$56+$AW$130+$AW$204</f>
        <v>0</v>
      </c>
      <c r="BJ53" s="834">
        <f t="shared" si="3"/>
        <v>0</v>
      </c>
      <c r="BK53" s="834">
        <f>$AS$56+$AS$130+$AS$204</f>
        <v>0</v>
      </c>
      <c r="BL53" s="834">
        <f>$AY$56+$AY$130+$AY$204</f>
        <v>0</v>
      </c>
      <c r="BM53" s="834">
        <f>$AZ$56+$AZ$130+$AZ$204</f>
        <v>0</v>
      </c>
      <c r="BN53" s="834">
        <f t="shared" si="61"/>
        <v>0</v>
      </c>
      <c r="BO53" s="834">
        <f>$BC$56+$BC$130+$BC$204</f>
        <v>0</v>
      </c>
    </row>
    <row r="54" spans="1:67" x14ac:dyDescent="0.25">
      <c r="A54" s="846">
        <f t="shared" si="27"/>
        <v>39</v>
      </c>
      <c r="B54" s="847">
        <f t="shared" si="70"/>
        <v>0</v>
      </c>
      <c r="C54" s="847">
        <f t="shared" si="71"/>
        <v>0</v>
      </c>
      <c r="D54" s="847">
        <f t="shared" si="72"/>
        <v>0</v>
      </c>
      <c r="E54" s="847">
        <f t="shared" si="63"/>
        <v>0</v>
      </c>
      <c r="F54" s="847">
        <f t="shared" si="54"/>
        <v>0</v>
      </c>
      <c r="G54" s="847">
        <f t="shared" si="66"/>
        <v>0</v>
      </c>
      <c r="H54" s="847">
        <f t="shared" si="73"/>
        <v>0</v>
      </c>
      <c r="I54" s="839">
        <f t="shared" si="15"/>
        <v>0</v>
      </c>
      <c r="J54" s="839">
        <f t="shared" si="16"/>
        <v>0</v>
      </c>
      <c r="K54" s="839">
        <f t="shared" si="17"/>
        <v>0</v>
      </c>
      <c r="L54" s="847">
        <f t="shared" si="47"/>
        <v>0</v>
      </c>
      <c r="M54" s="848">
        <f t="shared" si="31"/>
        <v>0</v>
      </c>
      <c r="N54" s="841"/>
      <c r="O54" s="846">
        <f t="shared" si="32"/>
        <v>39</v>
      </c>
      <c r="P54" s="847">
        <f t="shared" si="48"/>
        <v>0</v>
      </c>
      <c r="Q54" s="847">
        <f t="shared" si="74"/>
        <v>0</v>
      </c>
      <c r="R54" s="847">
        <f t="shared" si="75"/>
        <v>0</v>
      </c>
      <c r="S54" s="847">
        <f t="shared" si="64"/>
        <v>0</v>
      </c>
      <c r="T54" s="847">
        <f t="shared" si="59"/>
        <v>0</v>
      </c>
      <c r="U54" s="847">
        <f t="shared" si="67"/>
        <v>0</v>
      </c>
      <c r="V54" s="847">
        <f t="shared" si="76"/>
        <v>0</v>
      </c>
      <c r="W54" s="839">
        <f t="shared" si="19"/>
        <v>0</v>
      </c>
      <c r="X54" s="839">
        <f t="shared" si="20"/>
        <v>0</v>
      </c>
      <c r="Y54" s="839">
        <f t="shared" si="21"/>
        <v>0</v>
      </c>
      <c r="Z54" s="847">
        <f t="shared" si="50"/>
        <v>0</v>
      </c>
      <c r="AA54" s="848">
        <f t="shared" si="36"/>
        <v>0</v>
      </c>
      <c r="AB54" s="841"/>
      <c r="AC54" s="846">
        <f t="shared" si="37"/>
        <v>39</v>
      </c>
      <c r="AD54" s="847">
        <f t="shared" si="51"/>
        <v>0</v>
      </c>
      <c r="AE54" s="847">
        <f t="shared" si="77"/>
        <v>0</v>
      </c>
      <c r="AF54" s="847">
        <f t="shared" si="78"/>
        <v>0</v>
      </c>
      <c r="AG54" s="847">
        <f t="shared" si="65"/>
        <v>0</v>
      </c>
      <c r="AH54" s="847">
        <f t="shared" si="60"/>
        <v>0</v>
      </c>
      <c r="AI54" s="847">
        <f t="shared" si="68"/>
        <v>0</v>
      </c>
      <c r="AJ54" s="847">
        <f t="shared" si="79"/>
        <v>0</v>
      </c>
      <c r="AK54" s="839">
        <f t="shared" si="23"/>
        <v>0</v>
      </c>
      <c r="AL54" s="839">
        <f t="shared" si="24"/>
        <v>0</v>
      </c>
      <c r="AM54" s="839">
        <f t="shared" si="25"/>
        <v>0</v>
      </c>
      <c r="AN54" s="847">
        <f t="shared" si="53"/>
        <v>0</v>
      </c>
      <c r="AO54" s="848">
        <f t="shared" si="41"/>
        <v>0</v>
      </c>
      <c r="AQ54" s="846">
        <f t="shared" si="42"/>
        <v>39</v>
      </c>
      <c r="AR54" s="847">
        <f t="shared" si="26"/>
        <v>0</v>
      </c>
      <c r="AS54" s="847">
        <f t="shared" si="4"/>
        <v>0</v>
      </c>
      <c r="AT54" s="847">
        <f t="shared" si="5"/>
        <v>0</v>
      </c>
      <c r="AU54" s="847">
        <f t="shared" si="6"/>
        <v>0</v>
      </c>
      <c r="AV54" s="847">
        <f t="shared" si="7"/>
        <v>0</v>
      </c>
      <c r="AW54" s="847">
        <f t="shared" si="8"/>
        <v>0</v>
      </c>
      <c r="AX54" s="847">
        <f t="shared" si="9"/>
        <v>0</v>
      </c>
      <c r="AY54" s="839">
        <f t="shared" si="10"/>
        <v>0</v>
      </c>
      <c r="AZ54" s="839">
        <f t="shared" si="11"/>
        <v>0</v>
      </c>
      <c r="BA54" s="839">
        <f t="shared" si="12"/>
        <v>0</v>
      </c>
      <c r="BB54" s="847">
        <f t="shared" si="13"/>
        <v>0</v>
      </c>
      <c r="BC54" s="848">
        <f t="shared" si="13"/>
        <v>0</v>
      </c>
      <c r="BE54" s="828">
        <f t="shared" si="2"/>
        <v>42</v>
      </c>
      <c r="BF54" s="852" t="str">
        <f t="shared" si="69"/>
        <v>JUNY</v>
      </c>
      <c r="BG54" s="834">
        <f>$AU$57+$AU$131+$AU$205</f>
        <v>0</v>
      </c>
      <c r="BH54" s="834">
        <f t="shared" si="3"/>
        <v>0</v>
      </c>
      <c r="BI54" s="834">
        <f>$AW$57+$AW$131+$AW$205</f>
        <v>0</v>
      </c>
      <c r="BJ54" s="834">
        <f t="shared" si="3"/>
        <v>0</v>
      </c>
      <c r="BK54" s="834">
        <f>$AS$57+$AS$131+$AS$205</f>
        <v>0</v>
      </c>
      <c r="BL54" s="834">
        <f>$AY$57+$AY$131+$AY$205</f>
        <v>0</v>
      </c>
      <c r="BM54" s="834">
        <f>$AZ$57+$AZ$131+$AZ$205</f>
        <v>0</v>
      </c>
      <c r="BN54" s="834">
        <f t="shared" si="61"/>
        <v>0</v>
      </c>
      <c r="BO54" s="834">
        <f>$BC$57+$BC$131+$BC$205</f>
        <v>0</v>
      </c>
    </row>
    <row r="55" spans="1:67" x14ac:dyDescent="0.25">
      <c r="A55" s="846">
        <f t="shared" si="27"/>
        <v>40</v>
      </c>
      <c r="B55" s="847">
        <f t="shared" si="70"/>
        <v>0</v>
      </c>
      <c r="C55" s="847">
        <f t="shared" si="71"/>
        <v>0</v>
      </c>
      <c r="D55" s="847">
        <f t="shared" si="72"/>
        <v>0</v>
      </c>
      <c r="E55" s="847">
        <f t="shared" si="63"/>
        <v>0</v>
      </c>
      <c r="F55" s="847">
        <f t="shared" si="54"/>
        <v>0</v>
      </c>
      <c r="G55" s="847">
        <f t="shared" si="66"/>
        <v>0</v>
      </c>
      <c r="H55" s="847">
        <f t="shared" si="73"/>
        <v>0</v>
      </c>
      <c r="I55" s="839">
        <f t="shared" si="15"/>
        <v>0</v>
      </c>
      <c r="J55" s="839">
        <f t="shared" si="16"/>
        <v>0</v>
      </c>
      <c r="K55" s="839">
        <f t="shared" si="17"/>
        <v>0</v>
      </c>
      <c r="L55" s="847">
        <f t="shared" si="47"/>
        <v>0</v>
      </c>
      <c r="M55" s="848">
        <f t="shared" si="31"/>
        <v>0</v>
      </c>
      <c r="N55" s="841"/>
      <c r="O55" s="846">
        <f t="shared" si="32"/>
        <v>40</v>
      </c>
      <c r="P55" s="847">
        <f t="shared" si="48"/>
        <v>0</v>
      </c>
      <c r="Q55" s="847">
        <f t="shared" si="74"/>
        <v>0</v>
      </c>
      <c r="R55" s="847">
        <f t="shared" si="75"/>
        <v>0</v>
      </c>
      <c r="S55" s="847">
        <f t="shared" si="64"/>
        <v>0</v>
      </c>
      <c r="T55" s="847">
        <f t="shared" si="59"/>
        <v>0</v>
      </c>
      <c r="U55" s="847">
        <f t="shared" si="67"/>
        <v>0</v>
      </c>
      <c r="V55" s="847">
        <f t="shared" si="76"/>
        <v>0</v>
      </c>
      <c r="W55" s="839">
        <f t="shared" si="19"/>
        <v>0</v>
      </c>
      <c r="X55" s="839">
        <f t="shared" si="20"/>
        <v>0</v>
      </c>
      <c r="Y55" s="839">
        <f t="shared" si="21"/>
        <v>0</v>
      </c>
      <c r="Z55" s="847">
        <f t="shared" si="50"/>
        <v>0</v>
      </c>
      <c r="AA55" s="848">
        <f t="shared" si="36"/>
        <v>0</v>
      </c>
      <c r="AB55" s="841"/>
      <c r="AC55" s="846">
        <f t="shared" si="37"/>
        <v>40</v>
      </c>
      <c r="AD55" s="847">
        <f t="shared" si="51"/>
        <v>0</v>
      </c>
      <c r="AE55" s="847">
        <f t="shared" si="77"/>
        <v>0</v>
      </c>
      <c r="AF55" s="847">
        <f t="shared" si="78"/>
        <v>0</v>
      </c>
      <c r="AG55" s="847">
        <f t="shared" si="65"/>
        <v>0</v>
      </c>
      <c r="AH55" s="847">
        <f t="shared" si="60"/>
        <v>0</v>
      </c>
      <c r="AI55" s="847">
        <f t="shared" si="68"/>
        <v>0</v>
      </c>
      <c r="AJ55" s="847">
        <f t="shared" si="79"/>
        <v>0</v>
      </c>
      <c r="AK55" s="839">
        <f t="shared" si="23"/>
        <v>0</v>
      </c>
      <c r="AL55" s="839">
        <f t="shared" si="24"/>
        <v>0</v>
      </c>
      <c r="AM55" s="839">
        <f t="shared" si="25"/>
        <v>0</v>
      </c>
      <c r="AN55" s="847">
        <f t="shared" si="53"/>
        <v>0</v>
      </c>
      <c r="AO55" s="848">
        <f t="shared" si="41"/>
        <v>0</v>
      </c>
      <c r="AQ55" s="846">
        <f t="shared" si="42"/>
        <v>40</v>
      </c>
      <c r="AR55" s="847">
        <f t="shared" si="26"/>
        <v>0</v>
      </c>
      <c r="AS55" s="847">
        <f t="shared" si="4"/>
        <v>0</v>
      </c>
      <c r="AT55" s="847">
        <f t="shared" si="5"/>
        <v>0</v>
      </c>
      <c r="AU55" s="847">
        <f t="shared" si="6"/>
        <v>0</v>
      </c>
      <c r="AV55" s="847">
        <f t="shared" si="7"/>
        <v>0</v>
      </c>
      <c r="AW55" s="847">
        <f t="shared" si="8"/>
        <v>0</v>
      </c>
      <c r="AX55" s="847">
        <f t="shared" si="9"/>
        <v>0</v>
      </c>
      <c r="AY55" s="839">
        <f t="shared" si="10"/>
        <v>0</v>
      </c>
      <c r="AZ55" s="839">
        <f t="shared" si="11"/>
        <v>0</v>
      </c>
      <c r="BA55" s="839">
        <f t="shared" si="12"/>
        <v>0</v>
      </c>
      <c r="BB55" s="847">
        <f t="shared" si="13"/>
        <v>0</v>
      </c>
      <c r="BC55" s="848">
        <f t="shared" si="13"/>
        <v>0</v>
      </c>
      <c r="BE55" s="828">
        <f t="shared" si="2"/>
        <v>43</v>
      </c>
      <c r="BF55" s="852" t="str">
        <f t="shared" si="69"/>
        <v>JULIOL</v>
      </c>
      <c r="BG55" s="834">
        <f>$AU$58+$AU$132+$AU$206</f>
        <v>0</v>
      </c>
      <c r="BH55" s="834">
        <f t="shared" si="3"/>
        <v>0</v>
      </c>
      <c r="BI55" s="834">
        <f>$AW$58+$AW$132+$AW$206</f>
        <v>0</v>
      </c>
      <c r="BJ55" s="834">
        <f t="shared" si="3"/>
        <v>0</v>
      </c>
      <c r="BK55" s="834">
        <f>$AS$58+$AS$132+$AS$206</f>
        <v>0</v>
      </c>
      <c r="BL55" s="834">
        <f>$AY$58+$AY$132+$AY$206</f>
        <v>0</v>
      </c>
      <c r="BM55" s="834">
        <f>$AZ$58+$AZ$132+$AZ$206</f>
        <v>0</v>
      </c>
      <c r="BN55" s="834">
        <f t="shared" si="61"/>
        <v>0</v>
      </c>
      <c r="BO55" s="834">
        <f>$BC$58+$BC$132+$BC$206</f>
        <v>0</v>
      </c>
    </row>
    <row r="56" spans="1:67" x14ac:dyDescent="0.25">
      <c r="A56" s="846">
        <f t="shared" si="27"/>
        <v>41</v>
      </c>
      <c r="B56" s="847">
        <f t="shared" si="70"/>
        <v>0</v>
      </c>
      <c r="C56" s="847">
        <f t="shared" si="71"/>
        <v>0</v>
      </c>
      <c r="D56" s="847">
        <f t="shared" si="72"/>
        <v>0</v>
      </c>
      <c r="E56" s="847">
        <f t="shared" si="63"/>
        <v>0</v>
      </c>
      <c r="F56" s="847">
        <f t="shared" si="54"/>
        <v>0</v>
      </c>
      <c r="G56" s="847">
        <f t="shared" si="66"/>
        <v>0</v>
      </c>
      <c r="H56" s="847">
        <f t="shared" si="73"/>
        <v>0</v>
      </c>
      <c r="I56" s="839">
        <f t="shared" si="15"/>
        <v>0</v>
      </c>
      <c r="J56" s="839">
        <f t="shared" si="16"/>
        <v>0</v>
      </c>
      <c r="K56" s="839">
        <f t="shared" si="17"/>
        <v>0</v>
      </c>
      <c r="L56" s="847">
        <f t="shared" si="47"/>
        <v>0</v>
      </c>
      <c r="M56" s="848">
        <f t="shared" si="31"/>
        <v>0</v>
      </c>
      <c r="N56" s="841"/>
      <c r="O56" s="846">
        <f t="shared" si="32"/>
        <v>41</v>
      </c>
      <c r="P56" s="847">
        <f t="shared" si="48"/>
        <v>0</v>
      </c>
      <c r="Q56" s="847">
        <f t="shared" si="74"/>
        <v>0</v>
      </c>
      <c r="R56" s="847">
        <f t="shared" si="75"/>
        <v>0</v>
      </c>
      <c r="S56" s="847">
        <f t="shared" si="64"/>
        <v>0</v>
      </c>
      <c r="T56" s="847">
        <f t="shared" si="59"/>
        <v>0</v>
      </c>
      <c r="U56" s="847">
        <f t="shared" si="67"/>
        <v>0</v>
      </c>
      <c r="V56" s="847">
        <f t="shared" si="76"/>
        <v>0</v>
      </c>
      <c r="W56" s="839">
        <f t="shared" si="19"/>
        <v>0</v>
      </c>
      <c r="X56" s="839">
        <f t="shared" si="20"/>
        <v>0</v>
      </c>
      <c r="Y56" s="839">
        <f t="shared" si="21"/>
        <v>0</v>
      </c>
      <c r="Z56" s="847">
        <f t="shared" si="50"/>
        <v>0</v>
      </c>
      <c r="AA56" s="848">
        <f t="shared" si="36"/>
        <v>0</v>
      </c>
      <c r="AB56" s="841"/>
      <c r="AC56" s="846">
        <f t="shared" si="37"/>
        <v>41</v>
      </c>
      <c r="AD56" s="847">
        <f t="shared" si="51"/>
        <v>0</v>
      </c>
      <c r="AE56" s="847">
        <f t="shared" si="77"/>
        <v>0</v>
      </c>
      <c r="AF56" s="847">
        <f t="shared" si="78"/>
        <v>0</v>
      </c>
      <c r="AG56" s="847">
        <f t="shared" si="65"/>
        <v>0</v>
      </c>
      <c r="AH56" s="847">
        <f t="shared" si="60"/>
        <v>0</v>
      </c>
      <c r="AI56" s="847">
        <f t="shared" si="68"/>
        <v>0</v>
      </c>
      <c r="AJ56" s="847">
        <f t="shared" si="79"/>
        <v>0</v>
      </c>
      <c r="AK56" s="839">
        <f t="shared" si="23"/>
        <v>0</v>
      </c>
      <c r="AL56" s="839">
        <f t="shared" si="24"/>
        <v>0</v>
      </c>
      <c r="AM56" s="839">
        <f t="shared" si="25"/>
        <v>0</v>
      </c>
      <c r="AN56" s="847">
        <f t="shared" si="53"/>
        <v>0</v>
      </c>
      <c r="AO56" s="848">
        <f t="shared" si="41"/>
        <v>0</v>
      </c>
      <c r="AQ56" s="846">
        <f t="shared" si="42"/>
        <v>41</v>
      </c>
      <c r="AR56" s="847">
        <f t="shared" si="26"/>
        <v>0</v>
      </c>
      <c r="AS56" s="847">
        <f t="shared" si="4"/>
        <v>0</v>
      </c>
      <c r="AT56" s="847">
        <f t="shared" si="5"/>
        <v>0</v>
      </c>
      <c r="AU56" s="847">
        <f t="shared" si="6"/>
        <v>0</v>
      </c>
      <c r="AV56" s="847">
        <f t="shared" si="7"/>
        <v>0</v>
      </c>
      <c r="AW56" s="847">
        <f t="shared" si="8"/>
        <v>0</v>
      </c>
      <c r="AX56" s="847">
        <f t="shared" si="9"/>
        <v>0</v>
      </c>
      <c r="AY56" s="839">
        <f t="shared" si="10"/>
        <v>0</v>
      </c>
      <c r="AZ56" s="839">
        <f t="shared" si="11"/>
        <v>0</v>
      </c>
      <c r="BA56" s="839">
        <f t="shared" si="12"/>
        <v>0</v>
      </c>
      <c r="BB56" s="847">
        <f t="shared" si="13"/>
        <v>0</v>
      </c>
      <c r="BC56" s="848">
        <f t="shared" si="13"/>
        <v>0</v>
      </c>
      <c r="BE56" s="828">
        <f t="shared" si="2"/>
        <v>44</v>
      </c>
      <c r="BF56" s="852" t="str">
        <f t="shared" si="69"/>
        <v>AGOST</v>
      </c>
      <c r="BG56" s="834">
        <f>$AU$59+$AU$133+$AU$207</f>
        <v>0</v>
      </c>
      <c r="BH56" s="834">
        <f t="shared" si="3"/>
        <v>0</v>
      </c>
      <c r="BI56" s="834">
        <f>$AW$59+$AW$133+$AW$207</f>
        <v>0</v>
      </c>
      <c r="BJ56" s="834">
        <f t="shared" si="3"/>
        <v>0</v>
      </c>
      <c r="BK56" s="834">
        <f>$AS$59+$AS$133+$AS$207</f>
        <v>0</v>
      </c>
      <c r="BL56" s="834">
        <f>$AY$59+$AY$133+$AY$207</f>
        <v>0</v>
      </c>
      <c r="BM56" s="834">
        <f>$AZ$59+$AZ$133+$AZ$207</f>
        <v>0</v>
      </c>
      <c r="BN56" s="834">
        <f t="shared" si="61"/>
        <v>0</v>
      </c>
      <c r="BO56" s="834">
        <f>$BC$59+$BC$133+$BC$207</f>
        <v>0</v>
      </c>
    </row>
    <row r="57" spans="1:67" x14ac:dyDescent="0.25">
      <c r="A57" s="846">
        <f t="shared" si="27"/>
        <v>42</v>
      </c>
      <c r="B57" s="847">
        <f t="shared" si="70"/>
        <v>0</v>
      </c>
      <c r="C57" s="847">
        <f t="shared" si="71"/>
        <v>0</v>
      </c>
      <c r="D57" s="847">
        <f t="shared" si="72"/>
        <v>0</v>
      </c>
      <c r="E57" s="847">
        <f t="shared" si="63"/>
        <v>0</v>
      </c>
      <c r="F57" s="847">
        <f t="shared" si="54"/>
        <v>0</v>
      </c>
      <c r="G57" s="847">
        <f t="shared" si="66"/>
        <v>0</v>
      </c>
      <c r="H57" s="847">
        <f t="shared" si="73"/>
        <v>0</v>
      </c>
      <c r="I57" s="839">
        <f t="shared" si="15"/>
        <v>0</v>
      </c>
      <c r="J57" s="839">
        <f t="shared" si="16"/>
        <v>0</v>
      </c>
      <c r="K57" s="839">
        <f t="shared" si="17"/>
        <v>0</v>
      </c>
      <c r="L57" s="847">
        <f t="shared" si="47"/>
        <v>0</v>
      </c>
      <c r="M57" s="848">
        <f t="shared" si="31"/>
        <v>0</v>
      </c>
      <c r="N57" s="841"/>
      <c r="O57" s="846">
        <f t="shared" si="32"/>
        <v>42</v>
      </c>
      <c r="P57" s="847">
        <f t="shared" si="48"/>
        <v>0</v>
      </c>
      <c r="Q57" s="847">
        <f t="shared" si="74"/>
        <v>0</v>
      </c>
      <c r="R57" s="847">
        <f t="shared" si="75"/>
        <v>0</v>
      </c>
      <c r="S57" s="847">
        <f t="shared" si="64"/>
        <v>0</v>
      </c>
      <c r="T57" s="847">
        <f t="shared" si="59"/>
        <v>0</v>
      </c>
      <c r="U57" s="847">
        <f t="shared" si="67"/>
        <v>0</v>
      </c>
      <c r="V57" s="847">
        <f t="shared" si="76"/>
        <v>0</v>
      </c>
      <c r="W57" s="839">
        <f t="shared" si="19"/>
        <v>0</v>
      </c>
      <c r="X57" s="839">
        <f t="shared" si="20"/>
        <v>0</v>
      </c>
      <c r="Y57" s="839">
        <f t="shared" si="21"/>
        <v>0</v>
      </c>
      <c r="Z57" s="847">
        <f t="shared" si="50"/>
        <v>0</v>
      </c>
      <c r="AA57" s="848">
        <f t="shared" si="36"/>
        <v>0</v>
      </c>
      <c r="AB57" s="841"/>
      <c r="AC57" s="846">
        <f t="shared" si="37"/>
        <v>42</v>
      </c>
      <c r="AD57" s="847">
        <f t="shared" si="51"/>
        <v>0</v>
      </c>
      <c r="AE57" s="847">
        <f t="shared" si="77"/>
        <v>0</v>
      </c>
      <c r="AF57" s="847">
        <f t="shared" si="78"/>
        <v>0</v>
      </c>
      <c r="AG57" s="847">
        <f t="shared" si="65"/>
        <v>0</v>
      </c>
      <c r="AH57" s="847">
        <f t="shared" si="60"/>
        <v>0</v>
      </c>
      <c r="AI57" s="847">
        <f t="shared" si="68"/>
        <v>0</v>
      </c>
      <c r="AJ57" s="847">
        <f t="shared" si="79"/>
        <v>0</v>
      </c>
      <c r="AK57" s="839">
        <f t="shared" si="23"/>
        <v>0</v>
      </c>
      <c r="AL57" s="839">
        <f t="shared" si="24"/>
        <v>0</v>
      </c>
      <c r="AM57" s="839">
        <f t="shared" si="25"/>
        <v>0</v>
      </c>
      <c r="AN57" s="847">
        <f t="shared" si="53"/>
        <v>0</v>
      </c>
      <c r="AO57" s="848">
        <f t="shared" si="41"/>
        <v>0</v>
      </c>
      <c r="AQ57" s="846">
        <f t="shared" si="42"/>
        <v>42</v>
      </c>
      <c r="AR57" s="847">
        <f t="shared" si="26"/>
        <v>0</v>
      </c>
      <c r="AS57" s="847">
        <f t="shared" si="4"/>
        <v>0</v>
      </c>
      <c r="AT57" s="847">
        <f t="shared" si="5"/>
        <v>0</v>
      </c>
      <c r="AU57" s="847">
        <f t="shared" si="6"/>
        <v>0</v>
      </c>
      <c r="AV57" s="847">
        <f t="shared" si="7"/>
        <v>0</v>
      </c>
      <c r="AW57" s="847">
        <f t="shared" si="8"/>
        <v>0</v>
      </c>
      <c r="AX57" s="847">
        <f t="shared" si="9"/>
        <v>0</v>
      </c>
      <c r="AY57" s="839">
        <f t="shared" si="10"/>
        <v>0</v>
      </c>
      <c r="AZ57" s="839">
        <f t="shared" si="11"/>
        <v>0</v>
      </c>
      <c r="BA57" s="839">
        <f t="shared" si="12"/>
        <v>0</v>
      </c>
      <c r="BB57" s="847">
        <f t="shared" si="13"/>
        <v>0</v>
      </c>
      <c r="BC57" s="848">
        <f t="shared" si="13"/>
        <v>0</v>
      </c>
      <c r="BE57" s="828">
        <f t="shared" si="2"/>
        <v>45</v>
      </c>
      <c r="BF57" s="852" t="str">
        <f t="shared" si="69"/>
        <v>SETEMBRE</v>
      </c>
      <c r="BG57" s="834">
        <f>$AU$60+$AU$134+$AU$208</f>
        <v>0</v>
      </c>
      <c r="BH57" s="834">
        <f t="shared" si="3"/>
        <v>0</v>
      </c>
      <c r="BI57" s="834">
        <f>$AW$60+$AW$134+$AW$208</f>
        <v>0</v>
      </c>
      <c r="BJ57" s="834">
        <f t="shared" si="3"/>
        <v>0</v>
      </c>
      <c r="BK57" s="834">
        <f>$AS$60+$AS$134+$AS$208</f>
        <v>0</v>
      </c>
      <c r="BL57" s="834">
        <f>$AY$60+$AY$134+$AY$208</f>
        <v>0</v>
      </c>
      <c r="BM57" s="834">
        <f>$AZ$60+$AZ$134+$AZ$208</f>
        <v>0</v>
      </c>
      <c r="BN57" s="834">
        <f t="shared" si="61"/>
        <v>0</v>
      </c>
      <c r="BO57" s="834">
        <f>$BC$60+$BC$134+$BC$208</f>
        <v>0</v>
      </c>
    </row>
    <row r="58" spans="1:67" x14ac:dyDescent="0.25">
      <c r="A58" s="846">
        <f t="shared" si="27"/>
        <v>43</v>
      </c>
      <c r="B58" s="847">
        <f t="shared" si="70"/>
        <v>0</v>
      </c>
      <c r="C58" s="847">
        <f t="shared" si="71"/>
        <v>0</v>
      </c>
      <c r="D58" s="847">
        <f t="shared" si="72"/>
        <v>0</v>
      </c>
      <c r="E58" s="847">
        <f t="shared" si="63"/>
        <v>0</v>
      </c>
      <c r="F58" s="847">
        <f t="shared" si="54"/>
        <v>0</v>
      </c>
      <c r="G58" s="847">
        <f t="shared" si="66"/>
        <v>0</v>
      </c>
      <c r="H58" s="847">
        <f t="shared" si="73"/>
        <v>0</v>
      </c>
      <c r="I58" s="839">
        <f t="shared" si="15"/>
        <v>0</v>
      </c>
      <c r="J58" s="839">
        <f t="shared" si="16"/>
        <v>0</v>
      </c>
      <c r="K58" s="839">
        <f t="shared" si="17"/>
        <v>0</v>
      </c>
      <c r="L58" s="847">
        <f t="shared" si="47"/>
        <v>0</v>
      </c>
      <c r="M58" s="848">
        <f t="shared" si="31"/>
        <v>0</v>
      </c>
      <c r="N58" s="841"/>
      <c r="O58" s="846">
        <f t="shared" si="32"/>
        <v>43</v>
      </c>
      <c r="P58" s="847">
        <f t="shared" si="48"/>
        <v>0</v>
      </c>
      <c r="Q58" s="847">
        <f t="shared" si="74"/>
        <v>0</v>
      </c>
      <c r="R58" s="847">
        <f t="shared" si="75"/>
        <v>0</v>
      </c>
      <c r="S58" s="847">
        <f t="shared" si="64"/>
        <v>0</v>
      </c>
      <c r="T58" s="847">
        <f t="shared" si="59"/>
        <v>0</v>
      </c>
      <c r="U58" s="847">
        <f t="shared" si="67"/>
        <v>0</v>
      </c>
      <c r="V58" s="847">
        <f t="shared" si="76"/>
        <v>0</v>
      </c>
      <c r="W58" s="839">
        <f t="shared" si="19"/>
        <v>0</v>
      </c>
      <c r="X58" s="839">
        <f t="shared" si="20"/>
        <v>0</v>
      </c>
      <c r="Y58" s="839">
        <f t="shared" si="21"/>
        <v>0</v>
      </c>
      <c r="Z58" s="847">
        <f t="shared" si="50"/>
        <v>0</v>
      </c>
      <c r="AA58" s="848">
        <f t="shared" si="36"/>
        <v>0</v>
      </c>
      <c r="AB58" s="841"/>
      <c r="AC58" s="846">
        <f t="shared" si="37"/>
        <v>43</v>
      </c>
      <c r="AD58" s="847">
        <f t="shared" si="51"/>
        <v>0</v>
      </c>
      <c r="AE58" s="847">
        <f t="shared" si="77"/>
        <v>0</v>
      </c>
      <c r="AF58" s="847">
        <f t="shared" si="78"/>
        <v>0</v>
      </c>
      <c r="AG58" s="847">
        <f t="shared" si="65"/>
        <v>0</v>
      </c>
      <c r="AH58" s="847">
        <f t="shared" si="60"/>
        <v>0</v>
      </c>
      <c r="AI58" s="847">
        <f t="shared" si="68"/>
        <v>0</v>
      </c>
      <c r="AJ58" s="847">
        <f t="shared" si="79"/>
        <v>0</v>
      </c>
      <c r="AK58" s="839">
        <f t="shared" si="23"/>
        <v>0</v>
      </c>
      <c r="AL58" s="839">
        <f t="shared" si="24"/>
        <v>0</v>
      </c>
      <c r="AM58" s="839">
        <f t="shared" si="25"/>
        <v>0</v>
      </c>
      <c r="AN58" s="847">
        <f t="shared" si="53"/>
        <v>0</v>
      </c>
      <c r="AO58" s="848">
        <f t="shared" si="41"/>
        <v>0</v>
      </c>
      <c r="AQ58" s="846">
        <f t="shared" si="42"/>
        <v>43</v>
      </c>
      <c r="AR58" s="847">
        <f t="shared" si="26"/>
        <v>0</v>
      </c>
      <c r="AS58" s="847">
        <f t="shared" si="4"/>
        <v>0</v>
      </c>
      <c r="AT58" s="847">
        <f t="shared" si="5"/>
        <v>0</v>
      </c>
      <c r="AU58" s="847">
        <f t="shared" si="6"/>
        <v>0</v>
      </c>
      <c r="AV58" s="847">
        <f t="shared" si="7"/>
        <v>0</v>
      </c>
      <c r="AW58" s="847">
        <f t="shared" si="8"/>
        <v>0</v>
      </c>
      <c r="AX58" s="847">
        <f t="shared" si="9"/>
        <v>0</v>
      </c>
      <c r="AY58" s="839">
        <f t="shared" si="10"/>
        <v>0</v>
      </c>
      <c r="AZ58" s="839">
        <f t="shared" si="11"/>
        <v>0</v>
      </c>
      <c r="BA58" s="839">
        <f t="shared" si="12"/>
        <v>0</v>
      </c>
      <c r="BB58" s="847">
        <f t="shared" si="13"/>
        <v>0</v>
      </c>
      <c r="BC58" s="848">
        <f t="shared" si="13"/>
        <v>0</v>
      </c>
      <c r="BE58" s="828">
        <f t="shared" si="2"/>
        <v>46</v>
      </c>
      <c r="BF58" s="852" t="str">
        <f t="shared" si="69"/>
        <v>OCTUBRE</v>
      </c>
      <c r="BG58" s="834">
        <f>$AU$61+$AU$135+$AU$209</f>
        <v>0</v>
      </c>
      <c r="BH58" s="834">
        <f t="shared" si="3"/>
        <v>0</v>
      </c>
      <c r="BI58" s="834">
        <f>$AW$61+$AW$135+$AW$209</f>
        <v>0</v>
      </c>
      <c r="BJ58" s="834">
        <f t="shared" si="3"/>
        <v>0</v>
      </c>
      <c r="BK58" s="834">
        <f>$AS$61+$AS$135+$AS$209</f>
        <v>0</v>
      </c>
      <c r="BL58" s="834">
        <f>$AY$61+$AY$135+$AY$209</f>
        <v>0</v>
      </c>
      <c r="BM58" s="834">
        <f>$AZ$61+$AZ$135+$AZ$209</f>
        <v>0</v>
      </c>
      <c r="BN58" s="834">
        <f t="shared" si="61"/>
        <v>0</v>
      </c>
      <c r="BO58" s="834">
        <f>$BC$61+$BC$135+$BC$209</f>
        <v>0</v>
      </c>
    </row>
    <row r="59" spans="1:67" x14ac:dyDescent="0.25">
      <c r="A59" s="846">
        <f t="shared" si="27"/>
        <v>44</v>
      </c>
      <c r="B59" s="847">
        <f t="shared" si="70"/>
        <v>0</v>
      </c>
      <c r="C59" s="847">
        <f t="shared" si="71"/>
        <v>0</v>
      </c>
      <c r="D59" s="847">
        <f t="shared" si="72"/>
        <v>0</v>
      </c>
      <c r="E59" s="847">
        <f t="shared" si="63"/>
        <v>0</v>
      </c>
      <c r="F59" s="847">
        <f t="shared" si="54"/>
        <v>0</v>
      </c>
      <c r="G59" s="847">
        <f t="shared" si="66"/>
        <v>0</v>
      </c>
      <c r="H59" s="847">
        <f t="shared" si="73"/>
        <v>0</v>
      </c>
      <c r="I59" s="839">
        <f t="shared" si="15"/>
        <v>0</v>
      </c>
      <c r="J59" s="839">
        <f t="shared" si="16"/>
        <v>0</v>
      </c>
      <c r="K59" s="839">
        <f t="shared" si="17"/>
        <v>0</v>
      </c>
      <c r="L59" s="847">
        <f t="shared" si="47"/>
        <v>0</v>
      </c>
      <c r="M59" s="848">
        <f t="shared" si="31"/>
        <v>0</v>
      </c>
      <c r="N59" s="841"/>
      <c r="O59" s="846">
        <f t="shared" si="32"/>
        <v>44</v>
      </c>
      <c r="P59" s="847">
        <f t="shared" si="48"/>
        <v>0</v>
      </c>
      <c r="Q59" s="847">
        <f t="shared" si="74"/>
        <v>0</v>
      </c>
      <c r="R59" s="847">
        <f t="shared" si="75"/>
        <v>0</v>
      </c>
      <c r="S59" s="847">
        <f t="shared" si="64"/>
        <v>0</v>
      </c>
      <c r="T59" s="847">
        <f t="shared" si="59"/>
        <v>0</v>
      </c>
      <c r="U59" s="847">
        <f t="shared" si="67"/>
        <v>0</v>
      </c>
      <c r="V59" s="847">
        <f t="shared" si="76"/>
        <v>0</v>
      </c>
      <c r="W59" s="839">
        <f t="shared" si="19"/>
        <v>0</v>
      </c>
      <c r="X59" s="839">
        <f t="shared" si="20"/>
        <v>0</v>
      </c>
      <c r="Y59" s="839">
        <f t="shared" si="21"/>
        <v>0</v>
      </c>
      <c r="Z59" s="847">
        <f t="shared" si="50"/>
        <v>0</v>
      </c>
      <c r="AA59" s="848">
        <f t="shared" si="36"/>
        <v>0</v>
      </c>
      <c r="AB59" s="841"/>
      <c r="AC59" s="846">
        <f t="shared" si="37"/>
        <v>44</v>
      </c>
      <c r="AD59" s="847">
        <f t="shared" si="51"/>
        <v>0</v>
      </c>
      <c r="AE59" s="847">
        <f t="shared" si="77"/>
        <v>0</v>
      </c>
      <c r="AF59" s="847">
        <f t="shared" si="78"/>
        <v>0</v>
      </c>
      <c r="AG59" s="847">
        <f t="shared" si="65"/>
        <v>0</v>
      </c>
      <c r="AH59" s="847">
        <f t="shared" si="60"/>
        <v>0</v>
      </c>
      <c r="AI59" s="847">
        <f t="shared" si="68"/>
        <v>0</v>
      </c>
      <c r="AJ59" s="847">
        <f t="shared" si="79"/>
        <v>0</v>
      </c>
      <c r="AK59" s="839">
        <f t="shared" si="23"/>
        <v>0</v>
      </c>
      <c r="AL59" s="839">
        <f t="shared" si="24"/>
        <v>0</v>
      </c>
      <c r="AM59" s="839">
        <f t="shared" si="25"/>
        <v>0</v>
      </c>
      <c r="AN59" s="847">
        <f t="shared" si="53"/>
        <v>0</v>
      </c>
      <c r="AO59" s="848">
        <f t="shared" si="41"/>
        <v>0</v>
      </c>
      <c r="AQ59" s="846">
        <f t="shared" si="42"/>
        <v>44</v>
      </c>
      <c r="AR59" s="847">
        <f t="shared" si="26"/>
        <v>0</v>
      </c>
      <c r="AS59" s="847">
        <f t="shared" si="4"/>
        <v>0</v>
      </c>
      <c r="AT59" s="847">
        <f t="shared" si="5"/>
        <v>0</v>
      </c>
      <c r="AU59" s="847">
        <f t="shared" si="6"/>
        <v>0</v>
      </c>
      <c r="AV59" s="847">
        <f t="shared" si="7"/>
        <v>0</v>
      </c>
      <c r="AW59" s="847">
        <f t="shared" si="8"/>
        <v>0</v>
      </c>
      <c r="AX59" s="847">
        <f t="shared" si="9"/>
        <v>0</v>
      </c>
      <c r="AY59" s="839">
        <f t="shared" si="10"/>
        <v>0</v>
      </c>
      <c r="AZ59" s="839">
        <f t="shared" si="11"/>
        <v>0</v>
      </c>
      <c r="BA59" s="839">
        <f t="shared" si="12"/>
        <v>0</v>
      </c>
      <c r="BB59" s="847">
        <f t="shared" si="13"/>
        <v>0</v>
      </c>
      <c r="BC59" s="848">
        <f t="shared" si="13"/>
        <v>0</v>
      </c>
      <c r="BE59" s="828">
        <f t="shared" si="2"/>
        <v>47</v>
      </c>
      <c r="BF59" s="852" t="str">
        <f t="shared" si="69"/>
        <v>NOVEMBRE</v>
      </c>
      <c r="BG59" s="834">
        <f>$AU$62+$AU$136+$AU$210</f>
        <v>0</v>
      </c>
      <c r="BH59" s="834">
        <f t="shared" si="3"/>
        <v>0</v>
      </c>
      <c r="BI59" s="834">
        <f>$AW$62+$AW$136+$AW$210</f>
        <v>0</v>
      </c>
      <c r="BJ59" s="834">
        <f t="shared" si="3"/>
        <v>0</v>
      </c>
      <c r="BK59" s="834">
        <f>$AS$62+$AS$136+$AS$210</f>
        <v>0</v>
      </c>
      <c r="BL59" s="834">
        <f>$AY$62+$AY$136+$AY$210</f>
        <v>0</v>
      </c>
      <c r="BM59" s="834">
        <f>$AZ$62+$AZ$136+$AZ$210</f>
        <v>0</v>
      </c>
      <c r="BN59" s="834">
        <f t="shared" si="61"/>
        <v>0</v>
      </c>
      <c r="BO59" s="834">
        <f>$BC$62+$BC$136+$BC$210</f>
        <v>0</v>
      </c>
    </row>
    <row r="60" spans="1:67" x14ac:dyDescent="0.25">
      <c r="A60" s="846">
        <f t="shared" si="27"/>
        <v>45</v>
      </c>
      <c r="B60" s="847">
        <f t="shared" si="70"/>
        <v>0</v>
      </c>
      <c r="C60" s="847">
        <f t="shared" si="71"/>
        <v>0</v>
      </c>
      <c r="D60" s="847">
        <f t="shared" si="72"/>
        <v>0</v>
      </c>
      <c r="E60" s="847">
        <f t="shared" si="63"/>
        <v>0</v>
      </c>
      <c r="F60" s="847">
        <f t="shared" si="54"/>
        <v>0</v>
      </c>
      <c r="G60" s="847">
        <f t="shared" si="66"/>
        <v>0</v>
      </c>
      <c r="H60" s="847">
        <f t="shared" si="73"/>
        <v>0</v>
      </c>
      <c r="I60" s="839">
        <f t="shared" si="15"/>
        <v>0</v>
      </c>
      <c r="J60" s="839">
        <f t="shared" si="16"/>
        <v>0</v>
      </c>
      <c r="K60" s="839">
        <f t="shared" si="17"/>
        <v>0</v>
      </c>
      <c r="L60" s="847">
        <f t="shared" si="47"/>
        <v>0</v>
      </c>
      <c r="M60" s="848">
        <f t="shared" si="31"/>
        <v>0</v>
      </c>
      <c r="N60" s="841"/>
      <c r="O60" s="846">
        <f t="shared" si="32"/>
        <v>45</v>
      </c>
      <c r="P60" s="847">
        <f t="shared" si="48"/>
        <v>0</v>
      </c>
      <c r="Q60" s="847">
        <f t="shared" si="74"/>
        <v>0</v>
      </c>
      <c r="R60" s="847">
        <f t="shared" si="75"/>
        <v>0</v>
      </c>
      <c r="S60" s="847">
        <f t="shared" si="64"/>
        <v>0</v>
      </c>
      <c r="T60" s="847">
        <f t="shared" si="59"/>
        <v>0</v>
      </c>
      <c r="U60" s="847">
        <f t="shared" si="67"/>
        <v>0</v>
      </c>
      <c r="V60" s="847">
        <f t="shared" si="76"/>
        <v>0</v>
      </c>
      <c r="W60" s="839">
        <f t="shared" si="19"/>
        <v>0</v>
      </c>
      <c r="X60" s="839">
        <f t="shared" si="20"/>
        <v>0</v>
      </c>
      <c r="Y60" s="839">
        <f t="shared" si="21"/>
        <v>0</v>
      </c>
      <c r="Z60" s="847">
        <f t="shared" si="50"/>
        <v>0</v>
      </c>
      <c r="AA60" s="848">
        <f t="shared" si="36"/>
        <v>0</v>
      </c>
      <c r="AB60" s="841"/>
      <c r="AC60" s="846">
        <f t="shared" si="37"/>
        <v>45</v>
      </c>
      <c r="AD60" s="847">
        <f t="shared" si="51"/>
        <v>0</v>
      </c>
      <c r="AE60" s="847">
        <f t="shared" si="77"/>
        <v>0</v>
      </c>
      <c r="AF60" s="847">
        <f t="shared" si="78"/>
        <v>0</v>
      </c>
      <c r="AG60" s="847">
        <f t="shared" si="65"/>
        <v>0</v>
      </c>
      <c r="AH60" s="847">
        <f t="shared" si="60"/>
        <v>0</v>
      </c>
      <c r="AI60" s="847">
        <f t="shared" si="68"/>
        <v>0</v>
      </c>
      <c r="AJ60" s="847">
        <f t="shared" si="79"/>
        <v>0</v>
      </c>
      <c r="AK60" s="839">
        <f t="shared" si="23"/>
        <v>0</v>
      </c>
      <c r="AL60" s="839">
        <f t="shared" si="24"/>
        <v>0</v>
      </c>
      <c r="AM60" s="839">
        <f t="shared" si="25"/>
        <v>0</v>
      </c>
      <c r="AN60" s="847">
        <f t="shared" si="53"/>
        <v>0</v>
      </c>
      <c r="AO60" s="848">
        <f t="shared" si="41"/>
        <v>0</v>
      </c>
      <c r="AQ60" s="846">
        <f t="shared" si="42"/>
        <v>45</v>
      </c>
      <c r="AR60" s="847">
        <f t="shared" si="26"/>
        <v>0</v>
      </c>
      <c r="AS60" s="847">
        <f t="shared" si="4"/>
        <v>0</v>
      </c>
      <c r="AT60" s="847">
        <f t="shared" si="5"/>
        <v>0</v>
      </c>
      <c r="AU60" s="847">
        <f t="shared" si="6"/>
        <v>0</v>
      </c>
      <c r="AV60" s="847">
        <f t="shared" si="7"/>
        <v>0</v>
      </c>
      <c r="AW60" s="847">
        <f t="shared" si="8"/>
        <v>0</v>
      </c>
      <c r="AX60" s="847">
        <f t="shared" si="9"/>
        <v>0</v>
      </c>
      <c r="AY60" s="839">
        <f t="shared" si="10"/>
        <v>0</v>
      </c>
      <c r="AZ60" s="839">
        <f t="shared" si="11"/>
        <v>0</v>
      </c>
      <c r="BA60" s="839">
        <f t="shared" si="12"/>
        <v>0</v>
      </c>
      <c r="BB60" s="847">
        <f t="shared" si="13"/>
        <v>0</v>
      </c>
      <c r="BC60" s="848">
        <f t="shared" si="13"/>
        <v>0</v>
      </c>
      <c r="BE60" s="828">
        <f t="shared" si="2"/>
        <v>48</v>
      </c>
      <c r="BF60" s="852" t="str">
        <f t="shared" si="69"/>
        <v>DESEMBRE</v>
      </c>
      <c r="BG60" s="834">
        <f>$AU$63+$AU$137+$AU$211</f>
        <v>0</v>
      </c>
      <c r="BH60" s="834">
        <f t="shared" si="3"/>
        <v>0</v>
      </c>
      <c r="BI60" s="834">
        <f>$AW$63+$AW$137+$AW$211</f>
        <v>0</v>
      </c>
      <c r="BJ60" s="834">
        <f t="shared" si="3"/>
        <v>0</v>
      </c>
      <c r="BK60" s="834">
        <f>$AS$63+$AS$137+$AS$211</f>
        <v>0</v>
      </c>
      <c r="BL60" s="834">
        <f>$AY$63+$AY$137+$AY$211</f>
        <v>0</v>
      </c>
      <c r="BM60" s="834">
        <f>$AZ$63+$AZ$137+$AZ$211</f>
        <v>0</v>
      </c>
      <c r="BN60" s="834">
        <f t="shared" si="61"/>
        <v>0</v>
      </c>
      <c r="BO60" s="834">
        <f>$BC$63+$BC$137+$BC$211</f>
        <v>0</v>
      </c>
    </row>
    <row r="61" spans="1:67" x14ac:dyDescent="0.25">
      <c r="A61" s="846">
        <f t="shared" si="27"/>
        <v>46</v>
      </c>
      <c r="B61" s="847">
        <f t="shared" si="70"/>
        <v>0</v>
      </c>
      <c r="C61" s="847">
        <f t="shared" si="71"/>
        <v>0</v>
      </c>
      <c r="D61" s="847">
        <f t="shared" si="72"/>
        <v>0</v>
      </c>
      <c r="E61" s="847">
        <f t="shared" si="63"/>
        <v>0</v>
      </c>
      <c r="F61" s="847">
        <f t="shared" si="54"/>
        <v>0</v>
      </c>
      <c r="G61" s="847">
        <f t="shared" si="66"/>
        <v>0</v>
      </c>
      <c r="H61" s="847">
        <f t="shared" si="73"/>
        <v>0</v>
      </c>
      <c r="I61" s="839">
        <f t="shared" si="15"/>
        <v>0</v>
      </c>
      <c r="J61" s="839">
        <f t="shared" si="16"/>
        <v>0</v>
      </c>
      <c r="K61" s="839">
        <f t="shared" si="17"/>
        <v>0</v>
      </c>
      <c r="L61" s="847">
        <f t="shared" si="47"/>
        <v>0</v>
      </c>
      <c r="M61" s="848">
        <f t="shared" si="31"/>
        <v>0</v>
      </c>
      <c r="N61" s="841"/>
      <c r="O61" s="846">
        <f t="shared" si="32"/>
        <v>46</v>
      </c>
      <c r="P61" s="847">
        <f t="shared" si="48"/>
        <v>0</v>
      </c>
      <c r="Q61" s="847">
        <f t="shared" si="74"/>
        <v>0</v>
      </c>
      <c r="R61" s="847">
        <f t="shared" si="75"/>
        <v>0</v>
      </c>
      <c r="S61" s="847">
        <f t="shared" si="64"/>
        <v>0</v>
      </c>
      <c r="T61" s="847">
        <f t="shared" si="59"/>
        <v>0</v>
      </c>
      <c r="U61" s="847">
        <f t="shared" si="67"/>
        <v>0</v>
      </c>
      <c r="V61" s="847">
        <f t="shared" si="76"/>
        <v>0</v>
      </c>
      <c r="W61" s="839">
        <f t="shared" si="19"/>
        <v>0</v>
      </c>
      <c r="X61" s="839">
        <f t="shared" si="20"/>
        <v>0</v>
      </c>
      <c r="Y61" s="839">
        <f t="shared" si="21"/>
        <v>0</v>
      </c>
      <c r="Z61" s="847">
        <f t="shared" si="50"/>
        <v>0</v>
      </c>
      <c r="AA61" s="848">
        <f t="shared" si="36"/>
        <v>0</v>
      </c>
      <c r="AB61" s="841"/>
      <c r="AC61" s="846">
        <f t="shared" si="37"/>
        <v>46</v>
      </c>
      <c r="AD61" s="847">
        <f t="shared" si="51"/>
        <v>0</v>
      </c>
      <c r="AE61" s="847">
        <f t="shared" si="77"/>
        <v>0</v>
      </c>
      <c r="AF61" s="847">
        <f t="shared" si="78"/>
        <v>0</v>
      </c>
      <c r="AG61" s="847">
        <f t="shared" si="65"/>
        <v>0</v>
      </c>
      <c r="AH61" s="847">
        <f t="shared" si="60"/>
        <v>0</v>
      </c>
      <c r="AI61" s="847">
        <f t="shared" si="68"/>
        <v>0</v>
      </c>
      <c r="AJ61" s="847">
        <f t="shared" si="79"/>
        <v>0</v>
      </c>
      <c r="AK61" s="839">
        <f t="shared" si="23"/>
        <v>0</v>
      </c>
      <c r="AL61" s="839">
        <f t="shared" si="24"/>
        <v>0</v>
      </c>
      <c r="AM61" s="839">
        <f t="shared" si="25"/>
        <v>0</v>
      </c>
      <c r="AN61" s="847">
        <f t="shared" si="53"/>
        <v>0</v>
      </c>
      <c r="AO61" s="848">
        <f t="shared" si="41"/>
        <v>0</v>
      </c>
      <c r="AQ61" s="846">
        <f t="shared" si="42"/>
        <v>46</v>
      </c>
      <c r="AR61" s="847">
        <f t="shared" si="26"/>
        <v>0</v>
      </c>
      <c r="AS61" s="847">
        <f t="shared" si="4"/>
        <v>0</v>
      </c>
      <c r="AT61" s="847">
        <f t="shared" si="5"/>
        <v>0</v>
      </c>
      <c r="AU61" s="847">
        <f t="shared" si="6"/>
        <v>0</v>
      </c>
      <c r="AV61" s="847">
        <f t="shared" si="7"/>
        <v>0</v>
      </c>
      <c r="AW61" s="847">
        <f t="shared" si="8"/>
        <v>0</v>
      </c>
      <c r="AX61" s="847">
        <f t="shared" si="9"/>
        <v>0</v>
      </c>
      <c r="AY61" s="839">
        <f t="shared" si="10"/>
        <v>0</v>
      </c>
      <c r="AZ61" s="839">
        <f t="shared" si="11"/>
        <v>0</v>
      </c>
      <c r="BA61" s="839">
        <f t="shared" si="12"/>
        <v>0</v>
      </c>
      <c r="BB61" s="847">
        <f t="shared" si="13"/>
        <v>0</v>
      </c>
      <c r="BC61" s="848">
        <f t="shared" si="13"/>
        <v>0</v>
      </c>
      <c r="BE61" s="828">
        <f t="shared" si="2"/>
        <v>49</v>
      </c>
      <c r="BF61" s="852" t="str">
        <f t="shared" si="69"/>
        <v>GENER</v>
      </c>
      <c r="BG61" s="834">
        <f>$AU$64+$AU$138+$AU$212</f>
        <v>0</v>
      </c>
      <c r="BH61" s="834">
        <f t="shared" si="3"/>
        <v>0</v>
      </c>
      <c r="BI61" s="834">
        <f>$AW$64+$AW$138+$AW$212</f>
        <v>0</v>
      </c>
      <c r="BJ61" s="834">
        <f t="shared" si="3"/>
        <v>0</v>
      </c>
      <c r="BK61" s="834">
        <f>$AS$64+$AS$138+$AS$212</f>
        <v>0</v>
      </c>
      <c r="BL61" s="834">
        <f>$AY$64+$AY$138+$AY$212</f>
        <v>0</v>
      </c>
      <c r="BM61" s="834">
        <f>$AZ$64+$AZ$138+$AZ$212</f>
        <v>0</v>
      </c>
      <c r="BN61" s="834">
        <f t="shared" si="61"/>
        <v>0</v>
      </c>
      <c r="BO61" s="834">
        <f>$BC$64+$BC$138+$BC$212</f>
        <v>0</v>
      </c>
    </row>
    <row r="62" spans="1:67" x14ac:dyDescent="0.25">
      <c r="A62" s="846">
        <f t="shared" si="27"/>
        <v>47</v>
      </c>
      <c r="B62" s="847">
        <f t="shared" si="70"/>
        <v>0</v>
      </c>
      <c r="C62" s="847">
        <f t="shared" si="71"/>
        <v>0</v>
      </c>
      <c r="D62" s="847">
        <f t="shared" si="72"/>
        <v>0</v>
      </c>
      <c r="E62" s="847">
        <f t="shared" si="63"/>
        <v>0</v>
      </c>
      <c r="F62" s="847">
        <f t="shared" si="54"/>
        <v>0</v>
      </c>
      <c r="G62" s="847">
        <f t="shared" si="66"/>
        <v>0</v>
      </c>
      <c r="H62" s="847">
        <f t="shared" si="73"/>
        <v>0</v>
      </c>
      <c r="I62" s="839">
        <f t="shared" si="15"/>
        <v>0</v>
      </c>
      <c r="J62" s="839">
        <f t="shared" si="16"/>
        <v>0</v>
      </c>
      <c r="K62" s="839">
        <f t="shared" si="17"/>
        <v>0</v>
      </c>
      <c r="L62" s="847">
        <f t="shared" si="47"/>
        <v>0</v>
      </c>
      <c r="M62" s="848">
        <f t="shared" si="31"/>
        <v>0</v>
      </c>
      <c r="N62" s="841"/>
      <c r="O62" s="846">
        <f t="shared" si="32"/>
        <v>47</v>
      </c>
      <c r="P62" s="847">
        <f t="shared" si="48"/>
        <v>0</v>
      </c>
      <c r="Q62" s="847">
        <f t="shared" si="74"/>
        <v>0</v>
      </c>
      <c r="R62" s="847">
        <f t="shared" si="75"/>
        <v>0</v>
      </c>
      <c r="S62" s="847">
        <f t="shared" si="64"/>
        <v>0</v>
      </c>
      <c r="T62" s="847">
        <f t="shared" si="59"/>
        <v>0</v>
      </c>
      <c r="U62" s="847">
        <f t="shared" si="67"/>
        <v>0</v>
      </c>
      <c r="V62" s="847">
        <f t="shared" si="76"/>
        <v>0</v>
      </c>
      <c r="W62" s="839">
        <f t="shared" si="19"/>
        <v>0</v>
      </c>
      <c r="X62" s="839">
        <f t="shared" si="20"/>
        <v>0</v>
      </c>
      <c r="Y62" s="839">
        <f t="shared" si="21"/>
        <v>0</v>
      </c>
      <c r="Z62" s="847">
        <f t="shared" si="50"/>
        <v>0</v>
      </c>
      <c r="AA62" s="848">
        <f t="shared" si="36"/>
        <v>0</v>
      </c>
      <c r="AB62" s="841"/>
      <c r="AC62" s="846">
        <f t="shared" si="37"/>
        <v>47</v>
      </c>
      <c r="AD62" s="847">
        <f t="shared" si="51"/>
        <v>0</v>
      </c>
      <c r="AE62" s="847">
        <f t="shared" si="77"/>
        <v>0</v>
      </c>
      <c r="AF62" s="847">
        <f t="shared" si="78"/>
        <v>0</v>
      </c>
      <c r="AG62" s="847">
        <f t="shared" si="65"/>
        <v>0</v>
      </c>
      <c r="AH62" s="847">
        <f t="shared" si="60"/>
        <v>0</v>
      </c>
      <c r="AI62" s="847">
        <f t="shared" si="68"/>
        <v>0</v>
      </c>
      <c r="AJ62" s="847">
        <f t="shared" si="79"/>
        <v>0</v>
      </c>
      <c r="AK62" s="839">
        <f t="shared" si="23"/>
        <v>0</v>
      </c>
      <c r="AL62" s="839">
        <f t="shared" si="24"/>
        <v>0</v>
      </c>
      <c r="AM62" s="839">
        <f t="shared" si="25"/>
        <v>0</v>
      </c>
      <c r="AN62" s="847">
        <f t="shared" si="53"/>
        <v>0</v>
      </c>
      <c r="AO62" s="848">
        <f t="shared" si="41"/>
        <v>0</v>
      </c>
      <c r="AQ62" s="846">
        <f t="shared" si="42"/>
        <v>47</v>
      </c>
      <c r="AR62" s="847">
        <f t="shared" si="26"/>
        <v>0</v>
      </c>
      <c r="AS62" s="847">
        <f t="shared" si="4"/>
        <v>0</v>
      </c>
      <c r="AT62" s="847">
        <f t="shared" si="5"/>
        <v>0</v>
      </c>
      <c r="AU62" s="847">
        <f t="shared" si="6"/>
        <v>0</v>
      </c>
      <c r="AV62" s="847">
        <f t="shared" si="7"/>
        <v>0</v>
      </c>
      <c r="AW62" s="847">
        <f t="shared" si="8"/>
        <v>0</v>
      </c>
      <c r="AX62" s="847">
        <f t="shared" si="9"/>
        <v>0</v>
      </c>
      <c r="AY62" s="839">
        <f t="shared" si="10"/>
        <v>0</v>
      </c>
      <c r="AZ62" s="839">
        <f t="shared" si="11"/>
        <v>0</v>
      </c>
      <c r="BA62" s="839">
        <f t="shared" si="12"/>
        <v>0</v>
      </c>
      <c r="BB62" s="847">
        <f t="shared" si="13"/>
        <v>0</v>
      </c>
      <c r="BC62" s="848">
        <f t="shared" si="13"/>
        <v>0</v>
      </c>
      <c r="BE62" s="828">
        <f t="shared" si="2"/>
        <v>50</v>
      </c>
      <c r="BF62" s="852" t="str">
        <f t="shared" si="69"/>
        <v>FEBRER</v>
      </c>
      <c r="BG62" s="834">
        <f>$AU$65+$AU$139+$AU$213</f>
        <v>0</v>
      </c>
      <c r="BH62" s="834">
        <f t="shared" si="3"/>
        <v>0</v>
      </c>
      <c r="BI62" s="834">
        <f>$AW$65+$AW$139+$AW$213</f>
        <v>0</v>
      </c>
      <c r="BJ62" s="834">
        <f t="shared" si="3"/>
        <v>0</v>
      </c>
      <c r="BK62" s="834">
        <f>$AS$65+$AS$139+$AS$213</f>
        <v>0</v>
      </c>
      <c r="BL62" s="834">
        <f>$AY$65+$AY$139+$AY$213</f>
        <v>0</v>
      </c>
      <c r="BM62" s="834">
        <f>$AZ$65+$AZ$139+$AZ$213</f>
        <v>0</v>
      </c>
      <c r="BN62" s="834">
        <f t="shared" si="61"/>
        <v>0</v>
      </c>
      <c r="BO62" s="834">
        <f>$BC$65+$BC$139+$BC$213</f>
        <v>0</v>
      </c>
    </row>
    <row r="63" spans="1:67" x14ac:dyDescent="0.25">
      <c r="A63" s="846">
        <f t="shared" si="27"/>
        <v>48</v>
      </c>
      <c r="B63" s="847">
        <f t="shared" si="70"/>
        <v>0</v>
      </c>
      <c r="C63" s="847">
        <f t="shared" si="71"/>
        <v>0</v>
      </c>
      <c r="D63" s="847">
        <f t="shared" si="72"/>
        <v>0</v>
      </c>
      <c r="E63" s="847">
        <f t="shared" si="63"/>
        <v>0</v>
      </c>
      <c r="F63" s="847">
        <f t="shared" si="54"/>
        <v>0</v>
      </c>
      <c r="G63" s="847">
        <f t="shared" si="66"/>
        <v>0</v>
      </c>
      <c r="H63" s="847">
        <f t="shared" si="73"/>
        <v>0</v>
      </c>
      <c r="I63" s="839">
        <f t="shared" si="15"/>
        <v>0</v>
      </c>
      <c r="J63" s="839">
        <f t="shared" si="16"/>
        <v>0</v>
      </c>
      <c r="K63" s="839">
        <f t="shared" si="17"/>
        <v>0</v>
      </c>
      <c r="L63" s="847">
        <f t="shared" si="47"/>
        <v>0</v>
      </c>
      <c r="M63" s="848">
        <f t="shared" si="31"/>
        <v>0</v>
      </c>
      <c r="N63" s="841"/>
      <c r="O63" s="846">
        <f t="shared" si="32"/>
        <v>48</v>
      </c>
      <c r="P63" s="847">
        <f t="shared" si="48"/>
        <v>0</v>
      </c>
      <c r="Q63" s="847">
        <f t="shared" si="74"/>
        <v>0</v>
      </c>
      <c r="R63" s="847">
        <f t="shared" si="75"/>
        <v>0</v>
      </c>
      <c r="S63" s="847">
        <f t="shared" si="64"/>
        <v>0</v>
      </c>
      <c r="T63" s="847">
        <f t="shared" si="59"/>
        <v>0</v>
      </c>
      <c r="U63" s="847">
        <f t="shared" si="67"/>
        <v>0</v>
      </c>
      <c r="V63" s="847">
        <f t="shared" si="76"/>
        <v>0</v>
      </c>
      <c r="W63" s="839">
        <f t="shared" si="19"/>
        <v>0</v>
      </c>
      <c r="X63" s="839">
        <f t="shared" si="20"/>
        <v>0</v>
      </c>
      <c r="Y63" s="839">
        <f t="shared" si="21"/>
        <v>0</v>
      </c>
      <c r="Z63" s="847">
        <f t="shared" si="50"/>
        <v>0</v>
      </c>
      <c r="AA63" s="848">
        <f t="shared" si="36"/>
        <v>0</v>
      </c>
      <c r="AB63" s="841"/>
      <c r="AC63" s="846">
        <f t="shared" si="37"/>
        <v>48</v>
      </c>
      <c r="AD63" s="847">
        <f t="shared" si="51"/>
        <v>0</v>
      </c>
      <c r="AE63" s="847">
        <f t="shared" si="77"/>
        <v>0</v>
      </c>
      <c r="AF63" s="847">
        <f t="shared" si="78"/>
        <v>0</v>
      </c>
      <c r="AG63" s="847">
        <f t="shared" si="65"/>
        <v>0</v>
      </c>
      <c r="AH63" s="847">
        <f t="shared" si="60"/>
        <v>0</v>
      </c>
      <c r="AI63" s="847">
        <f t="shared" si="68"/>
        <v>0</v>
      </c>
      <c r="AJ63" s="847">
        <f t="shared" si="79"/>
        <v>0</v>
      </c>
      <c r="AK63" s="839">
        <f t="shared" si="23"/>
        <v>0</v>
      </c>
      <c r="AL63" s="839">
        <f t="shared" si="24"/>
        <v>0</v>
      </c>
      <c r="AM63" s="839">
        <f t="shared" si="25"/>
        <v>0</v>
      </c>
      <c r="AN63" s="847">
        <f t="shared" si="53"/>
        <v>0</v>
      </c>
      <c r="AO63" s="848">
        <f t="shared" si="41"/>
        <v>0</v>
      </c>
      <c r="AQ63" s="846">
        <f t="shared" si="42"/>
        <v>48</v>
      </c>
      <c r="AR63" s="847">
        <f t="shared" si="26"/>
        <v>0</v>
      </c>
      <c r="AS63" s="847">
        <f t="shared" si="4"/>
        <v>0</v>
      </c>
      <c r="AT63" s="847">
        <f t="shared" si="5"/>
        <v>0</v>
      </c>
      <c r="AU63" s="847">
        <f t="shared" si="6"/>
        <v>0</v>
      </c>
      <c r="AV63" s="847">
        <f t="shared" si="7"/>
        <v>0</v>
      </c>
      <c r="AW63" s="847">
        <f t="shared" si="8"/>
        <v>0</v>
      </c>
      <c r="AX63" s="847">
        <f t="shared" si="9"/>
        <v>0</v>
      </c>
      <c r="AY63" s="839">
        <f t="shared" si="10"/>
        <v>0</v>
      </c>
      <c r="AZ63" s="839">
        <f t="shared" si="11"/>
        <v>0</v>
      </c>
      <c r="BA63" s="839">
        <f t="shared" si="12"/>
        <v>0</v>
      </c>
      <c r="BB63" s="847">
        <f t="shared" si="13"/>
        <v>0</v>
      </c>
      <c r="BC63" s="848">
        <f t="shared" si="13"/>
        <v>0</v>
      </c>
      <c r="BE63" s="828">
        <f t="shared" si="2"/>
        <v>51</v>
      </c>
      <c r="BF63" s="852" t="str">
        <f t="shared" si="69"/>
        <v>MARÇ</v>
      </c>
      <c r="BG63" s="834">
        <f>$AU$66+$AU$140+$AU$214</f>
        <v>0</v>
      </c>
      <c r="BH63" s="834">
        <f t="shared" si="3"/>
        <v>0</v>
      </c>
      <c r="BI63" s="834">
        <f>$AW$66+$AW$140+$AW$214</f>
        <v>0</v>
      </c>
      <c r="BJ63" s="834">
        <f t="shared" si="3"/>
        <v>0</v>
      </c>
      <c r="BK63" s="834">
        <f>$AS$66+$AS$140+$AS$214</f>
        <v>0</v>
      </c>
      <c r="BL63" s="834">
        <f>$AY$66+$AY$140+$AY$214</f>
        <v>0</v>
      </c>
      <c r="BM63" s="834">
        <f>$AZ$66+$AZ$140+$AZ$214</f>
        <v>0</v>
      </c>
      <c r="BN63" s="834">
        <f t="shared" si="61"/>
        <v>0</v>
      </c>
      <c r="BO63" s="834">
        <f>$BC$66+$BC$140+$BC$214</f>
        <v>0</v>
      </c>
    </row>
    <row r="64" spans="1:67" x14ac:dyDescent="0.25">
      <c r="A64" s="846">
        <f t="shared" si="27"/>
        <v>49</v>
      </c>
      <c r="B64" s="847">
        <f t="shared" si="70"/>
        <v>0</v>
      </c>
      <c r="C64" s="847">
        <f t="shared" si="71"/>
        <v>0</v>
      </c>
      <c r="D64" s="847">
        <f t="shared" si="72"/>
        <v>0</v>
      </c>
      <c r="E64" s="847">
        <f t="shared" si="63"/>
        <v>0</v>
      </c>
      <c r="F64" s="847">
        <f t="shared" si="54"/>
        <v>0</v>
      </c>
      <c r="G64" s="847">
        <f t="shared" si="66"/>
        <v>0</v>
      </c>
      <c r="H64" s="847">
        <f t="shared" si="73"/>
        <v>0</v>
      </c>
      <c r="I64" s="839">
        <f t="shared" si="15"/>
        <v>0</v>
      </c>
      <c r="J64" s="839">
        <f t="shared" si="16"/>
        <v>0</v>
      </c>
      <c r="K64" s="839">
        <f t="shared" si="17"/>
        <v>0</v>
      </c>
      <c r="L64" s="847">
        <f t="shared" si="47"/>
        <v>0</v>
      </c>
      <c r="M64" s="848">
        <f t="shared" si="31"/>
        <v>0</v>
      </c>
      <c r="N64" s="841"/>
      <c r="O64" s="846">
        <f t="shared" si="32"/>
        <v>49</v>
      </c>
      <c r="P64" s="847">
        <f t="shared" si="48"/>
        <v>0</v>
      </c>
      <c r="Q64" s="847">
        <f t="shared" si="74"/>
        <v>0</v>
      </c>
      <c r="R64" s="847">
        <f t="shared" si="75"/>
        <v>0</v>
      </c>
      <c r="S64" s="847">
        <f t="shared" si="64"/>
        <v>0</v>
      </c>
      <c r="T64" s="847">
        <f t="shared" si="59"/>
        <v>0</v>
      </c>
      <c r="U64" s="847">
        <f t="shared" si="67"/>
        <v>0</v>
      </c>
      <c r="V64" s="847">
        <f t="shared" si="76"/>
        <v>0</v>
      </c>
      <c r="W64" s="839">
        <f t="shared" si="19"/>
        <v>0</v>
      </c>
      <c r="X64" s="839">
        <f t="shared" si="20"/>
        <v>0</v>
      </c>
      <c r="Y64" s="839">
        <f t="shared" si="21"/>
        <v>0</v>
      </c>
      <c r="Z64" s="847">
        <f t="shared" si="50"/>
        <v>0</v>
      </c>
      <c r="AA64" s="848">
        <f t="shared" si="36"/>
        <v>0</v>
      </c>
      <c r="AB64" s="841"/>
      <c r="AC64" s="846">
        <f t="shared" si="37"/>
        <v>49</v>
      </c>
      <c r="AD64" s="847">
        <f t="shared" si="51"/>
        <v>0</v>
      </c>
      <c r="AE64" s="847">
        <f t="shared" si="77"/>
        <v>0</v>
      </c>
      <c r="AF64" s="847">
        <f t="shared" si="78"/>
        <v>0</v>
      </c>
      <c r="AG64" s="847">
        <f t="shared" si="65"/>
        <v>0</v>
      </c>
      <c r="AH64" s="847">
        <f t="shared" si="60"/>
        <v>0</v>
      </c>
      <c r="AI64" s="847">
        <f t="shared" si="68"/>
        <v>0</v>
      </c>
      <c r="AJ64" s="847">
        <f t="shared" si="79"/>
        <v>0</v>
      </c>
      <c r="AK64" s="839">
        <f t="shared" si="23"/>
        <v>0</v>
      </c>
      <c r="AL64" s="839">
        <f t="shared" si="24"/>
        <v>0</v>
      </c>
      <c r="AM64" s="839">
        <f t="shared" si="25"/>
        <v>0</v>
      </c>
      <c r="AN64" s="847">
        <f t="shared" si="53"/>
        <v>0</v>
      </c>
      <c r="AO64" s="848">
        <f t="shared" si="41"/>
        <v>0</v>
      </c>
      <c r="AQ64" s="846">
        <f t="shared" si="42"/>
        <v>49</v>
      </c>
      <c r="AR64" s="847">
        <f t="shared" si="26"/>
        <v>0</v>
      </c>
      <c r="AS64" s="847">
        <f t="shared" si="4"/>
        <v>0</v>
      </c>
      <c r="AT64" s="847">
        <f t="shared" si="5"/>
        <v>0</v>
      </c>
      <c r="AU64" s="847">
        <f t="shared" si="6"/>
        <v>0</v>
      </c>
      <c r="AV64" s="847">
        <f t="shared" si="7"/>
        <v>0</v>
      </c>
      <c r="AW64" s="847">
        <f t="shared" si="8"/>
        <v>0</v>
      </c>
      <c r="AX64" s="847">
        <f t="shared" si="9"/>
        <v>0</v>
      </c>
      <c r="AY64" s="839">
        <f t="shared" si="10"/>
        <v>0</v>
      </c>
      <c r="AZ64" s="839">
        <f t="shared" si="11"/>
        <v>0</v>
      </c>
      <c r="BA64" s="839">
        <f t="shared" si="12"/>
        <v>0</v>
      </c>
      <c r="BB64" s="847">
        <f t="shared" si="13"/>
        <v>0</v>
      </c>
      <c r="BC64" s="848">
        <f t="shared" si="13"/>
        <v>0</v>
      </c>
      <c r="BE64" s="828">
        <f t="shared" si="2"/>
        <v>52</v>
      </c>
      <c r="BF64" s="852" t="str">
        <f t="shared" si="69"/>
        <v>ABRIL</v>
      </c>
      <c r="BG64" s="834">
        <f>$AU$67+$AU$141+$AU$215</f>
        <v>0</v>
      </c>
      <c r="BH64" s="834">
        <f t="shared" si="3"/>
        <v>0</v>
      </c>
      <c r="BI64" s="834">
        <f>$AW$67+$AW$141+$AW$215</f>
        <v>0</v>
      </c>
      <c r="BJ64" s="834">
        <f t="shared" si="3"/>
        <v>0</v>
      </c>
      <c r="BK64" s="834">
        <f>$AS$67+$AS$141+$AS$215</f>
        <v>0</v>
      </c>
      <c r="BL64" s="834">
        <f>$AY$67+$AY$141+$AY$215</f>
        <v>0</v>
      </c>
      <c r="BM64" s="834">
        <f>$AZ$67+$AZ$141+$AZ$215</f>
        <v>0</v>
      </c>
      <c r="BN64" s="834">
        <f t="shared" si="61"/>
        <v>0</v>
      </c>
      <c r="BO64" s="834">
        <f>$BC$67+$BC$141+$BC$215</f>
        <v>0</v>
      </c>
    </row>
    <row r="65" spans="1:67" x14ac:dyDescent="0.25">
      <c r="A65" s="846">
        <f t="shared" si="27"/>
        <v>50</v>
      </c>
      <c r="B65" s="847">
        <f t="shared" si="70"/>
        <v>0</v>
      </c>
      <c r="C65" s="847">
        <f t="shared" si="71"/>
        <v>0</v>
      </c>
      <c r="D65" s="847">
        <f t="shared" si="72"/>
        <v>0</v>
      </c>
      <c r="E65" s="847">
        <f t="shared" si="63"/>
        <v>0</v>
      </c>
      <c r="F65" s="847">
        <f t="shared" si="54"/>
        <v>0</v>
      </c>
      <c r="G65" s="847">
        <f t="shared" si="66"/>
        <v>0</v>
      </c>
      <c r="H65" s="847">
        <f t="shared" si="73"/>
        <v>0</v>
      </c>
      <c r="I65" s="839">
        <f t="shared" si="15"/>
        <v>0</v>
      </c>
      <c r="J65" s="839">
        <f t="shared" si="16"/>
        <v>0</v>
      </c>
      <c r="K65" s="839">
        <f t="shared" si="17"/>
        <v>0</v>
      </c>
      <c r="L65" s="847">
        <f t="shared" si="47"/>
        <v>0</v>
      </c>
      <c r="M65" s="848">
        <f t="shared" si="31"/>
        <v>0</v>
      </c>
      <c r="N65" s="841"/>
      <c r="O65" s="846">
        <f t="shared" si="32"/>
        <v>50</v>
      </c>
      <c r="P65" s="847">
        <f t="shared" si="48"/>
        <v>0</v>
      </c>
      <c r="Q65" s="847">
        <f t="shared" si="74"/>
        <v>0</v>
      </c>
      <c r="R65" s="847">
        <f t="shared" si="75"/>
        <v>0</v>
      </c>
      <c r="S65" s="847">
        <f t="shared" si="64"/>
        <v>0</v>
      </c>
      <c r="T65" s="847">
        <f t="shared" si="59"/>
        <v>0</v>
      </c>
      <c r="U65" s="847">
        <f t="shared" si="67"/>
        <v>0</v>
      </c>
      <c r="V65" s="847">
        <f t="shared" si="76"/>
        <v>0</v>
      </c>
      <c r="W65" s="839">
        <f t="shared" si="19"/>
        <v>0</v>
      </c>
      <c r="X65" s="839">
        <f t="shared" si="20"/>
        <v>0</v>
      </c>
      <c r="Y65" s="839">
        <f t="shared" si="21"/>
        <v>0</v>
      </c>
      <c r="Z65" s="847">
        <f t="shared" si="50"/>
        <v>0</v>
      </c>
      <c r="AA65" s="848">
        <f t="shared" si="36"/>
        <v>0</v>
      </c>
      <c r="AB65" s="841"/>
      <c r="AC65" s="846">
        <f t="shared" si="37"/>
        <v>50</v>
      </c>
      <c r="AD65" s="847">
        <f t="shared" si="51"/>
        <v>0</v>
      </c>
      <c r="AE65" s="847">
        <f t="shared" si="77"/>
        <v>0</v>
      </c>
      <c r="AF65" s="847">
        <f t="shared" si="78"/>
        <v>0</v>
      </c>
      <c r="AG65" s="847">
        <f t="shared" si="65"/>
        <v>0</v>
      </c>
      <c r="AH65" s="847">
        <f t="shared" si="60"/>
        <v>0</v>
      </c>
      <c r="AI65" s="847">
        <f t="shared" si="68"/>
        <v>0</v>
      </c>
      <c r="AJ65" s="847">
        <f t="shared" si="79"/>
        <v>0</v>
      </c>
      <c r="AK65" s="839">
        <f t="shared" si="23"/>
        <v>0</v>
      </c>
      <c r="AL65" s="839">
        <f t="shared" si="24"/>
        <v>0</v>
      </c>
      <c r="AM65" s="839">
        <f t="shared" si="25"/>
        <v>0</v>
      </c>
      <c r="AN65" s="847">
        <f t="shared" si="53"/>
        <v>0</v>
      </c>
      <c r="AO65" s="848">
        <f t="shared" si="41"/>
        <v>0</v>
      </c>
      <c r="AQ65" s="846">
        <f t="shared" si="42"/>
        <v>50</v>
      </c>
      <c r="AR65" s="847">
        <f t="shared" si="26"/>
        <v>0</v>
      </c>
      <c r="AS65" s="847">
        <f t="shared" si="4"/>
        <v>0</v>
      </c>
      <c r="AT65" s="847">
        <f t="shared" si="5"/>
        <v>0</v>
      </c>
      <c r="AU65" s="847">
        <f t="shared" si="6"/>
        <v>0</v>
      </c>
      <c r="AV65" s="847">
        <f t="shared" si="7"/>
        <v>0</v>
      </c>
      <c r="AW65" s="847">
        <f t="shared" si="8"/>
        <v>0</v>
      </c>
      <c r="AX65" s="847">
        <f t="shared" si="9"/>
        <v>0</v>
      </c>
      <c r="AY65" s="839">
        <f t="shared" si="10"/>
        <v>0</v>
      </c>
      <c r="AZ65" s="839">
        <f t="shared" si="11"/>
        <v>0</v>
      </c>
      <c r="BA65" s="839">
        <f t="shared" si="12"/>
        <v>0</v>
      </c>
      <c r="BB65" s="847">
        <f t="shared" si="13"/>
        <v>0</v>
      </c>
      <c r="BC65" s="848">
        <f t="shared" si="13"/>
        <v>0</v>
      </c>
      <c r="BE65" s="828">
        <f t="shared" si="2"/>
        <v>53</v>
      </c>
      <c r="BF65" s="852" t="str">
        <f t="shared" si="69"/>
        <v>MAIG</v>
      </c>
      <c r="BG65" s="834">
        <f>$AU$68+$AU$142+$AU$216</f>
        <v>0</v>
      </c>
      <c r="BH65" s="834">
        <f t="shared" si="3"/>
        <v>0</v>
      </c>
      <c r="BI65" s="834">
        <f>$AW$68+$AW$142+$AW$216</f>
        <v>0</v>
      </c>
      <c r="BJ65" s="834">
        <f t="shared" si="3"/>
        <v>0</v>
      </c>
      <c r="BK65" s="834">
        <f>$AS$68+$AS$142+$AS$216</f>
        <v>0</v>
      </c>
      <c r="BL65" s="834">
        <f>$AY$68+$AY$142+$AY$216</f>
        <v>0</v>
      </c>
      <c r="BM65" s="834">
        <f>$AZ$68+$AZ$142+$AZ$216</f>
        <v>0</v>
      </c>
      <c r="BN65" s="834">
        <f t="shared" si="61"/>
        <v>0</v>
      </c>
      <c r="BO65" s="834">
        <f>$BC$68+$BC$142+$BC$216</f>
        <v>0</v>
      </c>
    </row>
    <row r="66" spans="1:67" x14ac:dyDescent="0.25">
      <c r="A66" s="846">
        <f t="shared" si="27"/>
        <v>51</v>
      </c>
      <c r="B66" s="847">
        <f t="shared" si="70"/>
        <v>0</v>
      </c>
      <c r="C66" s="847">
        <f t="shared" si="71"/>
        <v>0</v>
      </c>
      <c r="D66" s="847">
        <f t="shared" si="72"/>
        <v>0</v>
      </c>
      <c r="E66" s="847">
        <f t="shared" si="63"/>
        <v>0</v>
      </c>
      <c r="F66" s="847">
        <f t="shared" si="54"/>
        <v>0</v>
      </c>
      <c r="G66" s="847">
        <f t="shared" si="66"/>
        <v>0</v>
      </c>
      <c r="H66" s="847">
        <f t="shared" si="73"/>
        <v>0</v>
      </c>
      <c r="I66" s="839">
        <f t="shared" si="15"/>
        <v>0</v>
      </c>
      <c r="J66" s="839">
        <f t="shared" si="16"/>
        <v>0</v>
      </c>
      <c r="K66" s="839">
        <f t="shared" si="17"/>
        <v>0</v>
      </c>
      <c r="L66" s="847">
        <f t="shared" si="47"/>
        <v>0</v>
      </c>
      <c r="M66" s="848">
        <f t="shared" si="31"/>
        <v>0</v>
      </c>
      <c r="N66" s="841"/>
      <c r="O66" s="846">
        <f t="shared" si="32"/>
        <v>51</v>
      </c>
      <c r="P66" s="847">
        <f t="shared" si="48"/>
        <v>0</v>
      </c>
      <c r="Q66" s="847">
        <f t="shared" si="74"/>
        <v>0</v>
      </c>
      <c r="R66" s="847">
        <f t="shared" si="75"/>
        <v>0</v>
      </c>
      <c r="S66" s="847">
        <f t="shared" si="64"/>
        <v>0</v>
      </c>
      <c r="T66" s="847">
        <f t="shared" si="59"/>
        <v>0</v>
      </c>
      <c r="U66" s="847">
        <f t="shared" si="67"/>
        <v>0</v>
      </c>
      <c r="V66" s="847">
        <f t="shared" si="76"/>
        <v>0</v>
      </c>
      <c r="W66" s="839">
        <f t="shared" si="19"/>
        <v>0</v>
      </c>
      <c r="X66" s="839">
        <f t="shared" si="20"/>
        <v>0</v>
      </c>
      <c r="Y66" s="839">
        <f t="shared" si="21"/>
        <v>0</v>
      </c>
      <c r="Z66" s="847">
        <f t="shared" si="50"/>
        <v>0</v>
      </c>
      <c r="AA66" s="848">
        <f t="shared" si="36"/>
        <v>0</v>
      </c>
      <c r="AB66" s="841"/>
      <c r="AC66" s="846">
        <f t="shared" si="37"/>
        <v>51</v>
      </c>
      <c r="AD66" s="847">
        <f t="shared" si="51"/>
        <v>0</v>
      </c>
      <c r="AE66" s="847">
        <f t="shared" si="77"/>
        <v>0</v>
      </c>
      <c r="AF66" s="847">
        <f t="shared" si="78"/>
        <v>0</v>
      </c>
      <c r="AG66" s="847">
        <f t="shared" si="65"/>
        <v>0</v>
      </c>
      <c r="AH66" s="847">
        <f t="shared" si="60"/>
        <v>0</v>
      </c>
      <c r="AI66" s="847">
        <f t="shared" si="68"/>
        <v>0</v>
      </c>
      <c r="AJ66" s="847">
        <f t="shared" si="79"/>
        <v>0</v>
      </c>
      <c r="AK66" s="839">
        <f t="shared" si="23"/>
        <v>0</v>
      </c>
      <c r="AL66" s="839">
        <f t="shared" si="24"/>
        <v>0</v>
      </c>
      <c r="AM66" s="839">
        <f t="shared" si="25"/>
        <v>0</v>
      </c>
      <c r="AN66" s="847">
        <f t="shared" si="53"/>
        <v>0</v>
      </c>
      <c r="AO66" s="848">
        <f t="shared" si="41"/>
        <v>0</v>
      </c>
      <c r="AQ66" s="846">
        <f t="shared" si="42"/>
        <v>51</v>
      </c>
      <c r="AR66" s="847">
        <f t="shared" si="26"/>
        <v>0</v>
      </c>
      <c r="AS66" s="847">
        <f t="shared" si="4"/>
        <v>0</v>
      </c>
      <c r="AT66" s="847">
        <f t="shared" si="5"/>
        <v>0</v>
      </c>
      <c r="AU66" s="847">
        <f t="shared" si="6"/>
        <v>0</v>
      </c>
      <c r="AV66" s="847">
        <f t="shared" si="7"/>
        <v>0</v>
      </c>
      <c r="AW66" s="847">
        <f t="shared" si="8"/>
        <v>0</v>
      </c>
      <c r="AX66" s="847">
        <f t="shared" si="9"/>
        <v>0</v>
      </c>
      <c r="AY66" s="839">
        <f t="shared" si="10"/>
        <v>0</v>
      </c>
      <c r="AZ66" s="839">
        <f t="shared" si="11"/>
        <v>0</v>
      </c>
      <c r="BA66" s="839">
        <f t="shared" si="12"/>
        <v>0</v>
      </c>
      <c r="BB66" s="847">
        <f t="shared" si="13"/>
        <v>0</v>
      </c>
      <c r="BC66" s="848">
        <f t="shared" si="13"/>
        <v>0</v>
      </c>
      <c r="BE66" s="828">
        <f t="shared" si="2"/>
        <v>54</v>
      </c>
      <c r="BF66" s="852" t="str">
        <f t="shared" si="69"/>
        <v>JUNY</v>
      </c>
      <c r="BG66" s="834">
        <f>$AU$69+$AU$143+$AU$217</f>
        <v>0</v>
      </c>
      <c r="BH66" s="834">
        <f t="shared" si="3"/>
        <v>0</v>
      </c>
      <c r="BI66" s="834">
        <f>$AW$69+$AW$143+$AW$217</f>
        <v>0</v>
      </c>
      <c r="BJ66" s="834">
        <f t="shared" si="3"/>
        <v>0</v>
      </c>
      <c r="BK66" s="834">
        <f>$AS$69+$AS$143+$AS$217</f>
        <v>0</v>
      </c>
      <c r="BL66" s="834">
        <f>$AY$69+$AY$143+$AY$217</f>
        <v>0</v>
      </c>
      <c r="BM66" s="834">
        <f>$AZ$69+$AZ$143+$AZ$217</f>
        <v>0</v>
      </c>
      <c r="BN66" s="834">
        <f t="shared" si="61"/>
        <v>0</v>
      </c>
      <c r="BO66" s="834">
        <f>$BC$69+$BC$143+$BC$217</f>
        <v>0</v>
      </c>
    </row>
    <row r="67" spans="1:67" x14ac:dyDescent="0.25">
      <c r="A67" s="846">
        <f t="shared" si="27"/>
        <v>52</v>
      </c>
      <c r="B67" s="847">
        <f t="shared" si="70"/>
        <v>0</v>
      </c>
      <c r="C67" s="847">
        <f t="shared" si="71"/>
        <v>0</v>
      </c>
      <c r="D67" s="847">
        <f t="shared" si="72"/>
        <v>0</v>
      </c>
      <c r="E67" s="847">
        <f t="shared" si="63"/>
        <v>0</v>
      </c>
      <c r="F67" s="847">
        <f t="shared" si="54"/>
        <v>0</v>
      </c>
      <c r="G67" s="847">
        <f t="shared" si="66"/>
        <v>0</v>
      </c>
      <c r="H67" s="847">
        <f t="shared" si="73"/>
        <v>0</v>
      </c>
      <c r="I67" s="839">
        <f t="shared" si="15"/>
        <v>0</v>
      </c>
      <c r="J67" s="839">
        <f t="shared" si="16"/>
        <v>0</v>
      </c>
      <c r="K67" s="839">
        <f t="shared" si="17"/>
        <v>0</v>
      </c>
      <c r="L67" s="847">
        <f t="shared" si="47"/>
        <v>0</v>
      </c>
      <c r="M67" s="848">
        <f t="shared" si="31"/>
        <v>0</v>
      </c>
      <c r="N67" s="841"/>
      <c r="O67" s="846">
        <f t="shared" si="32"/>
        <v>52</v>
      </c>
      <c r="P67" s="847">
        <f t="shared" si="48"/>
        <v>0</v>
      </c>
      <c r="Q67" s="847">
        <f t="shared" si="74"/>
        <v>0</v>
      </c>
      <c r="R67" s="847">
        <f t="shared" si="75"/>
        <v>0</v>
      </c>
      <c r="S67" s="847">
        <f t="shared" si="64"/>
        <v>0</v>
      </c>
      <c r="T67" s="847">
        <f t="shared" si="59"/>
        <v>0</v>
      </c>
      <c r="U67" s="847">
        <f t="shared" si="67"/>
        <v>0</v>
      </c>
      <c r="V67" s="847">
        <f t="shared" si="76"/>
        <v>0</v>
      </c>
      <c r="W67" s="839">
        <f t="shared" si="19"/>
        <v>0</v>
      </c>
      <c r="X67" s="839">
        <f t="shared" si="20"/>
        <v>0</v>
      </c>
      <c r="Y67" s="839">
        <f t="shared" si="21"/>
        <v>0</v>
      </c>
      <c r="Z67" s="847">
        <f t="shared" si="50"/>
        <v>0</v>
      </c>
      <c r="AA67" s="848">
        <f t="shared" si="36"/>
        <v>0</v>
      </c>
      <c r="AB67" s="841"/>
      <c r="AC67" s="846">
        <f t="shared" si="37"/>
        <v>52</v>
      </c>
      <c r="AD67" s="847">
        <f t="shared" si="51"/>
        <v>0</v>
      </c>
      <c r="AE67" s="847">
        <f t="shared" si="77"/>
        <v>0</v>
      </c>
      <c r="AF67" s="847">
        <f t="shared" si="78"/>
        <v>0</v>
      </c>
      <c r="AG67" s="847">
        <f t="shared" si="65"/>
        <v>0</v>
      </c>
      <c r="AH67" s="847">
        <f t="shared" si="60"/>
        <v>0</v>
      </c>
      <c r="AI67" s="847">
        <f t="shared" si="68"/>
        <v>0</v>
      </c>
      <c r="AJ67" s="847">
        <f t="shared" si="79"/>
        <v>0</v>
      </c>
      <c r="AK67" s="839">
        <f t="shared" si="23"/>
        <v>0</v>
      </c>
      <c r="AL67" s="839">
        <f t="shared" si="24"/>
        <v>0</v>
      </c>
      <c r="AM67" s="839">
        <f t="shared" si="25"/>
        <v>0</v>
      </c>
      <c r="AN67" s="847">
        <f t="shared" si="53"/>
        <v>0</v>
      </c>
      <c r="AO67" s="848">
        <f t="shared" si="41"/>
        <v>0</v>
      </c>
      <c r="AQ67" s="846">
        <f t="shared" si="42"/>
        <v>52</v>
      </c>
      <c r="AR67" s="847">
        <f t="shared" si="26"/>
        <v>0</v>
      </c>
      <c r="AS67" s="847">
        <f t="shared" si="4"/>
        <v>0</v>
      </c>
      <c r="AT67" s="847">
        <f t="shared" si="5"/>
        <v>0</v>
      </c>
      <c r="AU67" s="847">
        <f t="shared" si="6"/>
        <v>0</v>
      </c>
      <c r="AV67" s="847">
        <f t="shared" si="7"/>
        <v>0</v>
      </c>
      <c r="AW67" s="847">
        <f t="shared" si="8"/>
        <v>0</v>
      </c>
      <c r="AX67" s="847">
        <f t="shared" si="9"/>
        <v>0</v>
      </c>
      <c r="AY67" s="839">
        <f t="shared" si="10"/>
        <v>0</v>
      </c>
      <c r="AZ67" s="839">
        <f t="shared" si="11"/>
        <v>0</v>
      </c>
      <c r="BA67" s="839">
        <f t="shared" si="12"/>
        <v>0</v>
      </c>
      <c r="BB67" s="847">
        <f t="shared" si="13"/>
        <v>0</v>
      </c>
      <c r="BC67" s="848">
        <f t="shared" si="13"/>
        <v>0</v>
      </c>
      <c r="BE67" s="828">
        <f t="shared" si="2"/>
        <v>55</v>
      </c>
      <c r="BF67" s="852" t="str">
        <f t="shared" si="69"/>
        <v>JULIOL</v>
      </c>
      <c r="BG67" s="834">
        <f>$AU$70+$AU$144+$AU$218</f>
        <v>0</v>
      </c>
      <c r="BH67" s="834">
        <f t="shared" si="3"/>
        <v>0</v>
      </c>
      <c r="BI67" s="834">
        <f>$AW$70+$AW$144+$AW$218</f>
        <v>0</v>
      </c>
      <c r="BJ67" s="834">
        <f t="shared" si="3"/>
        <v>0</v>
      </c>
      <c r="BK67" s="834">
        <f>$AS$70+$AS$144+$AS$218</f>
        <v>0</v>
      </c>
      <c r="BL67" s="834">
        <f>$AY$70+$AY$144+$AY$218</f>
        <v>0</v>
      </c>
      <c r="BM67" s="834">
        <f>$AZ$70+$AZ$144+$AZ$218</f>
        <v>0</v>
      </c>
      <c r="BN67" s="834">
        <f t="shared" si="61"/>
        <v>0</v>
      </c>
      <c r="BO67" s="834">
        <f>$BC$70+$BC$144+$BC$218</f>
        <v>0</v>
      </c>
    </row>
    <row r="68" spans="1:67" x14ac:dyDescent="0.25">
      <c r="A68" s="846">
        <f t="shared" si="27"/>
        <v>53</v>
      </c>
      <c r="B68" s="847">
        <f t="shared" si="70"/>
        <v>0</v>
      </c>
      <c r="C68" s="847">
        <f t="shared" si="71"/>
        <v>0</v>
      </c>
      <c r="D68" s="847">
        <f t="shared" si="72"/>
        <v>0</v>
      </c>
      <c r="E68" s="847">
        <f t="shared" si="63"/>
        <v>0</v>
      </c>
      <c r="F68" s="847">
        <f t="shared" si="54"/>
        <v>0</v>
      </c>
      <c r="G68" s="847">
        <f t="shared" si="66"/>
        <v>0</v>
      </c>
      <c r="H68" s="847">
        <f t="shared" si="73"/>
        <v>0</v>
      </c>
      <c r="I68" s="839">
        <f t="shared" si="15"/>
        <v>0</v>
      </c>
      <c r="J68" s="839">
        <f t="shared" si="16"/>
        <v>0</v>
      </c>
      <c r="K68" s="839">
        <f t="shared" si="17"/>
        <v>0</v>
      </c>
      <c r="L68" s="847">
        <f t="shared" si="47"/>
        <v>0</v>
      </c>
      <c r="M68" s="848">
        <f t="shared" si="31"/>
        <v>0</v>
      </c>
      <c r="N68" s="841"/>
      <c r="O68" s="846">
        <f t="shared" si="32"/>
        <v>53</v>
      </c>
      <c r="P68" s="847">
        <f t="shared" si="48"/>
        <v>0</v>
      </c>
      <c r="Q68" s="847">
        <f t="shared" si="74"/>
        <v>0</v>
      </c>
      <c r="R68" s="847">
        <f t="shared" si="75"/>
        <v>0</v>
      </c>
      <c r="S68" s="847">
        <f t="shared" si="64"/>
        <v>0</v>
      </c>
      <c r="T68" s="847">
        <f t="shared" si="59"/>
        <v>0</v>
      </c>
      <c r="U68" s="847">
        <f t="shared" si="67"/>
        <v>0</v>
      </c>
      <c r="V68" s="847">
        <f t="shared" si="76"/>
        <v>0</v>
      </c>
      <c r="W68" s="839">
        <f t="shared" si="19"/>
        <v>0</v>
      </c>
      <c r="X68" s="839">
        <f t="shared" si="20"/>
        <v>0</v>
      </c>
      <c r="Y68" s="839">
        <f t="shared" si="21"/>
        <v>0</v>
      </c>
      <c r="Z68" s="847">
        <f t="shared" si="50"/>
        <v>0</v>
      </c>
      <c r="AA68" s="848">
        <f t="shared" si="36"/>
        <v>0</v>
      </c>
      <c r="AB68" s="841"/>
      <c r="AC68" s="846">
        <f t="shared" si="37"/>
        <v>53</v>
      </c>
      <c r="AD68" s="847">
        <f t="shared" si="51"/>
        <v>0</v>
      </c>
      <c r="AE68" s="847">
        <f t="shared" si="77"/>
        <v>0</v>
      </c>
      <c r="AF68" s="847">
        <f t="shared" si="78"/>
        <v>0</v>
      </c>
      <c r="AG68" s="847">
        <f t="shared" si="65"/>
        <v>0</v>
      </c>
      <c r="AH68" s="847">
        <f t="shared" si="60"/>
        <v>0</v>
      </c>
      <c r="AI68" s="847">
        <f t="shared" si="68"/>
        <v>0</v>
      </c>
      <c r="AJ68" s="847">
        <f t="shared" si="79"/>
        <v>0</v>
      </c>
      <c r="AK68" s="839">
        <f t="shared" si="23"/>
        <v>0</v>
      </c>
      <c r="AL68" s="839">
        <f t="shared" si="24"/>
        <v>0</v>
      </c>
      <c r="AM68" s="839">
        <f t="shared" si="25"/>
        <v>0</v>
      </c>
      <c r="AN68" s="847">
        <f t="shared" si="53"/>
        <v>0</v>
      </c>
      <c r="AO68" s="848">
        <f t="shared" si="41"/>
        <v>0</v>
      </c>
      <c r="AQ68" s="846">
        <f t="shared" si="42"/>
        <v>53</v>
      </c>
      <c r="AR68" s="847">
        <f t="shared" si="26"/>
        <v>0</v>
      </c>
      <c r="AS68" s="847">
        <f t="shared" si="4"/>
        <v>0</v>
      </c>
      <c r="AT68" s="847">
        <f t="shared" si="5"/>
        <v>0</v>
      </c>
      <c r="AU68" s="847">
        <f t="shared" si="6"/>
        <v>0</v>
      </c>
      <c r="AV68" s="847">
        <f t="shared" si="7"/>
        <v>0</v>
      </c>
      <c r="AW68" s="847">
        <f t="shared" si="8"/>
        <v>0</v>
      </c>
      <c r="AX68" s="847">
        <f t="shared" si="9"/>
        <v>0</v>
      </c>
      <c r="AY68" s="839">
        <f t="shared" si="10"/>
        <v>0</v>
      </c>
      <c r="AZ68" s="839">
        <f t="shared" si="11"/>
        <v>0</v>
      </c>
      <c r="BA68" s="839">
        <f t="shared" si="12"/>
        <v>0</v>
      </c>
      <c r="BB68" s="847">
        <f t="shared" si="13"/>
        <v>0</v>
      </c>
      <c r="BC68" s="848">
        <f t="shared" si="13"/>
        <v>0</v>
      </c>
      <c r="BE68" s="828">
        <f t="shared" si="2"/>
        <v>56</v>
      </c>
      <c r="BF68" s="852" t="str">
        <f t="shared" si="69"/>
        <v>AGOST</v>
      </c>
      <c r="BG68" s="834">
        <f>$AU$71+$AU$145+$AU$219</f>
        <v>0</v>
      </c>
      <c r="BH68" s="834">
        <f t="shared" si="3"/>
        <v>0</v>
      </c>
      <c r="BI68" s="834">
        <f>$AW$71+$AW$145+$AW$219</f>
        <v>0</v>
      </c>
      <c r="BJ68" s="834">
        <f t="shared" si="3"/>
        <v>0</v>
      </c>
      <c r="BK68" s="834">
        <f>$AS$71+$AS$145+$AS$219</f>
        <v>0</v>
      </c>
      <c r="BL68" s="834">
        <f>$AY$71+$AY$145+$AY$219</f>
        <v>0</v>
      </c>
      <c r="BM68" s="834">
        <f>$AZ$71+$AZ$145+$AZ$219</f>
        <v>0</v>
      </c>
      <c r="BN68" s="834">
        <f t="shared" si="61"/>
        <v>0</v>
      </c>
      <c r="BO68" s="834">
        <f>$BC$71+$BC$145+$BC$219</f>
        <v>0</v>
      </c>
    </row>
    <row r="69" spans="1:67" x14ac:dyDescent="0.25">
      <c r="A69" s="846">
        <f t="shared" si="27"/>
        <v>54</v>
      </c>
      <c r="B69" s="847">
        <f t="shared" si="70"/>
        <v>0</v>
      </c>
      <c r="C69" s="847">
        <f t="shared" si="71"/>
        <v>0</v>
      </c>
      <c r="D69" s="847">
        <f t="shared" si="72"/>
        <v>0</v>
      </c>
      <c r="E69" s="847">
        <f t="shared" si="63"/>
        <v>0</v>
      </c>
      <c r="F69" s="847">
        <f t="shared" si="54"/>
        <v>0</v>
      </c>
      <c r="G69" s="847">
        <f t="shared" si="66"/>
        <v>0</v>
      </c>
      <c r="H69" s="847">
        <f t="shared" si="73"/>
        <v>0</v>
      </c>
      <c r="I69" s="839">
        <f t="shared" si="15"/>
        <v>0</v>
      </c>
      <c r="J69" s="839">
        <f t="shared" si="16"/>
        <v>0</v>
      </c>
      <c r="K69" s="839">
        <f t="shared" si="17"/>
        <v>0</v>
      </c>
      <c r="L69" s="847">
        <f t="shared" si="47"/>
        <v>0</v>
      </c>
      <c r="M69" s="848">
        <f>M68-E69</f>
        <v>0</v>
      </c>
      <c r="N69" s="841"/>
      <c r="O69" s="846">
        <f t="shared" si="32"/>
        <v>54</v>
      </c>
      <c r="P69" s="847">
        <f t="shared" si="48"/>
        <v>0</v>
      </c>
      <c r="Q69" s="847">
        <f t="shared" si="74"/>
        <v>0</v>
      </c>
      <c r="R69" s="847">
        <f t="shared" si="75"/>
        <v>0</v>
      </c>
      <c r="S69" s="847">
        <f t="shared" si="64"/>
        <v>0</v>
      </c>
      <c r="T69" s="847">
        <f t="shared" si="59"/>
        <v>0</v>
      </c>
      <c r="U69" s="847">
        <f t="shared" si="67"/>
        <v>0</v>
      </c>
      <c r="V69" s="847">
        <f t="shared" si="76"/>
        <v>0</v>
      </c>
      <c r="W69" s="839">
        <f t="shared" si="19"/>
        <v>0</v>
      </c>
      <c r="X69" s="839">
        <f t="shared" si="20"/>
        <v>0</v>
      </c>
      <c r="Y69" s="839">
        <f t="shared" si="21"/>
        <v>0</v>
      </c>
      <c r="Z69" s="847">
        <f t="shared" si="50"/>
        <v>0</v>
      </c>
      <c r="AA69" s="848">
        <f>AA68-S69</f>
        <v>0</v>
      </c>
      <c r="AB69" s="841"/>
      <c r="AC69" s="846">
        <f t="shared" si="37"/>
        <v>54</v>
      </c>
      <c r="AD69" s="847">
        <f t="shared" si="51"/>
        <v>0</v>
      </c>
      <c r="AE69" s="847">
        <f t="shared" si="77"/>
        <v>0</v>
      </c>
      <c r="AF69" s="847">
        <f t="shared" si="78"/>
        <v>0</v>
      </c>
      <c r="AG69" s="847">
        <f t="shared" si="65"/>
        <v>0</v>
      </c>
      <c r="AH69" s="847">
        <f t="shared" si="60"/>
        <v>0</v>
      </c>
      <c r="AI69" s="847">
        <f t="shared" si="68"/>
        <v>0</v>
      </c>
      <c r="AJ69" s="847">
        <f t="shared" si="79"/>
        <v>0</v>
      </c>
      <c r="AK69" s="839">
        <f t="shared" si="23"/>
        <v>0</v>
      </c>
      <c r="AL69" s="839">
        <f t="shared" si="24"/>
        <v>0</v>
      </c>
      <c r="AM69" s="839">
        <f t="shared" si="25"/>
        <v>0</v>
      </c>
      <c r="AN69" s="847">
        <f t="shared" si="53"/>
        <v>0</v>
      </c>
      <c r="AO69" s="848">
        <f>AO68-AG69</f>
        <v>0</v>
      </c>
      <c r="AQ69" s="846">
        <f t="shared" si="42"/>
        <v>54</v>
      </c>
      <c r="AR69" s="847">
        <f t="shared" si="26"/>
        <v>0</v>
      </c>
      <c r="AS69" s="847">
        <f t="shared" si="4"/>
        <v>0</v>
      </c>
      <c r="AT69" s="847">
        <f t="shared" si="5"/>
        <v>0</v>
      </c>
      <c r="AU69" s="847">
        <f t="shared" si="6"/>
        <v>0</v>
      </c>
      <c r="AV69" s="847">
        <f t="shared" si="7"/>
        <v>0</v>
      </c>
      <c r="AW69" s="847">
        <f t="shared" si="8"/>
        <v>0</v>
      </c>
      <c r="AX69" s="847">
        <f t="shared" si="9"/>
        <v>0</v>
      </c>
      <c r="AY69" s="839">
        <f t="shared" si="10"/>
        <v>0</v>
      </c>
      <c r="AZ69" s="839">
        <f t="shared" si="11"/>
        <v>0</v>
      </c>
      <c r="BA69" s="839">
        <f t="shared" si="12"/>
        <v>0</v>
      </c>
      <c r="BB69" s="847">
        <f t="shared" si="13"/>
        <v>0</v>
      </c>
      <c r="BC69" s="848">
        <f t="shared" si="13"/>
        <v>0</v>
      </c>
      <c r="BE69" s="828">
        <f t="shared" si="2"/>
        <v>57</v>
      </c>
      <c r="BF69" s="852" t="str">
        <f t="shared" si="69"/>
        <v>SETEMBRE</v>
      </c>
      <c r="BG69" s="834">
        <f>$AU$72+$AU$146+$AU$220</f>
        <v>0</v>
      </c>
      <c r="BH69" s="834">
        <f t="shared" si="3"/>
        <v>0</v>
      </c>
      <c r="BI69" s="834">
        <f>$AW$72+$AW$146+$AW$220</f>
        <v>0</v>
      </c>
      <c r="BJ69" s="834">
        <f t="shared" si="3"/>
        <v>0</v>
      </c>
      <c r="BK69" s="834">
        <f>$AS$72+$AS$146+$AS$220</f>
        <v>0</v>
      </c>
      <c r="BL69" s="834">
        <f>$AY$72+$AY$146+$AY$220</f>
        <v>0</v>
      </c>
      <c r="BM69" s="834">
        <f>$AZ$72+$AZ$146+$AZ$220</f>
        <v>0</v>
      </c>
      <c r="BN69" s="834">
        <f t="shared" si="61"/>
        <v>0</v>
      </c>
      <c r="BO69" s="834">
        <f>$BC$72+$BC$146+$BC$220</f>
        <v>0</v>
      </c>
    </row>
    <row r="70" spans="1:67" x14ac:dyDescent="0.25">
      <c r="A70" s="846">
        <f t="shared" si="27"/>
        <v>55</v>
      </c>
      <c r="B70" s="847">
        <f t="shared" si="70"/>
        <v>0</v>
      </c>
      <c r="C70" s="847">
        <f t="shared" si="71"/>
        <v>0</v>
      </c>
      <c r="D70" s="847">
        <f t="shared" si="72"/>
        <v>0</v>
      </c>
      <c r="E70" s="847">
        <f t="shared" si="63"/>
        <v>0</v>
      </c>
      <c r="F70" s="847">
        <f t="shared" si="54"/>
        <v>0</v>
      </c>
      <c r="G70" s="847">
        <f t="shared" si="66"/>
        <v>0</v>
      </c>
      <c r="H70" s="847">
        <f t="shared" si="73"/>
        <v>0</v>
      </c>
      <c r="I70" s="839">
        <f t="shared" si="15"/>
        <v>0</v>
      </c>
      <c r="J70" s="839">
        <f t="shared" si="16"/>
        <v>0</v>
      </c>
      <c r="K70" s="839">
        <f t="shared" si="17"/>
        <v>0</v>
      </c>
      <c r="L70" s="847">
        <f t="shared" si="47"/>
        <v>0</v>
      </c>
      <c r="M70" s="848">
        <f t="shared" si="31"/>
        <v>0</v>
      </c>
      <c r="N70" s="841"/>
      <c r="O70" s="846">
        <f t="shared" si="32"/>
        <v>55</v>
      </c>
      <c r="P70" s="847">
        <f t="shared" si="48"/>
        <v>0</v>
      </c>
      <c r="Q70" s="847">
        <f t="shared" si="74"/>
        <v>0</v>
      </c>
      <c r="R70" s="847">
        <f t="shared" si="75"/>
        <v>0</v>
      </c>
      <c r="S70" s="847">
        <f t="shared" si="64"/>
        <v>0</v>
      </c>
      <c r="T70" s="847">
        <f t="shared" si="59"/>
        <v>0</v>
      </c>
      <c r="U70" s="847">
        <f t="shared" si="67"/>
        <v>0</v>
      </c>
      <c r="V70" s="847">
        <f t="shared" si="76"/>
        <v>0</v>
      </c>
      <c r="W70" s="839">
        <f t="shared" si="19"/>
        <v>0</v>
      </c>
      <c r="X70" s="839">
        <f t="shared" si="20"/>
        <v>0</v>
      </c>
      <c r="Y70" s="839">
        <f t="shared" si="21"/>
        <v>0</v>
      </c>
      <c r="Z70" s="847">
        <f t="shared" si="50"/>
        <v>0</v>
      </c>
      <c r="AA70" s="848">
        <f t="shared" ref="AA70:AA87" si="80">AA69-S70</f>
        <v>0</v>
      </c>
      <c r="AB70" s="841"/>
      <c r="AC70" s="846">
        <f t="shared" si="37"/>
        <v>55</v>
      </c>
      <c r="AD70" s="847">
        <f t="shared" si="51"/>
        <v>0</v>
      </c>
      <c r="AE70" s="847">
        <f t="shared" si="77"/>
        <v>0</v>
      </c>
      <c r="AF70" s="847">
        <f t="shared" si="78"/>
        <v>0</v>
      </c>
      <c r="AG70" s="847">
        <f t="shared" si="65"/>
        <v>0</v>
      </c>
      <c r="AH70" s="847">
        <f t="shared" si="60"/>
        <v>0</v>
      </c>
      <c r="AI70" s="847">
        <f t="shared" si="68"/>
        <v>0</v>
      </c>
      <c r="AJ70" s="847">
        <f t="shared" si="79"/>
        <v>0</v>
      </c>
      <c r="AK70" s="839">
        <f t="shared" si="23"/>
        <v>0</v>
      </c>
      <c r="AL70" s="839">
        <f t="shared" si="24"/>
        <v>0</v>
      </c>
      <c r="AM70" s="839">
        <f t="shared" si="25"/>
        <v>0</v>
      </c>
      <c r="AN70" s="847">
        <f t="shared" si="53"/>
        <v>0</v>
      </c>
      <c r="AO70" s="848">
        <f t="shared" ref="AO70:AO87" si="81">AO69-AG70</f>
        <v>0</v>
      </c>
      <c r="AQ70" s="846">
        <f t="shared" si="42"/>
        <v>55</v>
      </c>
      <c r="AR70" s="847">
        <f t="shared" si="26"/>
        <v>0</v>
      </c>
      <c r="AS70" s="847">
        <f t="shared" si="4"/>
        <v>0</v>
      </c>
      <c r="AT70" s="847">
        <f t="shared" si="5"/>
        <v>0</v>
      </c>
      <c r="AU70" s="847">
        <f t="shared" si="6"/>
        <v>0</v>
      </c>
      <c r="AV70" s="847">
        <f t="shared" si="7"/>
        <v>0</v>
      </c>
      <c r="AW70" s="847">
        <f t="shared" si="8"/>
        <v>0</v>
      </c>
      <c r="AX70" s="847">
        <f t="shared" si="9"/>
        <v>0</v>
      </c>
      <c r="AY70" s="839">
        <f t="shared" si="10"/>
        <v>0</v>
      </c>
      <c r="AZ70" s="839">
        <f t="shared" si="11"/>
        <v>0</v>
      </c>
      <c r="BA70" s="839">
        <f t="shared" si="12"/>
        <v>0</v>
      </c>
      <c r="BB70" s="847">
        <f t="shared" si="13"/>
        <v>0</v>
      </c>
      <c r="BC70" s="848">
        <f t="shared" si="13"/>
        <v>0</v>
      </c>
      <c r="BE70" s="828">
        <f t="shared" si="2"/>
        <v>58</v>
      </c>
      <c r="BF70" s="852" t="str">
        <f t="shared" si="69"/>
        <v>OCTUBRE</v>
      </c>
      <c r="BG70" s="834">
        <f>$AU$73+$AU$147+$AU$221</f>
        <v>0</v>
      </c>
      <c r="BH70" s="834">
        <f t="shared" si="3"/>
        <v>0</v>
      </c>
      <c r="BI70" s="834">
        <f>$AW$73+$AW$147+$AW$221</f>
        <v>0</v>
      </c>
      <c r="BJ70" s="834">
        <f t="shared" si="3"/>
        <v>0</v>
      </c>
      <c r="BK70" s="834">
        <f>$AS$73+$AS$147+$AS$221</f>
        <v>0</v>
      </c>
      <c r="BL70" s="834">
        <f>$AY$73+$AY$147+$AY$221</f>
        <v>0</v>
      </c>
      <c r="BM70" s="834">
        <f>$AZ$73+$AZ$147+$AZ$221</f>
        <v>0</v>
      </c>
      <c r="BN70" s="834">
        <f t="shared" si="61"/>
        <v>0</v>
      </c>
      <c r="BO70" s="834">
        <f>$BC$73+$BC$147+$BC$221</f>
        <v>0</v>
      </c>
    </row>
    <row r="71" spans="1:67" x14ac:dyDescent="0.25">
      <c r="A71" s="846">
        <f t="shared" si="27"/>
        <v>56</v>
      </c>
      <c r="B71" s="847">
        <f t="shared" si="70"/>
        <v>0</v>
      </c>
      <c r="C71" s="847">
        <f t="shared" si="71"/>
        <v>0</v>
      </c>
      <c r="D71" s="847">
        <f t="shared" si="72"/>
        <v>0</v>
      </c>
      <c r="E71" s="847">
        <f t="shared" si="63"/>
        <v>0</v>
      </c>
      <c r="F71" s="847">
        <f t="shared" si="54"/>
        <v>0</v>
      </c>
      <c r="G71" s="847">
        <f t="shared" si="66"/>
        <v>0</v>
      </c>
      <c r="H71" s="847">
        <f t="shared" si="73"/>
        <v>0</v>
      </c>
      <c r="I71" s="839">
        <f t="shared" si="15"/>
        <v>0</v>
      </c>
      <c r="J71" s="839">
        <f t="shared" si="16"/>
        <v>0</v>
      </c>
      <c r="K71" s="839">
        <f t="shared" si="17"/>
        <v>0</v>
      </c>
      <c r="L71" s="847">
        <f t="shared" si="47"/>
        <v>0</v>
      </c>
      <c r="M71" s="848">
        <f t="shared" si="31"/>
        <v>0</v>
      </c>
      <c r="N71" s="841"/>
      <c r="O71" s="846">
        <f t="shared" si="32"/>
        <v>56</v>
      </c>
      <c r="P71" s="847">
        <f t="shared" si="48"/>
        <v>0</v>
      </c>
      <c r="Q71" s="847">
        <f t="shared" si="74"/>
        <v>0</v>
      </c>
      <c r="R71" s="847">
        <f t="shared" si="75"/>
        <v>0</v>
      </c>
      <c r="S71" s="847">
        <f t="shared" si="64"/>
        <v>0</v>
      </c>
      <c r="T71" s="847">
        <f t="shared" si="59"/>
        <v>0</v>
      </c>
      <c r="U71" s="847">
        <f t="shared" si="67"/>
        <v>0</v>
      </c>
      <c r="V71" s="847">
        <f t="shared" si="76"/>
        <v>0</v>
      </c>
      <c r="W71" s="839">
        <f t="shared" si="19"/>
        <v>0</v>
      </c>
      <c r="X71" s="839">
        <f t="shared" si="20"/>
        <v>0</v>
      </c>
      <c r="Y71" s="839">
        <f t="shared" si="21"/>
        <v>0</v>
      </c>
      <c r="Z71" s="847">
        <f t="shared" si="50"/>
        <v>0</v>
      </c>
      <c r="AA71" s="848">
        <f t="shared" si="80"/>
        <v>0</v>
      </c>
      <c r="AB71" s="841"/>
      <c r="AC71" s="846">
        <f t="shared" si="37"/>
        <v>56</v>
      </c>
      <c r="AD71" s="847">
        <f t="shared" si="51"/>
        <v>0</v>
      </c>
      <c r="AE71" s="847">
        <f t="shared" si="77"/>
        <v>0</v>
      </c>
      <c r="AF71" s="847">
        <f t="shared" si="78"/>
        <v>0</v>
      </c>
      <c r="AG71" s="847">
        <f t="shared" si="65"/>
        <v>0</v>
      </c>
      <c r="AH71" s="847">
        <f t="shared" si="60"/>
        <v>0</v>
      </c>
      <c r="AI71" s="847">
        <f t="shared" si="68"/>
        <v>0</v>
      </c>
      <c r="AJ71" s="847">
        <f t="shared" si="79"/>
        <v>0</v>
      </c>
      <c r="AK71" s="839">
        <f t="shared" si="23"/>
        <v>0</v>
      </c>
      <c r="AL71" s="839">
        <f t="shared" si="24"/>
        <v>0</v>
      </c>
      <c r="AM71" s="839">
        <f t="shared" si="25"/>
        <v>0</v>
      </c>
      <c r="AN71" s="847">
        <f t="shared" si="53"/>
        <v>0</v>
      </c>
      <c r="AO71" s="848">
        <f t="shared" si="81"/>
        <v>0</v>
      </c>
      <c r="AQ71" s="846">
        <f t="shared" si="42"/>
        <v>56</v>
      </c>
      <c r="AR71" s="847">
        <f t="shared" si="26"/>
        <v>0</v>
      </c>
      <c r="AS71" s="847">
        <f t="shared" si="4"/>
        <v>0</v>
      </c>
      <c r="AT71" s="847">
        <f t="shared" si="5"/>
        <v>0</v>
      </c>
      <c r="AU71" s="847">
        <f t="shared" si="6"/>
        <v>0</v>
      </c>
      <c r="AV71" s="847">
        <f t="shared" si="7"/>
        <v>0</v>
      </c>
      <c r="AW71" s="847">
        <f t="shared" si="8"/>
        <v>0</v>
      </c>
      <c r="AX71" s="847">
        <f t="shared" si="9"/>
        <v>0</v>
      </c>
      <c r="AY71" s="839">
        <f t="shared" si="10"/>
        <v>0</v>
      </c>
      <c r="AZ71" s="839">
        <f t="shared" si="11"/>
        <v>0</v>
      </c>
      <c r="BA71" s="839">
        <f t="shared" si="12"/>
        <v>0</v>
      </c>
      <c r="BB71" s="847">
        <f t="shared" si="13"/>
        <v>0</v>
      </c>
      <c r="BC71" s="848">
        <f t="shared" si="13"/>
        <v>0</v>
      </c>
      <c r="BE71" s="828">
        <f t="shared" si="2"/>
        <v>59</v>
      </c>
      <c r="BF71" s="852" t="str">
        <f t="shared" si="69"/>
        <v>NOVEMBRE</v>
      </c>
      <c r="BG71" s="834">
        <f>$AU$74+$AU$148+$AU$222</f>
        <v>0</v>
      </c>
      <c r="BH71" s="834">
        <f t="shared" si="3"/>
        <v>0</v>
      </c>
      <c r="BI71" s="834">
        <f>$AW$74+$AW$148+$AW$222</f>
        <v>0</v>
      </c>
      <c r="BJ71" s="834">
        <f t="shared" si="3"/>
        <v>0</v>
      </c>
      <c r="BK71" s="834">
        <f>$AS$74+$AS$148+$AS$222</f>
        <v>0</v>
      </c>
      <c r="BL71" s="834">
        <f>$AY$74+$AY$148+$AY$222</f>
        <v>0</v>
      </c>
      <c r="BM71" s="834">
        <f>$AZ$74+$AZ$148+$AZ$222</f>
        <v>0</v>
      </c>
      <c r="BN71" s="834">
        <f t="shared" si="61"/>
        <v>0</v>
      </c>
      <c r="BO71" s="834">
        <f>$BC$74+$BC$148+$BC$222</f>
        <v>0</v>
      </c>
    </row>
    <row r="72" spans="1:67" x14ac:dyDescent="0.25">
      <c r="A72" s="846">
        <f t="shared" si="27"/>
        <v>57</v>
      </c>
      <c r="B72" s="847">
        <f t="shared" si="70"/>
        <v>0</v>
      </c>
      <c r="C72" s="847">
        <f t="shared" si="71"/>
        <v>0</v>
      </c>
      <c r="D72" s="847">
        <f t="shared" si="72"/>
        <v>0</v>
      </c>
      <c r="E72" s="847">
        <f t="shared" si="63"/>
        <v>0</v>
      </c>
      <c r="F72" s="847">
        <f t="shared" si="54"/>
        <v>0</v>
      </c>
      <c r="G72" s="847">
        <f t="shared" si="66"/>
        <v>0</v>
      </c>
      <c r="H72" s="847">
        <f t="shared" si="73"/>
        <v>0</v>
      </c>
      <c r="I72" s="839">
        <f t="shared" si="15"/>
        <v>0</v>
      </c>
      <c r="J72" s="839">
        <f t="shared" si="16"/>
        <v>0</v>
      </c>
      <c r="K72" s="839">
        <f t="shared" si="17"/>
        <v>0</v>
      </c>
      <c r="L72" s="847">
        <f t="shared" si="47"/>
        <v>0</v>
      </c>
      <c r="M72" s="848">
        <f t="shared" si="31"/>
        <v>0</v>
      </c>
      <c r="N72" s="841"/>
      <c r="O72" s="846">
        <f t="shared" si="32"/>
        <v>57</v>
      </c>
      <c r="P72" s="847">
        <f t="shared" si="48"/>
        <v>0</v>
      </c>
      <c r="Q72" s="847">
        <f t="shared" si="74"/>
        <v>0</v>
      </c>
      <c r="R72" s="847">
        <f t="shared" si="75"/>
        <v>0</v>
      </c>
      <c r="S72" s="847">
        <f t="shared" si="64"/>
        <v>0</v>
      </c>
      <c r="T72" s="847">
        <f t="shared" si="59"/>
        <v>0</v>
      </c>
      <c r="U72" s="847">
        <f t="shared" si="67"/>
        <v>0</v>
      </c>
      <c r="V72" s="847">
        <f t="shared" si="76"/>
        <v>0</v>
      </c>
      <c r="W72" s="839">
        <f t="shared" si="19"/>
        <v>0</v>
      </c>
      <c r="X72" s="839">
        <f t="shared" si="20"/>
        <v>0</v>
      </c>
      <c r="Y72" s="839">
        <f t="shared" si="21"/>
        <v>0</v>
      </c>
      <c r="Z72" s="847">
        <f t="shared" si="50"/>
        <v>0</v>
      </c>
      <c r="AA72" s="848">
        <f t="shared" si="80"/>
        <v>0</v>
      </c>
      <c r="AB72" s="841"/>
      <c r="AC72" s="846">
        <f t="shared" si="37"/>
        <v>57</v>
      </c>
      <c r="AD72" s="847">
        <f t="shared" si="51"/>
        <v>0</v>
      </c>
      <c r="AE72" s="847">
        <f t="shared" si="77"/>
        <v>0</v>
      </c>
      <c r="AF72" s="847">
        <f t="shared" si="78"/>
        <v>0</v>
      </c>
      <c r="AG72" s="847">
        <f t="shared" si="65"/>
        <v>0</v>
      </c>
      <c r="AH72" s="847">
        <f t="shared" si="60"/>
        <v>0</v>
      </c>
      <c r="AI72" s="847">
        <f t="shared" si="68"/>
        <v>0</v>
      </c>
      <c r="AJ72" s="847">
        <f t="shared" si="79"/>
        <v>0</v>
      </c>
      <c r="AK72" s="839">
        <f t="shared" si="23"/>
        <v>0</v>
      </c>
      <c r="AL72" s="839">
        <f t="shared" si="24"/>
        <v>0</v>
      </c>
      <c r="AM72" s="839">
        <f t="shared" si="25"/>
        <v>0</v>
      </c>
      <c r="AN72" s="847">
        <f t="shared" si="53"/>
        <v>0</v>
      </c>
      <c r="AO72" s="848">
        <f t="shared" si="81"/>
        <v>0</v>
      </c>
      <c r="AQ72" s="846">
        <f t="shared" si="42"/>
        <v>57</v>
      </c>
      <c r="AR72" s="847">
        <f t="shared" si="26"/>
        <v>0</v>
      </c>
      <c r="AS72" s="847">
        <f t="shared" si="4"/>
        <v>0</v>
      </c>
      <c r="AT72" s="847">
        <f t="shared" si="5"/>
        <v>0</v>
      </c>
      <c r="AU72" s="847">
        <f t="shared" si="6"/>
        <v>0</v>
      </c>
      <c r="AV72" s="847">
        <f t="shared" si="7"/>
        <v>0</v>
      </c>
      <c r="AW72" s="847">
        <f t="shared" si="8"/>
        <v>0</v>
      </c>
      <c r="AX72" s="847">
        <f t="shared" si="9"/>
        <v>0</v>
      </c>
      <c r="AY72" s="839">
        <f t="shared" si="10"/>
        <v>0</v>
      </c>
      <c r="AZ72" s="839">
        <f t="shared" si="11"/>
        <v>0</v>
      </c>
      <c r="BA72" s="839">
        <f t="shared" si="12"/>
        <v>0</v>
      </c>
      <c r="BB72" s="847">
        <f t="shared" si="13"/>
        <v>0</v>
      </c>
      <c r="BC72" s="848">
        <f t="shared" si="13"/>
        <v>0</v>
      </c>
      <c r="BE72" s="828">
        <f t="shared" si="2"/>
        <v>60</v>
      </c>
      <c r="BF72" s="852" t="str">
        <f t="shared" si="69"/>
        <v>DESEMBRE</v>
      </c>
      <c r="BG72" s="834">
        <f>$AU$75+$AU$149+$AU$223</f>
        <v>0</v>
      </c>
      <c r="BH72" s="834">
        <f t="shared" si="3"/>
        <v>0</v>
      </c>
      <c r="BI72" s="834">
        <f>$AW$75+$AW$149+$AW$223</f>
        <v>0</v>
      </c>
      <c r="BJ72" s="834">
        <f t="shared" si="3"/>
        <v>0</v>
      </c>
      <c r="BK72" s="834">
        <f>$AS$75+$AS$149+$AS$223</f>
        <v>0</v>
      </c>
      <c r="BL72" s="834">
        <f>$AY$75+$AY$149+$AY$223</f>
        <v>0</v>
      </c>
      <c r="BM72" s="834">
        <f>$AZ$75+$AZ$149+$AZ$223</f>
        <v>0</v>
      </c>
      <c r="BN72" s="834">
        <f t="shared" si="61"/>
        <v>0</v>
      </c>
      <c r="BO72" s="834">
        <f>$BC$75+$BC$149+$BC$223</f>
        <v>0</v>
      </c>
    </row>
    <row r="73" spans="1:67" x14ac:dyDescent="0.25">
      <c r="A73" s="846">
        <f t="shared" si="27"/>
        <v>58</v>
      </c>
      <c r="B73" s="847">
        <f t="shared" si="70"/>
        <v>0</v>
      </c>
      <c r="C73" s="847">
        <f t="shared" si="71"/>
        <v>0</v>
      </c>
      <c r="D73" s="847">
        <f t="shared" si="72"/>
        <v>0</v>
      </c>
      <c r="E73" s="847">
        <f t="shared" si="63"/>
        <v>0</v>
      </c>
      <c r="F73" s="847">
        <f t="shared" si="54"/>
        <v>0</v>
      </c>
      <c r="G73" s="847">
        <f t="shared" si="66"/>
        <v>0</v>
      </c>
      <c r="H73" s="847">
        <f t="shared" si="73"/>
        <v>0</v>
      </c>
      <c r="I73" s="839">
        <f t="shared" si="15"/>
        <v>0</v>
      </c>
      <c r="J73" s="839">
        <f t="shared" si="16"/>
        <v>0</v>
      </c>
      <c r="K73" s="839">
        <f t="shared" si="17"/>
        <v>0</v>
      </c>
      <c r="L73" s="847">
        <f t="shared" si="47"/>
        <v>0</v>
      </c>
      <c r="M73" s="848">
        <f t="shared" si="31"/>
        <v>0</v>
      </c>
      <c r="N73" s="841"/>
      <c r="O73" s="846">
        <f t="shared" si="32"/>
        <v>58</v>
      </c>
      <c r="P73" s="847">
        <f t="shared" si="48"/>
        <v>0</v>
      </c>
      <c r="Q73" s="847">
        <f t="shared" si="74"/>
        <v>0</v>
      </c>
      <c r="R73" s="847">
        <f t="shared" si="75"/>
        <v>0</v>
      </c>
      <c r="S73" s="847">
        <f t="shared" si="64"/>
        <v>0</v>
      </c>
      <c r="T73" s="847">
        <f t="shared" si="59"/>
        <v>0</v>
      </c>
      <c r="U73" s="847">
        <f t="shared" si="67"/>
        <v>0</v>
      </c>
      <c r="V73" s="847">
        <f t="shared" si="76"/>
        <v>0</v>
      </c>
      <c r="W73" s="839">
        <f t="shared" si="19"/>
        <v>0</v>
      </c>
      <c r="X73" s="839">
        <f t="shared" si="20"/>
        <v>0</v>
      </c>
      <c r="Y73" s="839">
        <f t="shared" si="21"/>
        <v>0</v>
      </c>
      <c r="Z73" s="847">
        <f t="shared" si="50"/>
        <v>0</v>
      </c>
      <c r="AA73" s="848">
        <f t="shared" si="80"/>
        <v>0</v>
      </c>
      <c r="AB73" s="841"/>
      <c r="AC73" s="846">
        <f t="shared" si="37"/>
        <v>58</v>
      </c>
      <c r="AD73" s="847">
        <f t="shared" si="51"/>
        <v>0</v>
      </c>
      <c r="AE73" s="847">
        <f t="shared" si="77"/>
        <v>0</v>
      </c>
      <c r="AF73" s="847">
        <f t="shared" si="78"/>
        <v>0</v>
      </c>
      <c r="AG73" s="847">
        <f t="shared" si="65"/>
        <v>0</v>
      </c>
      <c r="AH73" s="847">
        <f t="shared" si="60"/>
        <v>0</v>
      </c>
      <c r="AI73" s="847">
        <f t="shared" si="68"/>
        <v>0</v>
      </c>
      <c r="AJ73" s="847">
        <f t="shared" si="79"/>
        <v>0</v>
      </c>
      <c r="AK73" s="839">
        <f t="shared" si="23"/>
        <v>0</v>
      </c>
      <c r="AL73" s="839">
        <f t="shared" si="24"/>
        <v>0</v>
      </c>
      <c r="AM73" s="839">
        <f t="shared" si="25"/>
        <v>0</v>
      </c>
      <c r="AN73" s="847">
        <f t="shared" si="53"/>
        <v>0</v>
      </c>
      <c r="AO73" s="848">
        <f t="shared" si="81"/>
        <v>0</v>
      </c>
      <c r="AQ73" s="846">
        <f t="shared" si="42"/>
        <v>58</v>
      </c>
      <c r="AR73" s="847">
        <f t="shared" si="26"/>
        <v>0</v>
      </c>
      <c r="AS73" s="847">
        <f t="shared" si="4"/>
        <v>0</v>
      </c>
      <c r="AT73" s="847">
        <f t="shared" si="5"/>
        <v>0</v>
      </c>
      <c r="AU73" s="847">
        <f t="shared" si="6"/>
        <v>0</v>
      </c>
      <c r="AV73" s="847">
        <f t="shared" si="7"/>
        <v>0</v>
      </c>
      <c r="AW73" s="847">
        <f t="shared" si="8"/>
        <v>0</v>
      </c>
      <c r="AX73" s="847">
        <f t="shared" si="9"/>
        <v>0</v>
      </c>
      <c r="AY73" s="839">
        <f t="shared" si="10"/>
        <v>0</v>
      </c>
      <c r="AZ73" s="839">
        <f t="shared" si="11"/>
        <v>0</v>
      </c>
      <c r="BA73" s="839">
        <f t="shared" si="12"/>
        <v>0</v>
      </c>
      <c r="BB73" s="847">
        <f t="shared" si="13"/>
        <v>0</v>
      </c>
      <c r="BC73" s="848">
        <f t="shared" si="13"/>
        <v>0</v>
      </c>
      <c r="BE73" s="828">
        <f t="shared" si="2"/>
        <v>61</v>
      </c>
      <c r="BF73" s="852" t="str">
        <f t="shared" si="69"/>
        <v>GENER</v>
      </c>
      <c r="BG73" s="834">
        <f>$AU$76+$AU$150+$AU$224</f>
        <v>0</v>
      </c>
      <c r="BH73" s="834">
        <f t="shared" si="3"/>
        <v>0</v>
      </c>
      <c r="BI73" s="834">
        <f>$AW$76+$AW$150+$AW$224</f>
        <v>0</v>
      </c>
      <c r="BJ73" s="834">
        <f t="shared" si="3"/>
        <v>0</v>
      </c>
      <c r="BK73" s="834">
        <f>$AS$76+$AS$150+$AS$224</f>
        <v>0</v>
      </c>
      <c r="BL73" s="834">
        <f>$AY$76+$AY$150+$AY$224</f>
        <v>0</v>
      </c>
      <c r="BM73" s="834">
        <f>$AZ$76+$AZ$150+$AZ$224</f>
        <v>0</v>
      </c>
      <c r="BN73" s="834">
        <f t="shared" si="61"/>
        <v>0</v>
      </c>
      <c r="BO73" s="834">
        <f>$BC$76+$BC$150+$BC$224</f>
        <v>0</v>
      </c>
    </row>
    <row r="74" spans="1:67" x14ac:dyDescent="0.25">
      <c r="A74" s="846">
        <f t="shared" si="27"/>
        <v>59</v>
      </c>
      <c r="B74" s="847">
        <f t="shared" si="70"/>
        <v>0</v>
      </c>
      <c r="C74" s="847">
        <f t="shared" si="71"/>
        <v>0</v>
      </c>
      <c r="D74" s="847">
        <f t="shared" si="72"/>
        <v>0</v>
      </c>
      <c r="E74" s="847">
        <f t="shared" si="63"/>
        <v>0</v>
      </c>
      <c r="F74" s="847">
        <f t="shared" si="54"/>
        <v>0</v>
      </c>
      <c r="G74" s="847">
        <f t="shared" si="66"/>
        <v>0</v>
      </c>
      <c r="H74" s="847">
        <f t="shared" si="73"/>
        <v>0</v>
      </c>
      <c r="I74" s="839">
        <f t="shared" si="15"/>
        <v>0</v>
      </c>
      <c r="J74" s="839">
        <f t="shared" si="16"/>
        <v>0</v>
      </c>
      <c r="K74" s="839">
        <f t="shared" si="17"/>
        <v>0</v>
      </c>
      <c r="L74" s="847">
        <f t="shared" si="47"/>
        <v>0</v>
      </c>
      <c r="M74" s="848">
        <f t="shared" si="31"/>
        <v>0</v>
      </c>
      <c r="N74" s="841"/>
      <c r="O74" s="846">
        <f t="shared" si="32"/>
        <v>59</v>
      </c>
      <c r="P74" s="847">
        <f t="shared" si="48"/>
        <v>0</v>
      </c>
      <c r="Q74" s="847">
        <f t="shared" si="74"/>
        <v>0</v>
      </c>
      <c r="R74" s="847">
        <f t="shared" si="75"/>
        <v>0</v>
      </c>
      <c r="S74" s="847">
        <f t="shared" si="64"/>
        <v>0</v>
      </c>
      <c r="T74" s="847">
        <f t="shared" si="59"/>
        <v>0</v>
      </c>
      <c r="U74" s="847">
        <f t="shared" si="67"/>
        <v>0</v>
      </c>
      <c r="V74" s="847">
        <f t="shared" si="76"/>
        <v>0</v>
      </c>
      <c r="W74" s="839">
        <f t="shared" si="19"/>
        <v>0</v>
      </c>
      <c r="X74" s="839">
        <f t="shared" si="20"/>
        <v>0</v>
      </c>
      <c r="Y74" s="839">
        <f t="shared" si="21"/>
        <v>0</v>
      </c>
      <c r="Z74" s="847">
        <f t="shared" si="50"/>
        <v>0</v>
      </c>
      <c r="AA74" s="848">
        <f t="shared" si="80"/>
        <v>0</v>
      </c>
      <c r="AB74" s="841"/>
      <c r="AC74" s="846">
        <f t="shared" si="37"/>
        <v>59</v>
      </c>
      <c r="AD74" s="847">
        <f t="shared" si="51"/>
        <v>0</v>
      </c>
      <c r="AE74" s="847">
        <f t="shared" si="77"/>
        <v>0</v>
      </c>
      <c r="AF74" s="847">
        <f t="shared" si="78"/>
        <v>0</v>
      </c>
      <c r="AG74" s="847">
        <f t="shared" si="65"/>
        <v>0</v>
      </c>
      <c r="AH74" s="847">
        <f t="shared" si="60"/>
        <v>0</v>
      </c>
      <c r="AI74" s="847">
        <f t="shared" si="68"/>
        <v>0</v>
      </c>
      <c r="AJ74" s="847">
        <f t="shared" si="79"/>
        <v>0</v>
      </c>
      <c r="AK74" s="839">
        <f t="shared" si="23"/>
        <v>0</v>
      </c>
      <c r="AL74" s="839">
        <f t="shared" si="24"/>
        <v>0</v>
      </c>
      <c r="AM74" s="839">
        <f t="shared" si="25"/>
        <v>0</v>
      </c>
      <c r="AN74" s="847">
        <f t="shared" si="53"/>
        <v>0</v>
      </c>
      <c r="AO74" s="848">
        <f t="shared" si="81"/>
        <v>0</v>
      </c>
      <c r="AQ74" s="846">
        <f t="shared" si="42"/>
        <v>59</v>
      </c>
      <c r="AR74" s="847">
        <f t="shared" si="26"/>
        <v>0</v>
      </c>
      <c r="AS74" s="847">
        <f t="shared" si="4"/>
        <v>0</v>
      </c>
      <c r="AT74" s="847">
        <f t="shared" si="5"/>
        <v>0</v>
      </c>
      <c r="AU74" s="847">
        <f t="shared" si="6"/>
        <v>0</v>
      </c>
      <c r="AV74" s="847">
        <f t="shared" si="7"/>
        <v>0</v>
      </c>
      <c r="AW74" s="847">
        <f t="shared" si="8"/>
        <v>0</v>
      </c>
      <c r="AX74" s="847">
        <f t="shared" si="9"/>
        <v>0</v>
      </c>
      <c r="AY74" s="839">
        <f t="shared" si="10"/>
        <v>0</v>
      </c>
      <c r="AZ74" s="839">
        <f t="shared" si="11"/>
        <v>0</v>
      </c>
      <c r="BA74" s="839">
        <f t="shared" si="12"/>
        <v>0</v>
      </c>
      <c r="BB74" s="847">
        <f t="shared" si="13"/>
        <v>0</v>
      </c>
      <c r="BC74" s="848">
        <f t="shared" si="13"/>
        <v>0</v>
      </c>
      <c r="BE74" s="828">
        <f t="shared" si="2"/>
        <v>62</v>
      </c>
      <c r="BF74" s="852" t="str">
        <f t="shared" si="69"/>
        <v>FEBRER</v>
      </c>
      <c r="BG74" s="834">
        <f>$AU$77+$AU$151+$AU$225</f>
        <v>0</v>
      </c>
      <c r="BH74" s="834">
        <f t="shared" si="3"/>
        <v>0</v>
      </c>
      <c r="BI74" s="834">
        <f>$AW$77+$AW$151+$AW$225</f>
        <v>0</v>
      </c>
      <c r="BJ74" s="834">
        <f t="shared" si="3"/>
        <v>0</v>
      </c>
      <c r="BK74" s="834">
        <f>$AS$77+$AS$151+$AS$225</f>
        <v>0</v>
      </c>
      <c r="BL74" s="834">
        <f>$AY$77+$AY$151+$AY$225</f>
        <v>0</v>
      </c>
      <c r="BM74" s="834">
        <f>$AZ$77+$AZ$151+$AZ$225</f>
        <v>0</v>
      </c>
      <c r="BN74" s="834">
        <f t="shared" si="61"/>
        <v>0</v>
      </c>
      <c r="BO74" s="834">
        <f>$BC$77+$BC$151+$BC$225</f>
        <v>0</v>
      </c>
    </row>
    <row r="75" spans="1:67" x14ac:dyDescent="0.25">
      <c r="A75" s="846">
        <f t="shared" si="27"/>
        <v>60</v>
      </c>
      <c r="B75" s="847">
        <f t="shared" si="70"/>
        <v>0</v>
      </c>
      <c r="C75" s="847">
        <f t="shared" si="71"/>
        <v>0</v>
      </c>
      <c r="D75" s="847">
        <f t="shared" si="72"/>
        <v>0</v>
      </c>
      <c r="E75" s="847">
        <f t="shared" si="63"/>
        <v>0</v>
      </c>
      <c r="F75" s="847">
        <f t="shared" si="54"/>
        <v>0</v>
      </c>
      <c r="G75" s="847">
        <f t="shared" si="66"/>
        <v>0</v>
      </c>
      <c r="H75" s="847">
        <f t="shared" si="73"/>
        <v>0</v>
      </c>
      <c r="I75" s="839">
        <f t="shared" si="15"/>
        <v>0</v>
      </c>
      <c r="J75" s="839">
        <f t="shared" si="16"/>
        <v>0</v>
      </c>
      <c r="K75" s="839">
        <f t="shared" si="17"/>
        <v>0</v>
      </c>
      <c r="L75" s="847">
        <f t="shared" si="47"/>
        <v>0</v>
      </c>
      <c r="M75" s="848">
        <f t="shared" si="31"/>
        <v>0</v>
      </c>
      <c r="N75" s="841"/>
      <c r="O75" s="846">
        <f t="shared" si="32"/>
        <v>60</v>
      </c>
      <c r="P75" s="847">
        <f t="shared" si="48"/>
        <v>0</v>
      </c>
      <c r="Q75" s="847">
        <f t="shared" si="74"/>
        <v>0</v>
      </c>
      <c r="R75" s="847">
        <f t="shared" si="75"/>
        <v>0</v>
      </c>
      <c r="S75" s="847">
        <f t="shared" si="64"/>
        <v>0</v>
      </c>
      <c r="T75" s="847">
        <f t="shared" si="59"/>
        <v>0</v>
      </c>
      <c r="U75" s="847">
        <f t="shared" si="67"/>
        <v>0</v>
      </c>
      <c r="V75" s="847">
        <f t="shared" si="76"/>
        <v>0</v>
      </c>
      <c r="W75" s="839">
        <f t="shared" si="19"/>
        <v>0</v>
      </c>
      <c r="X75" s="839">
        <f t="shared" si="20"/>
        <v>0</v>
      </c>
      <c r="Y75" s="839">
        <f t="shared" si="21"/>
        <v>0</v>
      </c>
      <c r="Z75" s="847">
        <f t="shared" si="50"/>
        <v>0</v>
      </c>
      <c r="AA75" s="848">
        <f t="shared" si="80"/>
        <v>0</v>
      </c>
      <c r="AB75" s="841"/>
      <c r="AC75" s="846">
        <f t="shared" si="37"/>
        <v>60</v>
      </c>
      <c r="AD75" s="847">
        <f t="shared" si="51"/>
        <v>0</v>
      </c>
      <c r="AE75" s="847">
        <f t="shared" si="77"/>
        <v>0</v>
      </c>
      <c r="AF75" s="847">
        <f t="shared" si="78"/>
        <v>0</v>
      </c>
      <c r="AG75" s="847">
        <f t="shared" si="65"/>
        <v>0</v>
      </c>
      <c r="AH75" s="847">
        <f t="shared" si="60"/>
        <v>0</v>
      </c>
      <c r="AI75" s="847">
        <f t="shared" si="68"/>
        <v>0</v>
      </c>
      <c r="AJ75" s="847">
        <f t="shared" si="79"/>
        <v>0</v>
      </c>
      <c r="AK75" s="839">
        <f t="shared" si="23"/>
        <v>0</v>
      </c>
      <c r="AL75" s="839">
        <f t="shared" si="24"/>
        <v>0</v>
      </c>
      <c r="AM75" s="839">
        <f t="shared" si="25"/>
        <v>0</v>
      </c>
      <c r="AN75" s="847">
        <f t="shared" si="53"/>
        <v>0</v>
      </c>
      <c r="AO75" s="848">
        <f t="shared" si="81"/>
        <v>0</v>
      </c>
      <c r="AQ75" s="846">
        <f t="shared" si="42"/>
        <v>60</v>
      </c>
      <c r="AR75" s="847">
        <f t="shared" si="26"/>
        <v>0</v>
      </c>
      <c r="AS75" s="847">
        <f t="shared" si="4"/>
        <v>0</v>
      </c>
      <c r="AT75" s="847">
        <f t="shared" si="5"/>
        <v>0</v>
      </c>
      <c r="AU75" s="847">
        <f t="shared" si="6"/>
        <v>0</v>
      </c>
      <c r="AV75" s="847">
        <f t="shared" si="7"/>
        <v>0</v>
      </c>
      <c r="AW75" s="847">
        <f t="shared" si="8"/>
        <v>0</v>
      </c>
      <c r="AX75" s="847">
        <f t="shared" si="9"/>
        <v>0</v>
      </c>
      <c r="AY75" s="839">
        <f t="shared" si="10"/>
        <v>0</v>
      </c>
      <c r="AZ75" s="839">
        <f t="shared" si="11"/>
        <v>0</v>
      </c>
      <c r="BA75" s="839">
        <f t="shared" si="12"/>
        <v>0</v>
      </c>
      <c r="BB75" s="847">
        <f t="shared" si="13"/>
        <v>0</v>
      </c>
      <c r="BC75" s="848">
        <f t="shared" si="13"/>
        <v>0</v>
      </c>
      <c r="BE75" s="828">
        <f t="shared" si="2"/>
        <v>63</v>
      </c>
      <c r="BF75" s="852" t="str">
        <f t="shared" si="69"/>
        <v>MARÇ</v>
      </c>
      <c r="BG75" s="834">
        <f>$AU$78+$AU$152+$AU$226</f>
        <v>0</v>
      </c>
      <c r="BH75" s="834">
        <f t="shared" si="3"/>
        <v>0</v>
      </c>
      <c r="BI75" s="834">
        <f>$AW$78+$AW$152+$AW$226</f>
        <v>0</v>
      </c>
      <c r="BJ75" s="834">
        <f t="shared" si="3"/>
        <v>0</v>
      </c>
      <c r="BK75" s="834">
        <f>$AS$78+$AS$152+$AS$226</f>
        <v>0</v>
      </c>
      <c r="BL75" s="834">
        <f>$AY$78+$AY$152+$AY$226</f>
        <v>0</v>
      </c>
      <c r="BM75" s="834">
        <f>$AZ$78+$AZ$152+$AZ$226</f>
        <v>0</v>
      </c>
      <c r="BN75" s="834">
        <f t="shared" si="61"/>
        <v>0</v>
      </c>
      <c r="BO75" s="834">
        <f>$BC$78+$BC$152+$BC$226</f>
        <v>0</v>
      </c>
    </row>
    <row r="76" spans="1:67" x14ac:dyDescent="0.25">
      <c r="A76" s="846">
        <f t="shared" si="27"/>
        <v>61</v>
      </c>
      <c r="B76" s="847">
        <f t="shared" si="70"/>
        <v>0</v>
      </c>
      <c r="C76" s="847">
        <f t="shared" si="71"/>
        <v>0</v>
      </c>
      <c r="D76" s="847">
        <f t="shared" si="72"/>
        <v>0</v>
      </c>
      <c r="E76" s="847">
        <f t="shared" si="63"/>
        <v>0</v>
      </c>
      <c r="F76" s="847">
        <f t="shared" si="54"/>
        <v>0</v>
      </c>
      <c r="G76" s="847">
        <f t="shared" si="66"/>
        <v>0</v>
      </c>
      <c r="H76" s="847">
        <f t="shared" si="73"/>
        <v>0</v>
      </c>
      <c r="I76" s="839">
        <f t="shared" si="15"/>
        <v>0</v>
      </c>
      <c r="J76" s="839">
        <f t="shared" si="16"/>
        <v>0</v>
      </c>
      <c r="K76" s="839">
        <f t="shared" si="17"/>
        <v>0</v>
      </c>
      <c r="L76" s="847">
        <f t="shared" si="47"/>
        <v>0</v>
      </c>
      <c r="M76" s="848">
        <f t="shared" si="31"/>
        <v>0</v>
      </c>
      <c r="N76" s="841"/>
      <c r="O76" s="846">
        <f t="shared" si="32"/>
        <v>61</v>
      </c>
      <c r="P76" s="847">
        <f t="shared" si="48"/>
        <v>0</v>
      </c>
      <c r="Q76" s="847">
        <f t="shared" si="74"/>
        <v>0</v>
      </c>
      <c r="R76" s="847">
        <f t="shared" si="75"/>
        <v>0</v>
      </c>
      <c r="S76" s="847">
        <f t="shared" si="64"/>
        <v>0</v>
      </c>
      <c r="T76" s="847">
        <f t="shared" si="59"/>
        <v>0</v>
      </c>
      <c r="U76" s="847">
        <f t="shared" si="67"/>
        <v>0</v>
      </c>
      <c r="V76" s="847">
        <f t="shared" si="76"/>
        <v>0</v>
      </c>
      <c r="W76" s="839">
        <f t="shared" si="19"/>
        <v>0</v>
      </c>
      <c r="X76" s="839">
        <f t="shared" si="20"/>
        <v>0</v>
      </c>
      <c r="Y76" s="839">
        <f t="shared" si="21"/>
        <v>0</v>
      </c>
      <c r="Z76" s="847">
        <f t="shared" si="50"/>
        <v>0</v>
      </c>
      <c r="AA76" s="848">
        <f t="shared" si="80"/>
        <v>0</v>
      </c>
      <c r="AB76" s="841"/>
      <c r="AC76" s="846">
        <f t="shared" si="37"/>
        <v>61</v>
      </c>
      <c r="AD76" s="847">
        <f t="shared" si="51"/>
        <v>0</v>
      </c>
      <c r="AE76" s="847">
        <f t="shared" si="77"/>
        <v>0</v>
      </c>
      <c r="AF76" s="847">
        <f t="shared" si="78"/>
        <v>0</v>
      </c>
      <c r="AG76" s="847">
        <f t="shared" si="65"/>
        <v>0</v>
      </c>
      <c r="AH76" s="847">
        <f t="shared" si="60"/>
        <v>0</v>
      </c>
      <c r="AI76" s="847">
        <f t="shared" si="68"/>
        <v>0</v>
      </c>
      <c r="AJ76" s="847">
        <f t="shared" si="79"/>
        <v>0</v>
      </c>
      <c r="AK76" s="839">
        <f t="shared" si="23"/>
        <v>0</v>
      </c>
      <c r="AL76" s="839">
        <f t="shared" si="24"/>
        <v>0</v>
      </c>
      <c r="AM76" s="839">
        <f t="shared" si="25"/>
        <v>0</v>
      </c>
      <c r="AN76" s="847">
        <f t="shared" si="53"/>
        <v>0</v>
      </c>
      <c r="AO76" s="848">
        <f t="shared" si="81"/>
        <v>0</v>
      </c>
      <c r="AQ76" s="846">
        <f t="shared" si="42"/>
        <v>61</v>
      </c>
      <c r="AR76" s="847">
        <f t="shared" si="26"/>
        <v>0</v>
      </c>
      <c r="AS76" s="847">
        <f t="shared" si="4"/>
        <v>0</v>
      </c>
      <c r="AT76" s="847">
        <f t="shared" si="5"/>
        <v>0</v>
      </c>
      <c r="AU76" s="847">
        <f t="shared" si="6"/>
        <v>0</v>
      </c>
      <c r="AV76" s="847">
        <f t="shared" si="7"/>
        <v>0</v>
      </c>
      <c r="AW76" s="847">
        <f t="shared" si="8"/>
        <v>0</v>
      </c>
      <c r="AX76" s="847">
        <f t="shared" si="9"/>
        <v>0</v>
      </c>
      <c r="AY76" s="839">
        <f t="shared" si="10"/>
        <v>0</v>
      </c>
      <c r="AZ76" s="839">
        <f t="shared" si="11"/>
        <v>0</v>
      </c>
      <c r="BA76" s="839">
        <f t="shared" si="12"/>
        <v>0</v>
      </c>
      <c r="BB76" s="847">
        <f t="shared" si="13"/>
        <v>0</v>
      </c>
      <c r="BC76" s="848">
        <f t="shared" si="13"/>
        <v>0</v>
      </c>
      <c r="BE76" s="828">
        <f t="shared" si="2"/>
        <v>64</v>
      </c>
      <c r="BF76" s="852" t="str">
        <f t="shared" si="69"/>
        <v>ABRIL</v>
      </c>
      <c r="BG76" s="834">
        <f>$AU$79+$AU$153+$AU$227</f>
        <v>0</v>
      </c>
      <c r="BH76" s="834">
        <f t="shared" si="3"/>
        <v>0</v>
      </c>
      <c r="BI76" s="834">
        <f>$AW$79+$AW$153+$AW$227</f>
        <v>0</v>
      </c>
      <c r="BJ76" s="834">
        <f t="shared" si="3"/>
        <v>0</v>
      </c>
      <c r="BK76" s="834">
        <f>$AS$79+$AS$153+$AS$227</f>
        <v>0</v>
      </c>
      <c r="BL76" s="834">
        <f>$AY$79+$AY$153+$AY$227</f>
        <v>0</v>
      </c>
      <c r="BM76" s="834">
        <f>$AZ$79+$AZ$153+$AZ$227</f>
        <v>0</v>
      </c>
      <c r="BN76" s="834">
        <f t="shared" si="61"/>
        <v>0</v>
      </c>
      <c r="BO76" s="834">
        <f>$BC$79+$BC$153+$BC$227</f>
        <v>0</v>
      </c>
    </row>
    <row r="77" spans="1:67" x14ac:dyDescent="0.25">
      <c r="A77" s="846">
        <f t="shared" si="27"/>
        <v>62</v>
      </c>
      <c r="B77" s="847">
        <f t="shared" si="70"/>
        <v>0</v>
      </c>
      <c r="C77" s="847">
        <f t="shared" si="71"/>
        <v>0</v>
      </c>
      <c r="D77" s="847">
        <f t="shared" si="72"/>
        <v>0</v>
      </c>
      <c r="E77" s="847">
        <f t="shared" si="63"/>
        <v>0</v>
      </c>
      <c r="F77" s="847">
        <f t="shared" si="54"/>
        <v>0</v>
      </c>
      <c r="G77" s="847">
        <f t="shared" si="66"/>
        <v>0</v>
      </c>
      <c r="H77" s="847">
        <f t="shared" si="73"/>
        <v>0</v>
      </c>
      <c r="I77" s="839">
        <f t="shared" si="15"/>
        <v>0</v>
      </c>
      <c r="J77" s="839">
        <f t="shared" si="16"/>
        <v>0</v>
      </c>
      <c r="K77" s="839">
        <f t="shared" si="17"/>
        <v>0</v>
      </c>
      <c r="L77" s="847">
        <f t="shared" si="47"/>
        <v>0</v>
      </c>
      <c r="M77" s="848">
        <f t="shared" si="31"/>
        <v>0</v>
      </c>
      <c r="N77" s="841"/>
      <c r="O77" s="846">
        <f t="shared" si="32"/>
        <v>62</v>
      </c>
      <c r="P77" s="847">
        <f t="shared" si="48"/>
        <v>0</v>
      </c>
      <c r="Q77" s="847">
        <f t="shared" si="74"/>
        <v>0</v>
      </c>
      <c r="R77" s="847">
        <f t="shared" si="75"/>
        <v>0</v>
      </c>
      <c r="S77" s="847">
        <f t="shared" si="64"/>
        <v>0</v>
      </c>
      <c r="T77" s="847">
        <f t="shared" si="59"/>
        <v>0</v>
      </c>
      <c r="U77" s="847">
        <f t="shared" si="67"/>
        <v>0</v>
      </c>
      <c r="V77" s="847">
        <f t="shared" si="76"/>
        <v>0</v>
      </c>
      <c r="W77" s="839">
        <f t="shared" si="19"/>
        <v>0</v>
      </c>
      <c r="X77" s="839">
        <f t="shared" si="20"/>
        <v>0</v>
      </c>
      <c r="Y77" s="839">
        <f t="shared" si="21"/>
        <v>0</v>
      </c>
      <c r="Z77" s="847">
        <f t="shared" si="50"/>
        <v>0</v>
      </c>
      <c r="AA77" s="848">
        <f t="shared" si="80"/>
        <v>0</v>
      </c>
      <c r="AB77" s="841"/>
      <c r="AC77" s="846">
        <f t="shared" si="37"/>
        <v>62</v>
      </c>
      <c r="AD77" s="847">
        <f t="shared" si="51"/>
        <v>0</v>
      </c>
      <c r="AE77" s="847">
        <f t="shared" si="77"/>
        <v>0</v>
      </c>
      <c r="AF77" s="847">
        <f t="shared" si="78"/>
        <v>0</v>
      </c>
      <c r="AG77" s="847">
        <f t="shared" si="65"/>
        <v>0</v>
      </c>
      <c r="AH77" s="847">
        <f t="shared" si="60"/>
        <v>0</v>
      </c>
      <c r="AI77" s="847">
        <f t="shared" si="68"/>
        <v>0</v>
      </c>
      <c r="AJ77" s="847">
        <f t="shared" si="79"/>
        <v>0</v>
      </c>
      <c r="AK77" s="839">
        <f t="shared" si="23"/>
        <v>0</v>
      </c>
      <c r="AL77" s="839">
        <f t="shared" si="24"/>
        <v>0</v>
      </c>
      <c r="AM77" s="839">
        <f t="shared" si="25"/>
        <v>0</v>
      </c>
      <c r="AN77" s="847">
        <f t="shared" si="53"/>
        <v>0</v>
      </c>
      <c r="AO77" s="848">
        <f t="shared" si="81"/>
        <v>0</v>
      </c>
      <c r="AQ77" s="846">
        <f t="shared" si="42"/>
        <v>62</v>
      </c>
      <c r="AR77" s="847">
        <f t="shared" si="26"/>
        <v>0</v>
      </c>
      <c r="AS77" s="847">
        <f t="shared" si="4"/>
        <v>0</v>
      </c>
      <c r="AT77" s="847">
        <f t="shared" si="5"/>
        <v>0</v>
      </c>
      <c r="AU77" s="847">
        <f t="shared" si="6"/>
        <v>0</v>
      </c>
      <c r="AV77" s="847">
        <f t="shared" si="7"/>
        <v>0</v>
      </c>
      <c r="AW77" s="847">
        <f t="shared" si="8"/>
        <v>0</v>
      </c>
      <c r="AX77" s="847">
        <f t="shared" si="9"/>
        <v>0</v>
      </c>
      <c r="AY77" s="839">
        <f t="shared" si="10"/>
        <v>0</v>
      </c>
      <c r="AZ77" s="839">
        <f t="shared" si="11"/>
        <v>0</v>
      </c>
      <c r="BA77" s="839">
        <f t="shared" si="12"/>
        <v>0</v>
      </c>
      <c r="BB77" s="847">
        <f t="shared" si="13"/>
        <v>0</v>
      </c>
      <c r="BC77" s="848">
        <f t="shared" si="13"/>
        <v>0</v>
      </c>
      <c r="BE77" s="828">
        <f t="shared" si="2"/>
        <v>65</v>
      </c>
      <c r="BF77" s="852" t="str">
        <f t="shared" si="69"/>
        <v>MAIG</v>
      </c>
      <c r="BG77" s="834">
        <f>$AU$80+$AU$154+$AU$228</f>
        <v>0</v>
      </c>
      <c r="BH77" s="834">
        <f t="shared" si="3"/>
        <v>0</v>
      </c>
      <c r="BI77" s="834">
        <f>$AW$80+$AW$154+$AW$228</f>
        <v>0</v>
      </c>
      <c r="BJ77" s="834">
        <f t="shared" si="3"/>
        <v>0</v>
      </c>
      <c r="BK77" s="834">
        <f>$AS$80+$AS$154+$AS$228</f>
        <v>0</v>
      </c>
      <c r="BL77" s="834">
        <f>$AY$80+$AY$154+$AY$228</f>
        <v>0</v>
      </c>
      <c r="BM77" s="834">
        <f>$AZ$80+$AZ$154+$AZ$228</f>
        <v>0</v>
      </c>
      <c r="BN77" s="834">
        <f t="shared" si="61"/>
        <v>0</v>
      </c>
      <c r="BO77" s="834">
        <f>$BC$80+$BC$154+$BC$228</f>
        <v>0</v>
      </c>
    </row>
    <row r="78" spans="1:67" x14ac:dyDescent="0.25">
      <c r="A78" s="846">
        <f t="shared" si="27"/>
        <v>63</v>
      </c>
      <c r="B78" s="847">
        <f t="shared" si="70"/>
        <v>0</v>
      </c>
      <c r="C78" s="847">
        <f t="shared" si="71"/>
        <v>0</v>
      </c>
      <c r="D78" s="847">
        <f t="shared" si="72"/>
        <v>0</v>
      </c>
      <c r="E78" s="847">
        <f t="shared" si="63"/>
        <v>0</v>
      </c>
      <c r="F78" s="847">
        <f t="shared" si="54"/>
        <v>0</v>
      </c>
      <c r="G78" s="847">
        <f t="shared" si="66"/>
        <v>0</v>
      </c>
      <c r="H78" s="847">
        <f t="shared" si="73"/>
        <v>0</v>
      </c>
      <c r="I78" s="839">
        <f t="shared" si="15"/>
        <v>0</v>
      </c>
      <c r="J78" s="839">
        <f t="shared" si="16"/>
        <v>0</v>
      </c>
      <c r="K78" s="839">
        <f t="shared" si="17"/>
        <v>0</v>
      </c>
      <c r="L78" s="847">
        <f t="shared" si="47"/>
        <v>0</v>
      </c>
      <c r="M78" s="848">
        <f t="shared" si="31"/>
        <v>0</v>
      </c>
      <c r="N78" s="841"/>
      <c r="O78" s="846">
        <f t="shared" si="32"/>
        <v>63</v>
      </c>
      <c r="P78" s="847">
        <f t="shared" si="48"/>
        <v>0</v>
      </c>
      <c r="Q78" s="847">
        <f t="shared" si="74"/>
        <v>0</v>
      </c>
      <c r="R78" s="847">
        <f t="shared" si="75"/>
        <v>0</v>
      </c>
      <c r="S78" s="847">
        <f t="shared" si="64"/>
        <v>0</v>
      </c>
      <c r="T78" s="847">
        <f t="shared" si="59"/>
        <v>0</v>
      </c>
      <c r="U78" s="847">
        <f t="shared" si="67"/>
        <v>0</v>
      </c>
      <c r="V78" s="847">
        <f t="shared" si="76"/>
        <v>0</v>
      </c>
      <c r="W78" s="839">
        <f t="shared" si="19"/>
        <v>0</v>
      </c>
      <c r="X78" s="839">
        <f t="shared" si="20"/>
        <v>0</v>
      </c>
      <c r="Y78" s="839">
        <f t="shared" si="21"/>
        <v>0</v>
      </c>
      <c r="Z78" s="847">
        <f t="shared" si="50"/>
        <v>0</v>
      </c>
      <c r="AA78" s="848">
        <f t="shared" si="80"/>
        <v>0</v>
      </c>
      <c r="AB78" s="841"/>
      <c r="AC78" s="846">
        <f t="shared" si="37"/>
        <v>63</v>
      </c>
      <c r="AD78" s="847">
        <f t="shared" si="51"/>
        <v>0</v>
      </c>
      <c r="AE78" s="847">
        <f t="shared" si="77"/>
        <v>0</v>
      </c>
      <c r="AF78" s="847">
        <f t="shared" si="78"/>
        <v>0</v>
      </c>
      <c r="AG78" s="847">
        <f t="shared" si="65"/>
        <v>0</v>
      </c>
      <c r="AH78" s="847">
        <f t="shared" si="60"/>
        <v>0</v>
      </c>
      <c r="AI78" s="847">
        <f t="shared" si="68"/>
        <v>0</v>
      </c>
      <c r="AJ78" s="847">
        <f t="shared" si="79"/>
        <v>0</v>
      </c>
      <c r="AK78" s="839">
        <f t="shared" si="23"/>
        <v>0</v>
      </c>
      <c r="AL78" s="839">
        <f t="shared" si="24"/>
        <v>0</v>
      </c>
      <c r="AM78" s="839">
        <f t="shared" si="25"/>
        <v>0</v>
      </c>
      <c r="AN78" s="847">
        <f t="shared" si="53"/>
        <v>0</v>
      </c>
      <c r="AO78" s="848">
        <f t="shared" si="81"/>
        <v>0</v>
      </c>
      <c r="AQ78" s="846">
        <f t="shared" si="42"/>
        <v>63</v>
      </c>
      <c r="AR78" s="847">
        <f t="shared" si="26"/>
        <v>0</v>
      </c>
      <c r="AS78" s="847">
        <f t="shared" si="4"/>
        <v>0</v>
      </c>
      <c r="AT78" s="847">
        <f t="shared" si="5"/>
        <v>0</v>
      </c>
      <c r="AU78" s="847">
        <f t="shared" si="6"/>
        <v>0</v>
      </c>
      <c r="AV78" s="847">
        <f t="shared" si="7"/>
        <v>0</v>
      </c>
      <c r="AW78" s="847">
        <f t="shared" si="8"/>
        <v>0</v>
      </c>
      <c r="AX78" s="847">
        <f t="shared" si="9"/>
        <v>0</v>
      </c>
      <c r="AY78" s="839">
        <f t="shared" si="10"/>
        <v>0</v>
      </c>
      <c r="AZ78" s="839">
        <f t="shared" si="11"/>
        <v>0</v>
      </c>
      <c r="BA78" s="839">
        <f t="shared" si="12"/>
        <v>0</v>
      </c>
      <c r="BB78" s="847">
        <f t="shared" si="13"/>
        <v>0</v>
      </c>
      <c r="BC78" s="848">
        <f t="shared" si="13"/>
        <v>0</v>
      </c>
      <c r="BE78" s="828">
        <f t="shared" si="2"/>
        <v>66</v>
      </c>
      <c r="BF78" s="852" t="str">
        <f t="shared" si="69"/>
        <v>JUNY</v>
      </c>
      <c r="BG78" s="834">
        <f>$AU$81+$AU$155+$AU$229</f>
        <v>0</v>
      </c>
      <c r="BH78" s="834">
        <f t="shared" si="3"/>
        <v>0</v>
      </c>
      <c r="BI78" s="834">
        <f>$AW$81+$AW$155+$AW$229</f>
        <v>0</v>
      </c>
      <c r="BJ78" s="834">
        <f t="shared" si="3"/>
        <v>0</v>
      </c>
      <c r="BK78" s="834">
        <f>$AS$81+$AS$155+$AS$229</f>
        <v>0</v>
      </c>
      <c r="BL78" s="834">
        <f>$AY$81+$AY$155+$AY$229</f>
        <v>0</v>
      </c>
      <c r="BM78" s="834">
        <f>$AZ$81+$AZ$155+$AZ$229</f>
        <v>0</v>
      </c>
      <c r="BN78" s="834">
        <f t="shared" si="61"/>
        <v>0</v>
      </c>
      <c r="BO78" s="834">
        <f>$BC$81+$BC$155+$BC$229</f>
        <v>0</v>
      </c>
    </row>
    <row r="79" spans="1:67" x14ac:dyDescent="0.25">
      <c r="A79" s="846">
        <f t="shared" si="27"/>
        <v>64</v>
      </c>
      <c r="B79" s="847">
        <f t="shared" si="70"/>
        <v>0</v>
      </c>
      <c r="C79" s="847">
        <f t="shared" si="71"/>
        <v>0</v>
      </c>
      <c r="D79" s="847">
        <f t="shared" si="72"/>
        <v>0</v>
      </c>
      <c r="E79" s="847">
        <f t="shared" si="63"/>
        <v>0</v>
      </c>
      <c r="F79" s="847">
        <f t="shared" si="54"/>
        <v>0</v>
      </c>
      <c r="G79" s="847">
        <f t="shared" si="66"/>
        <v>0</v>
      </c>
      <c r="H79" s="847">
        <f t="shared" si="73"/>
        <v>0</v>
      </c>
      <c r="I79" s="839">
        <f t="shared" si="15"/>
        <v>0</v>
      </c>
      <c r="J79" s="839">
        <f t="shared" si="16"/>
        <v>0</v>
      </c>
      <c r="K79" s="839">
        <f t="shared" si="17"/>
        <v>0</v>
      </c>
      <c r="L79" s="847">
        <f t="shared" si="47"/>
        <v>0</v>
      </c>
      <c r="M79" s="848">
        <f t="shared" si="31"/>
        <v>0</v>
      </c>
      <c r="N79" s="841"/>
      <c r="O79" s="846">
        <f t="shared" si="32"/>
        <v>64</v>
      </c>
      <c r="P79" s="847">
        <f t="shared" si="48"/>
        <v>0</v>
      </c>
      <c r="Q79" s="847">
        <f t="shared" si="74"/>
        <v>0</v>
      </c>
      <c r="R79" s="847">
        <f t="shared" si="75"/>
        <v>0</v>
      </c>
      <c r="S79" s="847">
        <f t="shared" si="64"/>
        <v>0</v>
      </c>
      <c r="T79" s="847">
        <f t="shared" si="59"/>
        <v>0</v>
      </c>
      <c r="U79" s="847">
        <f t="shared" si="67"/>
        <v>0</v>
      </c>
      <c r="V79" s="847">
        <f t="shared" si="76"/>
        <v>0</v>
      </c>
      <c r="W79" s="839">
        <f t="shared" si="19"/>
        <v>0</v>
      </c>
      <c r="X79" s="839">
        <f t="shared" si="20"/>
        <v>0</v>
      </c>
      <c r="Y79" s="839">
        <f t="shared" si="21"/>
        <v>0</v>
      </c>
      <c r="Z79" s="847">
        <f t="shared" si="50"/>
        <v>0</v>
      </c>
      <c r="AA79" s="848">
        <f t="shared" si="80"/>
        <v>0</v>
      </c>
      <c r="AB79" s="841"/>
      <c r="AC79" s="846">
        <f t="shared" si="37"/>
        <v>64</v>
      </c>
      <c r="AD79" s="847">
        <f t="shared" si="51"/>
        <v>0</v>
      </c>
      <c r="AE79" s="847">
        <f t="shared" si="77"/>
        <v>0</v>
      </c>
      <c r="AF79" s="847">
        <f t="shared" si="78"/>
        <v>0</v>
      </c>
      <c r="AG79" s="847">
        <f t="shared" si="65"/>
        <v>0</v>
      </c>
      <c r="AH79" s="847">
        <f t="shared" si="60"/>
        <v>0</v>
      </c>
      <c r="AI79" s="847">
        <f t="shared" si="68"/>
        <v>0</v>
      </c>
      <c r="AJ79" s="847">
        <f t="shared" si="79"/>
        <v>0</v>
      </c>
      <c r="AK79" s="839">
        <f t="shared" si="23"/>
        <v>0</v>
      </c>
      <c r="AL79" s="839">
        <f t="shared" si="24"/>
        <v>0</v>
      </c>
      <c r="AM79" s="839">
        <f t="shared" si="25"/>
        <v>0</v>
      </c>
      <c r="AN79" s="847">
        <f t="shared" si="53"/>
        <v>0</v>
      </c>
      <c r="AO79" s="848">
        <f t="shared" si="81"/>
        <v>0</v>
      </c>
      <c r="AQ79" s="846">
        <f t="shared" si="42"/>
        <v>64</v>
      </c>
      <c r="AR79" s="847">
        <f t="shared" si="26"/>
        <v>0</v>
      </c>
      <c r="AS79" s="847">
        <f t="shared" si="4"/>
        <v>0</v>
      </c>
      <c r="AT79" s="847">
        <f t="shared" si="5"/>
        <v>0</v>
      </c>
      <c r="AU79" s="847">
        <f t="shared" si="6"/>
        <v>0</v>
      </c>
      <c r="AV79" s="847">
        <f t="shared" si="7"/>
        <v>0</v>
      </c>
      <c r="AW79" s="847">
        <f t="shared" si="8"/>
        <v>0</v>
      </c>
      <c r="AX79" s="847">
        <f t="shared" si="9"/>
        <v>0</v>
      </c>
      <c r="AY79" s="839">
        <f t="shared" si="10"/>
        <v>0</v>
      </c>
      <c r="AZ79" s="839">
        <f t="shared" si="11"/>
        <v>0</v>
      </c>
      <c r="BA79" s="839">
        <f t="shared" si="12"/>
        <v>0</v>
      </c>
      <c r="BB79" s="847">
        <f t="shared" si="13"/>
        <v>0</v>
      </c>
      <c r="BC79" s="848">
        <f t="shared" si="13"/>
        <v>0</v>
      </c>
      <c r="BE79" s="828">
        <f t="shared" ref="BE79:BE84" si="82">BE78+1</f>
        <v>67</v>
      </c>
      <c r="BF79" s="852" t="str">
        <f t="shared" si="69"/>
        <v>JULIOL</v>
      </c>
      <c r="BG79" s="834">
        <f>$AU$82+$AU$156+$AU$230</f>
        <v>0</v>
      </c>
      <c r="BH79" s="834">
        <f t="shared" ref="BH79:BJ84" si="83">BG79+BH78</f>
        <v>0</v>
      </c>
      <c r="BI79" s="834">
        <f>$AW$82+$AW$156+$AW$230</f>
        <v>0</v>
      </c>
      <c r="BJ79" s="834">
        <f t="shared" si="83"/>
        <v>0</v>
      </c>
      <c r="BK79" s="834">
        <f>$AS$82+$AS$156+$AS$230</f>
        <v>0</v>
      </c>
      <c r="BL79" s="834">
        <f>$AY$82+$AY$156+$AY$230</f>
        <v>0</v>
      </c>
      <c r="BM79" s="834">
        <f>$AZ$82+$AZ$156+$AZ$230</f>
        <v>0</v>
      </c>
      <c r="BN79" s="834">
        <f t="shared" si="61"/>
        <v>0</v>
      </c>
      <c r="BO79" s="834">
        <f>$BC$82+$BC$156+$BC$230</f>
        <v>0</v>
      </c>
    </row>
    <row r="80" spans="1:67" x14ac:dyDescent="0.25">
      <c r="A80" s="846">
        <f t="shared" si="27"/>
        <v>65</v>
      </c>
      <c r="B80" s="847">
        <f t="shared" si="70"/>
        <v>0</v>
      </c>
      <c r="C80" s="847">
        <f t="shared" si="71"/>
        <v>0</v>
      </c>
      <c r="D80" s="847">
        <f t="shared" si="72"/>
        <v>0</v>
      </c>
      <c r="E80" s="847">
        <f t="shared" si="63"/>
        <v>0</v>
      </c>
      <c r="F80" s="847">
        <f t="shared" si="54"/>
        <v>0</v>
      </c>
      <c r="G80" s="847">
        <f t="shared" si="66"/>
        <v>0</v>
      </c>
      <c r="H80" s="847">
        <f t="shared" si="73"/>
        <v>0</v>
      </c>
      <c r="I80" s="839">
        <f t="shared" si="15"/>
        <v>0</v>
      </c>
      <c r="J80" s="839">
        <f t="shared" si="16"/>
        <v>0</v>
      </c>
      <c r="K80" s="839">
        <f t="shared" si="17"/>
        <v>0</v>
      </c>
      <c r="L80" s="847">
        <f t="shared" si="47"/>
        <v>0</v>
      </c>
      <c r="M80" s="848">
        <f t="shared" si="31"/>
        <v>0</v>
      </c>
      <c r="N80" s="841"/>
      <c r="O80" s="846">
        <f t="shared" si="32"/>
        <v>65</v>
      </c>
      <c r="P80" s="847">
        <f t="shared" si="48"/>
        <v>0</v>
      </c>
      <c r="Q80" s="847">
        <f t="shared" si="74"/>
        <v>0</v>
      </c>
      <c r="R80" s="847">
        <f t="shared" si="75"/>
        <v>0</v>
      </c>
      <c r="S80" s="847">
        <f t="shared" si="64"/>
        <v>0</v>
      </c>
      <c r="T80" s="847">
        <f t="shared" si="59"/>
        <v>0</v>
      </c>
      <c r="U80" s="847">
        <f t="shared" si="67"/>
        <v>0</v>
      </c>
      <c r="V80" s="847">
        <f t="shared" si="76"/>
        <v>0</v>
      </c>
      <c r="W80" s="839">
        <f t="shared" si="19"/>
        <v>0</v>
      </c>
      <c r="X80" s="839">
        <f t="shared" si="20"/>
        <v>0</v>
      </c>
      <c r="Y80" s="839">
        <f t="shared" si="21"/>
        <v>0</v>
      </c>
      <c r="Z80" s="847">
        <f t="shared" si="50"/>
        <v>0</v>
      </c>
      <c r="AA80" s="848">
        <f t="shared" si="80"/>
        <v>0</v>
      </c>
      <c r="AB80" s="841"/>
      <c r="AC80" s="846">
        <f t="shared" si="37"/>
        <v>65</v>
      </c>
      <c r="AD80" s="847">
        <f t="shared" si="51"/>
        <v>0</v>
      </c>
      <c r="AE80" s="847">
        <f t="shared" si="77"/>
        <v>0</v>
      </c>
      <c r="AF80" s="847">
        <f t="shared" si="78"/>
        <v>0</v>
      </c>
      <c r="AG80" s="847">
        <f t="shared" si="65"/>
        <v>0</v>
      </c>
      <c r="AH80" s="847">
        <f t="shared" si="60"/>
        <v>0</v>
      </c>
      <c r="AI80" s="847">
        <f t="shared" si="68"/>
        <v>0</v>
      </c>
      <c r="AJ80" s="847">
        <f t="shared" si="79"/>
        <v>0</v>
      </c>
      <c r="AK80" s="839">
        <f t="shared" si="23"/>
        <v>0</v>
      </c>
      <c r="AL80" s="839">
        <f t="shared" si="24"/>
        <v>0</v>
      </c>
      <c r="AM80" s="839">
        <f t="shared" si="25"/>
        <v>0</v>
      </c>
      <c r="AN80" s="847">
        <f t="shared" si="53"/>
        <v>0</v>
      </c>
      <c r="AO80" s="848">
        <f t="shared" si="81"/>
        <v>0</v>
      </c>
      <c r="AQ80" s="846">
        <f t="shared" si="42"/>
        <v>65</v>
      </c>
      <c r="AR80" s="847">
        <f t="shared" si="26"/>
        <v>0</v>
      </c>
      <c r="AS80" s="847">
        <f t="shared" ref="AS80:BA87" si="84">C80+Q80+AE80</f>
        <v>0</v>
      </c>
      <c r="AT80" s="847">
        <f t="shared" si="84"/>
        <v>0</v>
      </c>
      <c r="AU80" s="847">
        <f t="shared" si="84"/>
        <v>0</v>
      </c>
      <c r="AV80" s="847">
        <f t="shared" si="84"/>
        <v>0</v>
      </c>
      <c r="AW80" s="847">
        <f t="shared" si="84"/>
        <v>0</v>
      </c>
      <c r="AX80" s="847">
        <f t="shared" si="84"/>
        <v>0</v>
      </c>
      <c r="AY80" s="839">
        <f t="shared" si="84"/>
        <v>0</v>
      </c>
      <c r="AZ80" s="839">
        <f t="shared" si="84"/>
        <v>0</v>
      </c>
      <c r="BA80" s="839">
        <f t="shared" si="84"/>
        <v>0</v>
      </c>
      <c r="BB80" s="847">
        <f t="shared" ref="BB80:BC87" si="85">L80+Z80+AN80</f>
        <v>0</v>
      </c>
      <c r="BC80" s="848">
        <f t="shared" si="85"/>
        <v>0</v>
      </c>
      <c r="BE80" s="828">
        <f t="shared" si="82"/>
        <v>68</v>
      </c>
      <c r="BF80" s="852" t="str">
        <f t="shared" si="69"/>
        <v>AGOST</v>
      </c>
      <c r="BG80" s="834">
        <f>$AU$83+$AU$157+$AU$231</f>
        <v>0</v>
      </c>
      <c r="BH80" s="834">
        <f t="shared" si="83"/>
        <v>0</v>
      </c>
      <c r="BI80" s="834">
        <f>$AW$83+$AW$157+$AW$231</f>
        <v>0</v>
      </c>
      <c r="BJ80" s="834">
        <f t="shared" si="83"/>
        <v>0</v>
      </c>
      <c r="BK80" s="834">
        <f>$AS$83+$AS$157+$AS$231</f>
        <v>0</v>
      </c>
      <c r="BL80" s="834">
        <f>$AY$83+$AY$157+$AY$231</f>
        <v>0</v>
      </c>
      <c r="BM80" s="834">
        <f>$AZ$83+$AZ$157+$AZ$231</f>
        <v>0</v>
      </c>
      <c r="BN80" s="834">
        <f t="shared" si="61"/>
        <v>0</v>
      </c>
      <c r="BO80" s="834">
        <f>$BC$83+$BC$157+$BC$231</f>
        <v>0</v>
      </c>
    </row>
    <row r="81" spans="1:67" x14ac:dyDescent="0.25">
      <c r="A81" s="846">
        <f t="shared" si="27"/>
        <v>66</v>
      </c>
      <c r="B81" s="847">
        <f t="shared" si="70"/>
        <v>0</v>
      </c>
      <c r="C81" s="847">
        <f t="shared" si="71"/>
        <v>0</v>
      </c>
      <c r="D81" s="847">
        <f t="shared" si="72"/>
        <v>0</v>
      </c>
      <c r="E81" s="847">
        <f t="shared" ref="E81:E87" si="86">L80*C$9/12</f>
        <v>0</v>
      </c>
      <c r="F81" s="847">
        <f t="shared" si="54"/>
        <v>0</v>
      </c>
      <c r="G81" s="847">
        <f t="shared" si="66"/>
        <v>0</v>
      </c>
      <c r="H81" s="847">
        <f t="shared" si="73"/>
        <v>0</v>
      </c>
      <c r="I81" s="839">
        <f>IF(H81=0,0,SUM(G82:G93)+SUM(E82:E93))</f>
        <v>0</v>
      </c>
      <c r="J81" s="839">
        <f t="shared" ref="J81:J87" si="87">IF(K81&gt;I81,K81-I81,0)</f>
        <v>0</v>
      </c>
      <c r="K81" s="839">
        <f t="shared" ref="K81:K87" si="88">IF(C$11*12&gt;A81,(C$11*12-A81)*C$12,0)</f>
        <v>0</v>
      </c>
      <c r="L81" s="847">
        <f t="shared" si="47"/>
        <v>0</v>
      </c>
      <c r="M81" s="848">
        <f t="shared" si="31"/>
        <v>0</v>
      </c>
      <c r="N81" s="841"/>
      <c r="O81" s="846">
        <f t="shared" si="32"/>
        <v>66</v>
      </c>
      <c r="P81" s="847">
        <f t="shared" si="48"/>
        <v>0</v>
      </c>
      <c r="Q81" s="847">
        <f t="shared" si="74"/>
        <v>0</v>
      </c>
      <c r="R81" s="847">
        <f t="shared" si="75"/>
        <v>0</v>
      </c>
      <c r="S81" s="847">
        <f t="shared" ref="S81:S87" si="89">Z80*Q$9/12</f>
        <v>0</v>
      </c>
      <c r="T81" s="847">
        <f t="shared" si="59"/>
        <v>0</v>
      </c>
      <c r="U81" s="847">
        <f t="shared" si="67"/>
        <v>0</v>
      </c>
      <c r="V81" s="847">
        <f t="shared" si="76"/>
        <v>0</v>
      </c>
      <c r="W81" s="839">
        <f>IF(V81=0,0,SUM(U82:U93)+SUM(S82:S93))</f>
        <v>0</v>
      </c>
      <c r="X81" s="839">
        <f t="shared" ref="X81:X87" si="90">IF(Y81&gt;W81,Y81-W81,0)</f>
        <v>0</v>
      </c>
      <c r="Y81" s="839">
        <f t="shared" ref="Y81:Y87" si="91">IF(Q$11*12&gt;O81,(Q$11*12-O81)*Q$12,0)</f>
        <v>0</v>
      </c>
      <c r="Z81" s="847">
        <f t="shared" si="50"/>
        <v>0</v>
      </c>
      <c r="AA81" s="848">
        <f t="shared" si="80"/>
        <v>0</v>
      </c>
      <c r="AB81" s="841"/>
      <c r="AC81" s="846">
        <f t="shared" si="37"/>
        <v>66</v>
      </c>
      <c r="AD81" s="847">
        <f t="shared" si="51"/>
        <v>0</v>
      </c>
      <c r="AE81" s="847">
        <f t="shared" si="77"/>
        <v>0</v>
      </c>
      <c r="AF81" s="847">
        <f t="shared" si="78"/>
        <v>0</v>
      </c>
      <c r="AG81" s="847">
        <f t="shared" ref="AG81:AG87" si="92">AN80*AE$9/12</f>
        <v>0</v>
      </c>
      <c r="AH81" s="847">
        <f t="shared" si="60"/>
        <v>0</v>
      </c>
      <c r="AI81" s="847">
        <f t="shared" si="68"/>
        <v>0</v>
      </c>
      <c r="AJ81" s="847">
        <f t="shared" si="79"/>
        <v>0</v>
      </c>
      <c r="AK81" s="839">
        <f>IF(AJ81=0,0,SUM(AI82:AI93)+SUM(AG82:AG93))</f>
        <v>0</v>
      </c>
      <c r="AL81" s="839">
        <f t="shared" ref="AL81:AL87" si="93">IF(AM81&gt;AK81,AM81-AK81,0)</f>
        <v>0</v>
      </c>
      <c r="AM81" s="839">
        <f t="shared" ref="AM81:AM87" si="94">IF(AE$11*12&gt;AC81,(AE$11*12-AC81)*AE$12,0)</f>
        <v>0</v>
      </c>
      <c r="AN81" s="847">
        <f t="shared" si="53"/>
        <v>0</v>
      </c>
      <c r="AO81" s="848">
        <f t="shared" si="81"/>
        <v>0</v>
      </c>
      <c r="AQ81" s="846">
        <f t="shared" si="42"/>
        <v>66</v>
      </c>
      <c r="AR81" s="847">
        <f t="shared" ref="AR81:AR87" si="95">B81+P81+AD81</f>
        <v>0</v>
      </c>
      <c r="AS81" s="847">
        <f t="shared" si="84"/>
        <v>0</v>
      </c>
      <c r="AT81" s="847">
        <f t="shared" si="84"/>
        <v>0</v>
      </c>
      <c r="AU81" s="847">
        <f t="shared" si="84"/>
        <v>0</v>
      </c>
      <c r="AV81" s="847">
        <f t="shared" si="84"/>
        <v>0</v>
      </c>
      <c r="AW81" s="847">
        <f t="shared" si="84"/>
        <v>0</v>
      </c>
      <c r="AX81" s="847">
        <f t="shared" si="84"/>
        <v>0</v>
      </c>
      <c r="AY81" s="839">
        <f t="shared" si="84"/>
        <v>0</v>
      </c>
      <c r="AZ81" s="839">
        <f t="shared" si="84"/>
        <v>0</v>
      </c>
      <c r="BA81" s="839">
        <f t="shared" si="84"/>
        <v>0</v>
      </c>
      <c r="BB81" s="847">
        <f t="shared" si="85"/>
        <v>0</v>
      </c>
      <c r="BC81" s="848">
        <f t="shared" si="85"/>
        <v>0</v>
      </c>
      <c r="BE81" s="828">
        <f t="shared" si="82"/>
        <v>69</v>
      </c>
      <c r="BF81" s="852" t="str">
        <f t="shared" si="69"/>
        <v>SETEMBRE</v>
      </c>
      <c r="BG81" s="834">
        <f>$AU$84+$AU$158+$AU$232</f>
        <v>0</v>
      </c>
      <c r="BH81" s="834">
        <f t="shared" si="83"/>
        <v>0</v>
      </c>
      <c r="BI81" s="834">
        <f>$AW$84+$AW$158+$AW$232</f>
        <v>0</v>
      </c>
      <c r="BJ81" s="834">
        <f t="shared" si="83"/>
        <v>0</v>
      </c>
      <c r="BK81" s="834">
        <f>$AS$84+$AS$158+$AS$232</f>
        <v>0</v>
      </c>
      <c r="BL81" s="834">
        <f>$AY$84+$AY$158+$AY$232</f>
        <v>0</v>
      </c>
      <c r="BM81" s="834">
        <f>$AZ$84+$AZ$158+$AZ$232</f>
        <v>0</v>
      </c>
      <c r="BN81" s="834">
        <f t="shared" si="61"/>
        <v>0</v>
      </c>
      <c r="BO81" s="834">
        <f>$BC$84+$BC$158+$BC$232</f>
        <v>0</v>
      </c>
    </row>
    <row r="82" spans="1:67" x14ac:dyDescent="0.25">
      <c r="A82" s="846">
        <f t="shared" ref="A82:A87" si="96">A81+1</f>
        <v>67</v>
      </c>
      <c r="B82" s="847">
        <f t="shared" si="70"/>
        <v>0</v>
      </c>
      <c r="C82" s="847">
        <f t="shared" si="71"/>
        <v>0</v>
      </c>
      <c r="D82" s="847">
        <f t="shared" si="72"/>
        <v>0</v>
      </c>
      <c r="E82" s="847">
        <f t="shared" si="86"/>
        <v>0</v>
      </c>
      <c r="F82" s="847">
        <f t="shared" si="54"/>
        <v>0</v>
      </c>
      <c r="G82" s="847">
        <f t="shared" ref="G82:G87" si="97">IF(ABS(C$8-H81)&lt;1,0,G81*(1+C$9/12))</f>
        <v>0</v>
      </c>
      <c r="H82" s="847">
        <f t="shared" si="73"/>
        <v>0</v>
      </c>
      <c r="I82" s="839">
        <f>IF(H82=0,0,SUM(G83:G94)+SUM(E83:E94))</f>
        <v>0</v>
      </c>
      <c r="J82" s="839">
        <f t="shared" si="87"/>
        <v>0</v>
      </c>
      <c r="K82" s="839">
        <f t="shared" si="88"/>
        <v>0</v>
      </c>
      <c r="L82" s="847">
        <f t="shared" si="47"/>
        <v>0</v>
      </c>
      <c r="M82" s="848">
        <f t="shared" ref="M82:M87" si="98">M81-E82</f>
        <v>0</v>
      </c>
      <c r="N82" s="841"/>
      <c r="O82" s="846">
        <f t="shared" ref="O82:O87" si="99">O81+1</f>
        <v>67</v>
      </c>
      <c r="P82" s="847">
        <f t="shared" si="48"/>
        <v>0</v>
      </c>
      <c r="Q82" s="847">
        <f t="shared" si="74"/>
        <v>0</v>
      </c>
      <c r="R82" s="847">
        <f t="shared" si="75"/>
        <v>0</v>
      </c>
      <c r="S82" s="847">
        <f t="shared" si="89"/>
        <v>0</v>
      </c>
      <c r="T82" s="847">
        <f t="shared" si="59"/>
        <v>0</v>
      </c>
      <c r="U82" s="847">
        <f t="shared" ref="U82:U87" si="100">IF(ABS(Q$8-V81)&lt;1,0,U81*(1+Q$9/12))</f>
        <v>0</v>
      </c>
      <c r="V82" s="847">
        <f t="shared" si="76"/>
        <v>0</v>
      </c>
      <c r="W82" s="839">
        <f>IF(V82=0,0,SUM(U83:U94)+SUM(S83:S94))</f>
        <v>0</v>
      </c>
      <c r="X82" s="839">
        <f t="shared" si="90"/>
        <v>0</v>
      </c>
      <c r="Y82" s="839">
        <f t="shared" si="91"/>
        <v>0</v>
      </c>
      <c r="Z82" s="847">
        <f t="shared" si="50"/>
        <v>0</v>
      </c>
      <c r="AA82" s="848">
        <f t="shared" si="80"/>
        <v>0</v>
      </c>
      <c r="AB82" s="841"/>
      <c r="AC82" s="846">
        <f t="shared" ref="AC82:AC87" si="101">AC81+1</f>
        <v>67</v>
      </c>
      <c r="AD82" s="847">
        <f t="shared" si="51"/>
        <v>0</v>
      </c>
      <c r="AE82" s="847">
        <f t="shared" si="77"/>
        <v>0</v>
      </c>
      <c r="AF82" s="847">
        <f t="shared" si="78"/>
        <v>0</v>
      </c>
      <c r="AG82" s="847">
        <f t="shared" si="92"/>
        <v>0</v>
      </c>
      <c r="AH82" s="847">
        <f t="shared" si="60"/>
        <v>0</v>
      </c>
      <c r="AI82" s="847">
        <f t="shared" ref="AI82:AI87" si="102">IF(ABS(AE$8-AJ81)&lt;1,0,AI81*(1+AE$9/12))</f>
        <v>0</v>
      </c>
      <c r="AJ82" s="847">
        <f t="shared" si="79"/>
        <v>0</v>
      </c>
      <c r="AK82" s="839">
        <f>IF(AJ82=0,0,SUM(AI83:AI94)+SUM(AG83:AG94))</f>
        <v>0</v>
      </c>
      <c r="AL82" s="839">
        <f t="shared" si="93"/>
        <v>0</v>
      </c>
      <c r="AM82" s="839">
        <f t="shared" si="94"/>
        <v>0</v>
      </c>
      <c r="AN82" s="847">
        <f t="shared" si="53"/>
        <v>0</v>
      </c>
      <c r="AO82" s="848">
        <f t="shared" si="81"/>
        <v>0</v>
      </c>
      <c r="AQ82" s="846">
        <f t="shared" ref="AQ82:AQ87" si="103">AQ81+1</f>
        <v>67</v>
      </c>
      <c r="AR82" s="847">
        <f t="shared" si="95"/>
        <v>0</v>
      </c>
      <c r="AS82" s="847">
        <f t="shared" si="84"/>
        <v>0</v>
      </c>
      <c r="AT82" s="847">
        <f t="shared" si="84"/>
        <v>0</v>
      </c>
      <c r="AU82" s="847">
        <f t="shared" si="84"/>
        <v>0</v>
      </c>
      <c r="AV82" s="847">
        <f t="shared" si="84"/>
        <v>0</v>
      </c>
      <c r="AW82" s="847">
        <f t="shared" si="84"/>
        <v>0</v>
      </c>
      <c r="AX82" s="847">
        <f t="shared" si="84"/>
        <v>0</v>
      </c>
      <c r="AY82" s="839">
        <f t="shared" si="84"/>
        <v>0</v>
      </c>
      <c r="AZ82" s="839">
        <f t="shared" si="84"/>
        <v>0</v>
      </c>
      <c r="BA82" s="839">
        <f t="shared" si="84"/>
        <v>0</v>
      </c>
      <c r="BB82" s="847">
        <f t="shared" si="85"/>
        <v>0</v>
      </c>
      <c r="BC82" s="848">
        <f t="shared" si="85"/>
        <v>0</v>
      </c>
      <c r="BE82" s="828">
        <f t="shared" si="82"/>
        <v>70</v>
      </c>
      <c r="BF82" s="852" t="str">
        <f t="shared" si="69"/>
        <v>OCTUBRE</v>
      </c>
      <c r="BG82" s="834">
        <f>$AU$85+$AU$159+$AU$233</f>
        <v>0</v>
      </c>
      <c r="BH82" s="834">
        <f t="shared" si="83"/>
        <v>0</v>
      </c>
      <c r="BI82" s="834">
        <f>$AW$85+$AW$159+$AW$233</f>
        <v>0</v>
      </c>
      <c r="BJ82" s="834">
        <f t="shared" si="83"/>
        <v>0</v>
      </c>
      <c r="BK82" s="834">
        <f>$AS$85+$AS$159+$AS$233</f>
        <v>0</v>
      </c>
      <c r="BL82" s="834">
        <f>$AY$85+$AY$159+$AY$233</f>
        <v>0</v>
      </c>
      <c r="BM82" s="834">
        <f>$AZ$85+$AZ$159+$AZ$233</f>
        <v>0</v>
      </c>
      <c r="BN82" s="834">
        <f t="shared" si="61"/>
        <v>0</v>
      </c>
      <c r="BO82" s="834">
        <f>$BC$85+$BC$159+$BC$233</f>
        <v>0</v>
      </c>
    </row>
    <row r="83" spans="1:67" x14ac:dyDescent="0.25">
      <c r="A83" s="846">
        <f t="shared" si="96"/>
        <v>68</v>
      </c>
      <c r="B83" s="847">
        <f t="shared" si="70"/>
        <v>0</v>
      </c>
      <c r="C83" s="847">
        <f t="shared" si="71"/>
        <v>0</v>
      </c>
      <c r="D83" s="847">
        <f t="shared" si="72"/>
        <v>0</v>
      </c>
      <c r="E83" s="847">
        <f t="shared" si="86"/>
        <v>0</v>
      </c>
      <c r="F83" s="847">
        <f t="shared" si="54"/>
        <v>0</v>
      </c>
      <c r="G83" s="847">
        <f t="shared" si="97"/>
        <v>0</v>
      </c>
      <c r="H83" s="847">
        <f t="shared" si="73"/>
        <v>0</v>
      </c>
      <c r="I83" s="839">
        <f>IF(H83=0,0,SUM(G84:G94)+SUM(E84:E94))</f>
        <v>0</v>
      </c>
      <c r="J83" s="839">
        <f t="shared" si="87"/>
        <v>0</v>
      </c>
      <c r="K83" s="839">
        <f t="shared" si="88"/>
        <v>0</v>
      </c>
      <c r="L83" s="847">
        <f t="shared" si="47"/>
        <v>0</v>
      </c>
      <c r="M83" s="848">
        <f t="shared" si="98"/>
        <v>0</v>
      </c>
      <c r="N83" s="841"/>
      <c r="O83" s="846">
        <f t="shared" si="99"/>
        <v>68</v>
      </c>
      <c r="P83" s="847">
        <f t="shared" si="48"/>
        <v>0</v>
      </c>
      <c r="Q83" s="847">
        <f t="shared" si="74"/>
        <v>0</v>
      </c>
      <c r="R83" s="847">
        <f t="shared" si="75"/>
        <v>0</v>
      </c>
      <c r="S83" s="847">
        <f t="shared" si="89"/>
        <v>0</v>
      </c>
      <c r="T83" s="847">
        <f t="shared" si="59"/>
        <v>0</v>
      </c>
      <c r="U83" s="847">
        <f t="shared" si="100"/>
        <v>0</v>
      </c>
      <c r="V83" s="847">
        <f t="shared" si="76"/>
        <v>0</v>
      </c>
      <c r="W83" s="839">
        <f>IF(V83=0,0,SUM(U84:U94)+SUM(S84:S94))</f>
        <v>0</v>
      </c>
      <c r="X83" s="839">
        <f t="shared" si="90"/>
        <v>0</v>
      </c>
      <c r="Y83" s="839">
        <f t="shared" si="91"/>
        <v>0</v>
      </c>
      <c r="Z83" s="847">
        <f t="shared" si="50"/>
        <v>0</v>
      </c>
      <c r="AA83" s="848">
        <f t="shared" si="80"/>
        <v>0</v>
      </c>
      <c r="AB83" s="841"/>
      <c r="AC83" s="846">
        <f t="shared" si="101"/>
        <v>68</v>
      </c>
      <c r="AD83" s="847">
        <f t="shared" si="51"/>
        <v>0</v>
      </c>
      <c r="AE83" s="847">
        <f t="shared" si="77"/>
        <v>0</v>
      </c>
      <c r="AF83" s="847">
        <f t="shared" si="78"/>
        <v>0</v>
      </c>
      <c r="AG83" s="847">
        <f t="shared" si="92"/>
        <v>0</v>
      </c>
      <c r="AH83" s="847">
        <f t="shared" si="60"/>
        <v>0</v>
      </c>
      <c r="AI83" s="847">
        <f t="shared" si="102"/>
        <v>0</v>
      </c>
      <c r="AJ83" s="847">
        <f t="shared" si="79"/>
        <v>0</v>
      </c>
      <c r="AK83" s="839">
        <f>IF(AJ83=0,0,SUM(AI84:AI94)+SUM(AG84:AG94))</f>
        <v>0</v>
      </c>
      <c r="AL83" s="839">
        <f t="shared" si="93"/>
        <v>0</v>
      </c>
      <c r="AM83" s="839">
        <f t="shared" si="94"/>
        <v>0</v>
      </c>
      <c r="AN83" s="847">
        <f t="shared" si="53"/>
        <v>0</v>
      </c>
      <c r="AO83" s="848">
        <f t="shared" si="81"/>
        <v>0</v>
      </c>
      <c r="AQ83" s="846">
        <f t="shared" si="103"/>
        <v>68</v>
      </c>
      <c r="AR83" s="847">
        <f t="shared" si="95"/>
        <v>0</v>
      </c>
      <c r="AS83" s="847">
        <f t="shared" si="84"/>
        <v>0</v>
      </c>
      <c r="AT83" s="847">
        <f t="shared" si="84"/>
        <v>0</v>
      </c>
      <c r="AU83" s="847">
        <f t="shared" si="84"/>
        <v>0</v>
      </c>
      <c r="AV83" s="847">
        <f t="shared" si="84"/>
        <v>0</v>
      </c>
      <c r="AW83" s="847">
        <f t="shared" si="84"/>
        <v>0</v>
      </c>
      <c r="AX83" s="847">
        <f t="shared" si="84"/>
        <v>0</v>
      </c>
      <c r="AY83" s="839">
        <f t="shared" si="84"/>
        <v>0</v>
      </c>
      <c r="AZ83" s="839">
        <f t="shared" si="84"/>
        <v>0</v>
      </c>
      <c r="BA83" s="839">
        <f t="shared" si="84"/>
        <v>0</v>
      </c>
      <c r="BB83" s="847">
        <f t="shared" si="85"/>
        <v>0</v>
      </c>
      <c r="BC83" s="848">
        <f t="shared" si="85"/>
        <v>0</v>
      </c>
      <c r="BE83" s="828">
        <f t="shared" si="82"/>
        <v>71</v>
      </c>
      <c r="BF83" s="852" t="str">
        <f t="shared" si="69"/>
        <v>NOVEMBRE</v>
      </c>
      <c r="BG83" s="834">
        <f>$AU$86+$AU$160+$AU$234</f>
        <v>0</v>
      </c>
      <c r="BH83" s="834">
        <f t="shared" si="83"/>
        <v>0</v>
      </c>
      <c r="BI83" s="834">
        <f>$AW$86+$AW$160+$AW$234</f>
        <v>0</v>
      </c>
      <c r="BJ83" s="834">
        <f t="shared" si="83"/>
        <v>0</v>
      </c>
      <c r="BK83" s="834">
        <f>$AS$86+$AS$160+$AS$234</f>
        <v>0</v>
      </c>
      <c r="BL83" s="834">
        <f>$AY$86+$AY$160+$AY$234</f>
        <v>0</v>
      </c>
      <c r="BM83" s="834">
        <f>$AZ$86+$AZ$160+$AZ$234</f>
        <v>0</v>
      </c>
      <c r="BN83" s="834">
        <f t="shared" si="61"/>
        <v>0</v>
      </c>
      <c r="BO83" s="834">
        <f>$BC$86+$BC$160+$BC$234</f>
        <v>0</v>
      </c>
    </row>
    <row r="84" spans="1:67" x14ac:dyDescent="0.25">
      <c r="A84" s="846">
        <f t="shared" si="96"/>
        <v>69</v>
      </c>
      <c r="B84" s="847">
        <f t="shared" si="70"/>
        <v>0</v>
      </c>
      <c r="C84" s="847">
        <f t="shared" si="71"/>
        <v>0</v>
      </c>
      <c r="D84" s="847">
        <f t="shared" si="72"/>
        <v>0</v>
      </c>
      <c r="E84" s="847">
        <f t="shared" si="86"/>
        <v>0</v>
      </c>
      <c r="F84" s="847">
        <f t="shared" si="54"/>
        <v>0</v>
      </c>
      <c r="G84" s="847">
        <f t="shared" si="97"/>
        <v>0</v>
      </c>
      <c r="H84" s="847">
        <f t="shared" si="73"/>
        <v>0</v>
      </c>
      <c r="I84" s="839">
        <f>IF(H84=0,0,SUM(G85:G95)+SUM(E85:E95))</f>
        <v>0</v>
      </c>
      <c r="J84" s="839">
        <f t="shared" si="87"/>
        <v>0</v>
      </c>
      <c r="K84" s="839">
        <f t="shared" si="88"/>
        <v>0</v>
      </c>
      <c r="L84" s="847">
        <f t="shared" si="47"/>
        <v>0</v>
      </c>
      <c r="M84" s="848">
        <f t="shared" si="98"/>
        <v>0</v>
      </c>
      <c r="N84" s="841"/>
      <c r="O84" s="846">
        <f t="shared" si="99"/>
        <v>69</v>
      </c>
      <c r="P84" s="847">
        <f t="shared" si="48"/>
        <v>0</v>
      </c>
      <c r="Q84" s="847">
        <f t="shared" si="74"/>
        <v>0</v>
      </c>
      <c r="R84" s="847">
        <f t="shared" si="75"/>
        <v>0</v>
      </c>
      <c r="S84" s="847">
        <f t="shared" si="89"/>
        <v>0</v>
      </c>
      <c r="T84" s="847">
        <f t="shared" si="59"/>
        <v>0</v>
      </c>
      <c r="U84" s="847">
        <f t="shared" si="100"/>
        <v>0</v>
      </c>
      <c r="V84" s="847">
        <f t="shared" si="76"/>
        <v>0</v>
      </c>
      <c r="W84" s="839">
        <f>IF(V84=0,0,SUM(U85:U95)+SUM(S85:S95))</f>
        <v>0</v>
      </c>
      <c r="X84" s="839">
        <f t="shared" si="90"/>
        <v>0</v>
      </c>
      <c r="Y84" s="839">
        <f t="shared" si="91"/>
        <v>0</v>
      </c>
      <c r="Z84" s="847">
        <f t="shared" si="50"/>
        <v>0</v>
      </c>
      <c r="AA84" s="848">
        <f t="shared" si="80"/>
        <v>0</v>
      </c>
      <c r="AB84" s="841"/>
      <c r="AC84" s="846">
        <f t="shared" si="101"/>
        <v>69</v>
      </c>
      <c r="AD84" s="847">
        <f t="shared" si="51"/>
        <v>0</v>
      </c>
      <c r="AE84" s="847">
        <f t="shared" si="77"/>
        <v>0</v>
      </c>
      <c r="AF84" s="847">
        <f t="shared" si="78"/>
        <v>0</v>
      </c>
      <c r="AG84" s="847">
        <f t="shared" si="92"/>
        <v>0</v>
      </c>
      <c r="AH84" s="847">
        <f t="shared" si="60"/>
        <v>0</v>
      </c>
      <c r="AI84" s="847">
        <f t="shared" si="102"/>
        <v>0</v>
      </c>
      <c r="AJ84" s="847">
        <f t="shared" si="79"/>
        <v>0</v>
      </c>
      <c r="AK84" s="839">
        <f>IF(AJ84=0,0,SUM(AI85:AI95)+SUM(AG85:AG95))</f>
        <v>0</v>
      </c>
      <c r="AL84" s="839">
        <f t="shared" si="93"/>
        <v>0</v>
      </c>
      <c r="AM84" s="839">
        <f t="shared" si="94"/>
        <v>0</v>
      </c>
      <c r="AN84" s="847">
        <f t="shared" si="53"/>
        <v>0</v>
      </c>
      <c r="AO84" s="848">
        <f t="shared" si="81"/>
        <v>0</v>
      </c>
      <c r="AQ84" s="846">
        <f t="shared" si="103"/>
        <v>69</v>
      </c>
      <c r="AR84" s="847">
        <f t="shared" si="95"/>
        <v>0</v>
      </c>
      <c r="AS84" s="847">
        <f t="shared" si="84"/>
        <v>0</v>
      </c>
      <c r="AT84" s="847">
        <f t="shared" si="84"/>
        <v>0</v>
      </c>
      <c r="AU84" s="847">
        <f t="shared" si="84"/>
        <v>0</v>
      </c>
      <c r="AV84" s="847">
        <f t="shared" si="84"/>
        <v>0</v>
      </c>
      <c r="AW84" s="847">
        <f t="shared" si="84"/>
        <v>0</v>
      </c>
      <c r="AX84" s="847">
        <f t="shared" si="84"/>
        <v>0</v>
      </c>
      <c r="AY84" s="839">
        <f t="shared" si="84"/>
        <v>0</v>
      </c>
      <c r="AZ84" s="839">
        <f t="shared" si="84"/>
        <v>0</v>
      </c>
      <c r="BA84" s="839">
        <f t="shared" si="84"/>
        <v>0</v>
      </c>
      <c r="BB84" s="847">
        <f t="shared" si="85"/>
        <v>0</v>
      </c>
      <c r="BC84" s="848">
        <f t="shared" si="85"/>
        <v>0</v>
      </c>
      <c r="BE84" s="828">
        <f t="shared" si="82"/>
        <v>72</v>
      </c>
      <c r="BF84" s="852" t="str">
        <f t="shared" si="69"/>
        <v>DESEMBRE</v>
      </c>
      <c r="BG84" s="834">
        <f>$AU$87+$AU$161+$AU$235</f>
        <v>0</v>
      </c>
      <c r="BH84" s="834">
        <f t="shared" si="83"/>
        <v>0</v>
      </c>
      <c r="BI84" s="834">
        <f>$AW$87+$AW$161+$AW$235</f>
        <v>0</v>
      </c>
      <c r="BJ84" s="834">
        <f t="shared" si="83"/>
        <v>0</v>
      </c>
      <c r="BK84" s="834">
        <f>$AS$87+$AS$161+$AS$235</f>
        <v>0</v>
      </c>
      <c r="BL84" s="834">
        <f>$AY$87+$AY$161+$AY$235</f>
        <v>0</v>
      </c>
      <c r="BM84" s="834">
        <f>$AZ$87+$AZ$161+$AZ$235</f>
        <v>0</v>
      </c>
      <c r="BN84" s="834">
        <f t="shared" si="61"/>
        <v>0</v>
      </c>
      <c r="BO84" s="834">
        <f>$BC$87+$BC$161+$BC$235</f>
        <v>0</v>
      </c>
    </row>
    <row r="85" spans="1:67" x14ac:dyDescent="0.25">
      <c r="A85" s="846">
        <f t="shared" si="96"/>
        <v>70</v>
      </c>
      <c r="B85" s="847">
        <f t="shared" si="70"/>
        <v>0</v>
      </c>
      <c r="C85" s="847">
        <f t="shared" si="71"/>
        <v>0</v>
      </c>
      <c r="D85" s="847">
        <f t="shared" si="72"/>
        <v>0</v>
      </c>
      <c r="E85" s="847">
        <f t="shared" si="86"/>
        <v>0</v>
      </c>
      <c r="F85" s="847">
        <f t="shared" si="54"/>
        <v>0</v>
      </c>
      <c r="G85" s="847">
        <f t="shared" si="97"/>
        <v>0</v>
      </c>
      <c r="H85" s="847">
        <f t="shared" si="73"/>
        <v>0</v>
      </c>
      <c r="I85" s="839">
        <f>IF(H85=0,0,SUM(G86:G96)+SUM(E86:E96))</f>
        <v>0</v>
      </c>
      <c r="J85" s="839">
        <f t="shared" si="87"/>
        <v>0</v>
      </c>
      <c r="K85" s="839">
        <f t="shared" si="88"/>
        <v>0</v>
      </c>
      <c r="L85" s="847">
        <f>IF(H85=0,0,C$8-H85)</f>
        <v>0</v>
      </c>
      <c r="M85" s="848">
        <f t="shared" si="98"/>
        <v>0</v>
      </c>
      <c r="N85" s="841"/>
      <c r="O85" s="846">
        <f t="shared" si="99"/>
        <v>70</v>
      </c>
      <c r="P85" s="847">
        <f>IF(S85&lt;0.05,0,P84+U85+S85)</f>
        <v>0</v>
      </c>
      <c r="Q85" s="847">
        <f t="shared" si="74"/>
        <v>0</v>
      </c>
      <c r="R85" s="847">
        <f t="shared" si="75"/>
        <v>0</v>
      </c>
      <c r="S85" s="847">
        <f t="shared" si="89"/>
        <v>0</v>
      </c>
      <c r="T85" s="847">
        <f t="shared" si="59"/>
        <v>0</v>
      </c>
      <c r="U85" s="847">
        <f t="shared" si="100"/>
        <v>0</v>
      </c>
      <c r="V85" s="847">
        <f t="shared" si="76"/>
        <v>0</v>
      </c>
      <c r="W85" s="839">
        <f>IF(V85=0,0,SUM(U86:U96)+SUM(S86:S96))</f>
        <v>0</v>
      </c>
      <c r="X85" s="839">
        <f t="shared" si="90"/>
        <v>0</v>
      </c>
      <c r="Y85" s="839">
        <f t="shared" si="91"/>
        <v>0</v>
      </c>
      <c r="Z85" s="847">
        <f>IF(V85=0,0,Q$8-V85)</f>
        <v>0</v>
      </c>
      <c r="AA85" s="848">
        <f t="shared" si="80"/>
        <v>0</v>
      </c>
      <c r="AB85" s="841"/>
      <c r="AC85" s="846">
        <f t="shared" si="101"/>
        <v>70</v>
      </c>
      <c r="AD85" s="847">
        <f>IF(AG85&lt;0.05,0,AD84+AI85+AG85)</f>
        <v>0</v>
      </c>
      <c r="AE85" s="847">
        <f t="shared" si="77"/>
        <v>0</v>
      </c>
      <c r="AF85" s="847">
        <f t="shared" si="78"/>
        <v>0</v>
      </c>
      <c r="AG85" s="847">
        <f t="shared" si="92"/>
        <v>0</v>
      </c>
      <c r="AH85" s="847">
        <f t="shared" si="60"/>
        <v>0</v>
      </c>
      <c r="AI85" s="847">
        <f t="shared" si="102"/>
        <v>0</v>
      </c>
      <c r="AJ85" s="847">
        <f t="shared" si="79"/>
        <v>0</v>
      </c>
      <c r="AK85" s="839">
        <f>IF(AJ85=0,0,SUM(AI86:AI96)+SUM(AG86:AG96))</f>
        <v>0</v>
      </c>
      <c r="AL85" s="839">
        <f t="shared" si="93"/>
        <v>0</v>
      </c>
      <c r="AM85" s="839">
        <f t="shared" si="94"/>
        <v>0</v>
      </c>
      <c r="AN85" s="847">
        <f>IF(AJ85=0,0,AE$8-AJ85)</f>
        <v>0</v>
      </c>
      <c r="AO85" s="848">
        <f t="shared" si="81"/>
        <v>0</v>
      </c>
      <c r="AQ85" s="846">
        <f t="shared" si="103"/>
        <v>70</v>
      </c>
      <c r="AR85" s="847">
        <f t="shared" si="95"/>
        <v>0</v>
      </c>
      <c r="AS85" s="847">
        <f t="shared" si="84"/>
        <v>0</v>
      </c>
      <c r="AT85" s="847">
        <f t="shared" si="84"/>
        <v>0</v>
      </c>
      <c r="AU85" s="847">
        <f t="shared" si="84"/>
        <v>0</v>
      </c>
      <c r="AV85" s="847">
        <f t="shared" si="84"/>
        <v>0</v>
      </c>
      <c r="AW85" s="847">
        <f t="shared" si="84"/>
        <v>0</v>
      </c>
      <c r="AX85" s="847">
        <f t="shared" si="84"/>
        <v>0</v>
      </c>
      <c r="AY85" s="839">
        <f t="shared" si="84"/>
        <v>0</v>
      </c>
      <c r="AZ85" s="839">
        <f t="shared" si="84"/>
        <v>0</v>
      </c>
      <c r="BA85" s="839">
        <f t="shared" si="84"/>
        <v>0</v>
      </c>
      <c r="BB85" s="847">
        <f t="shared" si="85"/>
        <v>0</v>
      </c>
      <c r="BC85" s="848">
        <f t="shared" si="85"/>
        <v>0</v>
      </c>
      <c r="BE85" s="1815" t="s">
        <v>245</v>
      </c>
      <c r="BF85" s="1815"/>
      <c r="BG85" s="834">
        <f>SUM(BG13:BG84)</f>
        <v>0</v>
      </c>
      <c r="BH85" s="834"/>
      <c r="BI85" s="834">
        <f>SUM(BI13:BI84)</f>
        <v>0</v>
      </c>
      <c r="BJ85" s="834"/>
      <c r="BK85" s="834">
        <f>SUM(BK13:BK84)</f>
        <v>0</v>
      </c>
      <c r="BL85" s="834"/>
      <c r="BM85" s="834"/>
      <c r="BN85" s="834"/>
      <c r="BO85" s="834"/>
    </row>
    <row r="86" spans="1:67" x14ac:dyDescent="0.25">
      <c r="A86" s="846">
        <f t="shared" si="96"/>
        <v>71</v>
      </c>
      <c r="B86" s="847">
        <f t="shared" si="70"/>
        <v>0</v>
      </c>
      <c r="C86" s="847">
        <f t="shared" si="71"/>
        <v>0</v>
      </c>
      <c r="D86" s="847">
        <f t="shared" si="72"/>
        <v>0</v>
      </c>
      <c r="E86" s="847">
        <f t="shared" si="86"/>
        <v>0</v>
      </c>
      <c r="F86" s="847">
        <f>IF(L86=0,0,E86+F85)</f>
        <v>0</v>
      </c>
      <c r="G86" s="847">
        <f t="shared" si="97"/>
        <v>0</v>
      </c>
      <c r="H86" s="847">
        <f t="shared" si="73"/>
        <v>0</v>
      </c>
      <c r="I86" s="839">
        <f>IF(H86=0,0,SUM(G87:G97)+SUM(E87:E97))</f>
        <v>0</v>
      </c>
      <c r="J86" s="839">
        <f t="shared" si="87"/>
        <v>0</v>
      </c>
      <c r="K86" s="839">
        <f t="shared" si="88"/>
        <v>0</v>
      </c>
      <c r="L86" s="847">
        <f>IF(H86=0,0,C$8-H86)</f>
        <v>0</v>
      </c>
      <c r="M86" s="848">
        <f t="shared" si="98"/>
        <v>0</v>
      </c>
      <c r="N86" s="841"/>
      <c r="O86" s="846">
        <f t="shared" si="99"/>
        <v>71</v>
      </c>
      <c r="P86" s="847">
        <f>IF(S86&lt;0.05,0,P85+U86+S86)</f>
        <v>0</v>
      </c>
      <c r="Q86" s="847">
        <f t="shared" si="74"/>
        <v>0</v>
      </c>
      <c r="R86" s="847">
        <f t="shared" si="75"/>
        <v>0</v>
      </c>
      <c r="S86" s="847">
        <f t="shared" si="89"/>
        <v>0</v>
      </c>
      <c r="T86" s="847">
        <f>IF(Z86=0,0,S86+T85)</f>
        <v>0</v>
      </c>
      <c r="U86" s="847">
        <f t="shared" si="100"/>
        <v>0</v>
      </c>
      <c r="V86" s="847">
        <f t="shared" si="76"/>
        <v>0</v>
      </c>
      <c r="W86" s="839">
        <f>IF(V86=0,0,SUM(U87:U97)+SUM(S87:S97))</f>
        <v>0</v>
      </c>
      <c r="X86" s="839">
        <f t="shared" si="90"/>
        <v>0</v>
      </c>
      <c r="Y86" s="839">
        <f t="shared" si="91"/>
        <v>0</v>
      </c>
      <c r="Z86" s="847">
        <f>IF(V86=0,0,Q$8-V86)</f>
        <v>0</v>
      </c>
      <c r="AA86" s="848">
        <f t="shared" si="80"/>
        <v>0</v>
      </c>
      <c r="AB86" s="841"/>
      <c r="AC86" s="846">
        <f t="shared" si="101"/>
        <v>71</v>
      </c>
      <c r="AD86" s="847">
        <f>IF(AG86&lt;0.05,0,AD85+AI86+AG86)</f>
        <v>0</v>
      </c>
      <c r="AE86" s="847">
        <f t="shared" si="77"/>
        <v>0</v>
      </c>
      <c r="AF86" s="847">
        <f t="shared" si="78"/>
        <v>0</v>
      </c>
      <c r="AG86" s="847">
        <f t="shared" si="92"/>
        <v>0</v>
      </c>
      <c r="AH86" s="847">
        <f>IF(AN86=0,0,AG86+AH85)</f>
        <v>0</v>
      </c>
      <c r="AI86" s="847">
        <f t="shared" si="102"/>
        <v>0</v>
      </c>
      <c r="AJ86" s="847">
        <f t="shared" si="79"/>
        <v>0</v>
      </c>
      <c r="AK86" s="839">
        <f>IF(AJ86=0,0,SUM(AI87:AI97)+SUM(AG87:AG97))</f>
        <v>0</v>
      </c>
      <c r="AL86" s="839">
        <f t="shared" si="93"/>
        <v>0</v>
      </c>
      <c r="AM86" s="839">
        <f t="shared" si="94"/>
        <v>0</v>
      </c>
      <c r="AN86" s="847">
        <f>IF(AJ86=0,0,AE$8-AJ86)</f>
        <v>0</v>
      </c>
      <c r="AO86" s="848">
        <f t="shared" si="81"/>
        <v>0</v>
      </c>
      <c r="AQ86" s="846">
        <f t="shared" si="103"/>
        <v>71</v>
      </c>
      <c r="AR86" s="847">
        <f t="shared" si="95"/>
        <v>0</v>
      </c>
      <c r="AS86" s="847">
        <f t="shared" si="84"/>
        <v>0</v>
      </c>
      <c r="AT86" s="847">
        <f t="shared" si="84"/>
        <v>0</v>
      </c>
      <c r="AU86" s="847">
        <f t="shared" si="84"/>
        <v>0</v>
      </c>
      <c r="AV86" s="847">
        <f t="shared" si="84"/>
        <v>0</v>
      </c>
      <c r="AW86" s="847">
        <f t="shared" si="84"/>
        <v>0</v>
      </c>
      <c r="AX86" s="847">
        <f t="shared" si="84"/>
        <v>0</v>
      </c>
      <c r="AY86" s="839">
        <f t="shared" si="84"/>
        <v>0</v>
      </c>
      <c r="AZ86" s="839">
        <f t="shared" si="84"/>
        <v>0</v>
      </c>
      <c r="BA86" s="839">
        <f t="shared" si="84"/>
        <v>0</v>
      </c>
      <c r="BB86" s="847">
        <f t="shared" si="85"/>
        <v>0</v>
      </c>
      <c r="BC86" s="848">
        <f t="shared" si="85"/>
        <v>0</v>
      </c>
    </row>
    <row r="87" spans="1:67" x14ac:dyDescent="0.25">
      <c r="A87" s="846">
        <f t="shared" si="96"/>
        <v>72</v>
      </c>
      <c r="B87" s="853">
        <f t="shared" si="70"/>
        <v>0</v>
      </c>
      <c r="C87" s="847">
        <f t="shared" si="71"/>
        <v>0</v>
      </c>
      <c r="D87" s="847">
        <f t="shared" si="72"/>
        <v>0</v>
      </c>
      <c r="E87" s="853">
        <f t="shared" si="86"/>
        <v>0</v>
      </c>
      <c r="F87" s="853">
        <f>IF(L87=0,0,E87+F86)</f>
        <v>0</v>
      </c>
      <c r="G87" s="847">
        <f t="shared" si="97"/>
        <v>0</v>
      </c>
      <c r="H87" s="853">
        <f t="shared" si="73"/>
        <v>0</v>
      </c>
      <c r="I87" s="839">
        <f>IF(H87=0,0,SUM(G88:G98)+SUM(E88:E98))</f>
        <v>0</v>
      </c>
      <c r="J87" s="839">
        <f t="shared" si="87"/>
        <v>0</v>
      </c>
      <c r="K87" s="839">
        <f t="shared" si="88"/>
        <v>0</v>
      </c>
      <c r="L87" s="854">
        <f>IF(H87=0,0,C$8-H87)</f>
        <v>0</v>
      </c>
      <c r="M87" s="855">
        <f t="shared" si="98"/>
        <v>0</v>
      </c>
      <c r="N87" s="841"/>
      <c r="O87" s="846">
        <f t="shared" si="99"/>
        <v>72</v>
      </c>
      <c r="P87" s="853">
        <f>IF(S87&lt;0.05,0,P86+U87+S87)</f>
        <v>0</v>
      </c>
      <c r="Q87" s="847">
        <f t="shared" si="74"/>
        <v>0</v>
      </c>
      <c r="R87" s="847">
        <f t="shared" si="75"/>
        <v>0</v>
      </c>
      <c r="S87" s="853">
        <f t="shared" si="89"/>
        <v>0</v>
      </c>
      <c r="T87" s="853">
        <f>IF(Z87=0,0,S87+T86)</f>
        <v>0</v>
      </c>
      <c r="U87" s="847">
        <f t="shared" si="100"/>
        <v>0</v>
      </c>
      <c r="V87" s="853">
        <f t="shared" si="76"/>
        <v>0</v>
      </c>
      <c r="W87" s="839">
        <f>IF(V87=0,0,SUM(U88:U98)+SUM(S88:S98))</f>
        <v>0</v>
      </c>
      <c r="X87" s="839">
        <f t="shared" si="90"/>
        <v>0</v>
      </c>
      <c r="Y87" s="839">
        <f t="shared" si="91"/>
        <v>0</v>
      </c>
      <c r="Z87" s="854">
        <f>IF(V87=0,0,Q$8-V87)</f>
        <v>0</v>
      </c>
      <c r="AA87" s="855">
        <f t="shared" si="80"/>
        <v>0</v>
      </c>
      <c r="AB87" s="841"/>
      <c r="AC87" s="846">
        <f t="shared" si="101"/>
        <v>72</v>
      </c>
      <c r="AD87" s="853">
        <f>IF(AG87&lt;0.05,0,AD86+AI87+AG87)</f>
        <v>0</v>
      </c>
      <c r="AE87" s="847">
        <f t="shared" si="77"/>
        <v>0</v>
      </c>
      <c r="AF87" s="847">
        <f t="shared" si="78"/>
        <v>0</v>
      </c>
      <c r="AG87" s="853">
        <f t="shared" si="92"/>
        <v>0</v>
      </c>
      <c r="AH87" s="853">
        <f>IF(AN87=0,0,AG87+AH86)</f>
        <v>0</v>
      </c>
      <c r="AI87" s="847">
        <f t="shared" si="102"/>
        <v>0</v>
      </c>
      <c r="AJ87" s="853">
        <f t="shared" si="79"/>
        <v>0</v>
      </c>
      <c r="AK87" s="839">
        <f>IF(AJ87=0,0,SUM(AI88:AI98)+SUM(AG88:AG98))</f>
        <v>0</v>
      </c>
      <c r="AL87" s="839">
        <f t="shared" si="93"/>
        <v>0</v>
      </c>
      <c r="AM87" s="839">
        <f t="shared" si="94"/>
        <v>0</v>
      </c>
      <c r="AN87" s="854">
        <f>IF(AJ87=0,0,AE$8-AJ87)</f>
        <v>0</v>
      </c>
      <c r="AO87" s="855">
        <f t="shared" si="81"/>
        <v>0</v>
      </c>
      <c r="AQ87" s="846">
        <f t="shared" si="103"/>
        <v>72</v>
      </c>
      <c r="AR87" s="853">
        <f t="shared" si="95"/>
        <v>0</v>
      </c>
      <c r="AS87" s="847">
        <f t="shared" si="84"/>
        <v>0</v>
      </c>
      <c r="AT87" s="847">
        <f t="shared" si="84"/>
        <v>0</v>
      </c>
      <c r="AU87" s="853">
        <f t="shared" si="84"/>
        <v>0</v>
      </c>
      <c r="AV87" s="853">
        <f t="shared" si="84"/>
        <v>0</v>
      </c>
      <c r="AW87" s="847">
        <f t="shared" si="84"/>
        <v>0</v>
      </c>
      <c r="AX87" s="853">
        <f t="shared" si="84"/>
        <v>0</v>
      </c>
      <c r="AY87" s="839">
        <f t="shared" si="84"/>
        <v>0</v>
      </c>
      <c r="AZ87" s="839">
        <f t="shared" si="84"/>
        <v>0</v>
      </c>
      <c r="BA87" s="839">
        <f t="shared" si="84"/>
        <v>0</v>
      </c>
      <c r="BB87" s="854">
        <f t="shared" si="85"/>
        <v>0</v>
      </c>
      <c r="BC87" s="855">
        <f t="shared" si="85"/>
        <v>0</v>
      </c>
    </row>
    <row r="88" spans="1:67" ht="13" x14ac:dyDescent="0.25">
      <c r="A88" s="856"/>
      <c r="B88" s="857">
        <f>E88+G88</f>
        <v>0</v>
      </c>
      <c r="C88" s="857">
        <f>SUM(C16:C87)</f>
        <v>0</v>
      </c>
      <c r="D88" s="857"/>
      <c r="E88" s="857">
        <f>SUM(E16:E87)</f>
        <v>0</v>
      </c>
      <c r="F88" s="857"/>
      <c r="G88" s="857">
        <f>SUM(G16:G87)</f>
        <v>0</v>
      </c>
      <c r="H88" s="857"/>
      <c r="I88" s="858"/>
      <c r="J88" s="858"/>
      <c r="K88" s="858"/>
      <c r="L88" s="857"/>
      <c r="M88" s="859"/>
      <c r="N88" s="860"/>
      <c r="O88" s="856"/>
      <c r="P88" s="857">
        <f>S88+U88</f>
        <v>0</v>
      </c>
      <c r="Q88" s="857">
        <f>SUM(Q16:Q87)</f>
        <v>0</v>
      </c>
      <c r="R88" s="857"/>
      <c r="S88" s="857">
        <f>SUM(S16:S87)</f>
        <v>0</v>
      </c>
      <c r="T88" s="857"/>
      <c r="U88" s="857">
        <f>SUM(U16:U87)</f>
        <v>0</v>
      </c>
      <c r="V88" s="857"/>
      <c r="W88" s="858"/>
      <c r="X88" s="858"/>
      <c r="Y88" s="858"/>
      <c r="Z88" s="857"/>
      <c r="AA88" s="859"/>
      <c r="AB88" s="860"/>
      <c r="AC88" s="856"/>
      <c r="AD88" s="857">
        <f>AG88+AI88</f>
        <v>0</v>
      </c>
      <c r="AE88" s="857">
        <f>SUM(AE16:AE87)</f>
        <v>0</v>
      </c>
      <c r="AF88" s="857"/>
      <c r="AG88" s="857">
        <f>SUM(AG16:AG87)</f>
        <v>0</v>
      </c>
      <c r="AH88" s="857"/>
      <c r="AI88" s="857">
        <f>SUM(AI16:AI87)</f>
        <v>0</v>
      </c>
      <c r="AJ88" s="857"/>
      <c r="AK88" s="858"/>
      <c r="AL88" s="858"/>
      <c r="AM88" s="858"/>
      <c r="AN88" s="857"/>
      <c r="AO88" s="859"/>
      <c r="AQ88" s="861"/>
      <c r="AR88" s="857">
        <f>AU88+AW88</f>
        <v>0</v>
      </c>
      <c r="AS88" s="857">
        <f>SUM(AS16:AS87)</f>
        <v>0</v>
      </c>
      <c r="AT88" s="857"/>
      <c r="AU88" s="857">
        <f>SUM(AU16:AU87)</f>
        <v>0</v>
      </c>
      <c r="AV88" s="857"/>
      <c r="AW88" s="857">
        <f>SUM(AW16:AW87)</f>
        <v>0</v>
      </c>
      <c r="AX88" s="857"/>
      <c r="AY88" s="858"/>
      <c r="AZ88" s="858"/>
      <c r="BA88" s="858"/>
      <c r="BB88" s="857"/>
      <c r="BC88" s="859"/>
    </row>
    <row r="89" spans="1:67" x14ac:dyDescent="0.25">
      <c r="A89" s="841"/>
      <c r="B89" s="841"/>
      <c r="C89" s="841"/>
      <c r="D89" s="841"/>
      <c r="E89" s="841"/>
      <c r="F89" s="841"/>
      <c r="G89" s="841"/>
      <c r="H89" s="841"/>
      <c r="I89" s="841"/>
      <c r="J89" s="841"/>
      <c r="K89" s="841"/>
      <c r="L89" s="841"/>
      <c r="M89" s="841"/>
      <c r="N89" s="841"/>
      <c r="O89" s="841"/>
      <c r="P89" s="841"/>
      <c r="Q89" s="841"/>
      <c r="R89" s="841"/>
      <c r="S89" s="841"/>
      <c r="T89" s="841"/>
      <c r="U89" s="841"/>
      <c r="V89" s="841"/>
      <c r="W89" s="841"/>
      <c r="X89" s="841"/>
      <c r="Y89" s="841"/>
      <c r="Z89" s="841"/>
      <c r="AA89" s="841"/>
      <c r="AB89" s="841"/>
      <c r="AC89" s="841"/>
      <c r="AD89" s="841"/>
      <c r="AE89" s="841"/>
      <c r="AF89" s="841"/>
      <c r="AG89" s="841"/>
      <c r="AH89" s="841"/>
      <c r="AI89" s="841"/>
      <c r="AJ89" s="841"/>
      <c r="AK89" s="841"/>
      <c r="AL89" s="841"/>
      <c r="AM89" s="841"/>
      <c r="AN89" s="841"/>
      <c r="AO89" s="841"/>
      <c r="AQ89" s="841"/>
      <c r="AR89" s="841"/>
      <c r="AS89" s="841"/>
      <c r="AT89" s="841"/>
      <c r="AU89" s="841"/>
      <c r="AV89" s="841"/>
      <c r="AW89" s="841"/>
      <c r="AX89" s="841"/>
      <c r="AY89" s="841"/>
      <c r="AZ89" s="841"/>
      <c r="BA89" s="841"/>
      <c r="BB89" s="841"/>
      <c r="BC89" s="841"/>
    </row>
    <row r="90" spans="1:67" ht="15.5" x14ac:dyDescent="0.25">
      <c r="A90" s="1801" t="s">
        <v>47</v>
      </c>
      <c r="B90" s="1801"/>
      <c r="C90" s="1801"/>
      <c r="D90" s="841"/>
      <c r="E90" s="841"/>
      <c r="F90" s="841"/>
      <c r="G90" s="841"/>
      <c r="H90" s="841"/>
      <c r="I90" s="841"/>
      <c r="J90" s="841"/>
      <c r="K90" s="841"/>
      <c r="L90" s="841"/>
      <c r="M90" s="841"/>
      <c r="N90" s="841"/>
      <c r="O90" s="1801" t="s">
        <v>47</v>
      </c>
      <c r="P90" s="1801"/>
      <c r="Q90" s="1801"/>
      <c r="R90" s="841"/>
      <c r="S90" s="841"/>
      <c r="T90" s="841"/>
      <c r="U90" s="841"/>
      <c r="V90" s="841"/>
      <c r="W90" s="841"/>
      <c r="X90" s="841"/>
      <c r="Y90" s="841"/>
      <c r="Z90" s="841"/>
      <c r="AA90" s="841"/>
      <c r="AB90" s="841"/>
      <c r="AC90" s="1801" t="s">
        <v>47</v>
      </c>
      <c r="AD90" s="1801"/>
      <c r="AE90" s="1801"/>
      <c r="AF90" s="841"/>
      <c r="AG90" s="841"/>
      <c r="AH90" s="841"/>
      <c r="AI90" s="841"/>
      <c r="AJ90" s="841"/>
      <c r="AK90" s="841"/>
      <c r="AL90" s="841"/>
      <c r="AM90" s="841"/>
      <c r="AN90" s="841"/>
      <c r="AO90" s="841"/>
      <c r="AQ90" s="1801" t="s">
        <v>47</v>
      </c>
      <c r="AR90" s="1801"/>
      <c r="AS90" s="1801"/>
      <c r="AT90" s="841"/>
      <c r="AU90" s="841"/>
      <c r="AV90" s="841"/>
      <c r="AW90" s="841"/>
      <c r="AX90" s="841"/>
      <c r="AY90" s="841"/>
      <c r="AZ90" s="841"/>
      <c r="BA90" s="841"/>
      <c r="BB90" s="841"/>
      <c r="BC90" s="841"/>
    </row>
    <row r="91" spans="1:67" x14ac:dyDescent="0.25">
      <c r="A91" s="841"/>
      <c r="B91" s="841"/>
      <c r="C91" s="841"/>
      <c r="D91" s="841"/>
      <c r="E91" s="841"/>
      <c r="F91" s="841"/>
      <c r="G91" s="841"/>
      <c r="H91" s="841"/>
      <c r="I91" s="841"/>
      <c r="J91" s="841"/>
      <c r="K91" s="841"/>
      <c r="L91" s="841"/>
      <c r="M91" s="841"/>
      <c r="N91" s="841"/>
      <c r="O91" s="841"/>
      <c r="P91" s="841"/>
      <c r="Q91" s="841"/>
      <c r="R91" s="841"/>
      <c r="S91" s="841"/>
      <c r="T91" s="841"/>
      <c r="U91" s="841"/>
      <c r="V91" s="841"/>
      <c r="W91" s="841"/>
      <c r="X91" s="841"/>
      <c r="Y91" s="841"/>
      <c r="Z91" s="841"/>
      <c r="AA91" s="841"/>
      <c r="AB91" s="841"/>
      <c r="AC91" s="841"/>
      <c r="AD91" s="841"/>
      <c r="AE91" s="841"/>
      <c r="AF91" s="841"/>
      <c r="AG91" s="841"/>
      <c r="AH91" s="841"/>
      <c r="AI91" s="841"/>
      <c r="AJ91" s="841"/>
      <c r="AK91" s="841"/>
      <c r="AL91" s="841"/>
      <c r="AM91" s="841"/>
      <c r="AN91" s="841"/>
      <c r="AO91" s="841"/>
      <c r="AQ91" s="841"/>
      <c r="AR91" s="841"/>
      <c r="AS91" s="841"/>
      <c r="AT91" s="841"/>
      <c r="AU91" s="841"/>
      <c r="AV91" s="841"/>
      <c r="AW91" s="841"/>
      <c r="AX91" s="841"/>
      <c r="AY91" s="841"/>
      <c r="AZ91" s="841"/>
      <c r="BA91" s="841"/>
      <c r="BB91" s="841"/>
      <c r="BC91" s="841"/>
    </row>
    <row r="92" spans="1:67" x14ac:dyDescent="0.25">
      <c r="A92" s="841"/>
      <c r="B92" s="841"/>
      <c r="C92" s="841"/>
      <c r="D92" s="841"/>
      <c r="E92" s="841"/>
      <c r="F92" s="841"/>
      <c r="G92" s="841"/>
      <c r="H92" s="841"/>
      <c r="I92" s="841"/>
      <c r="J92" s="841"/>
      <c r="K92" s="841"/>
      <c r="L92" s="841"/>
      <c r="M92" s="841"/>
      <c r="N92" s="841"/>
      <c r="O92" s="841"/>
      <c r="P92" s="841"/>
      <c r="Q92" s="841"/>
      <c r="R92" s="841"/>
      <c r="S92" s="841"/>
      <c r="T92" s="841"/>
      <c r="U92" s="841"/>
      <c r="V92" s="841"/>
      <c r="W92" s="841"/>
      <c r="X92" s="841"/>
      <c r="Y92" s="841"/>
      <c r="Z92" s="841"/>
      <c r="AA92" s="841"/>
      <c r="AB92" s="841"/>
      <c r="AC92" s="841"/>
      <c r="AD92" s="841"/>
      <c r="AE92" s="841"/>
      <c r="AF92" s="841"/>
      <c r="AG92" s="841"/>
      <c r="AH92" s="841"/>
      <c r="AI92" s="841"/>
      <c r="AJ92" s="841"/>
      <c r="AK92" s="841"/>
      <c r="AL92" s="841"/>
      <c r="AM92" s="841"/>
      <c r="AN92" s="841"/>
      <c r="AO92" s="841"/>
      <c r="AQ92" s="841"/>
      <c r="AR92" s="841"/>
      <c r="AS92" s="841"/>
      <c r="AT92" s="841"/>
      <c r="AU92" s="841"/>
      <c r="AV92" s="841"/>
      <c r="AW92" s="841"/>
      <c r="AX92" s="841"/>
      <c r="AY92" s="841"/>
      <c r="AZ92" s="841"/>
      <c r="BA92" s="841"/>
      <c r="BB92" s="841"/>
      <c r="BC92" s="841"/>
    </row>
    <row r="93" spans="1:67" ht="13" x14ac:dyDescent="0.25">
      <c r="A93" s="1816" t="s">
        <v>122</v>
      </c>
      <c r="B93" s="1816"/>
      <c r="C93" s="1816"/>
      <c r="E93" s="1803"/>
      <c r="F93" s="1803"/>
      <c r="G93" s="1803"/>
      <c r="O93" s="1816" t="s">
        <v>126</v>
      </c>
      <c r="P93" s="1816"/>
      <c r="Q93" s="1816"/>
      <c r="S93" s="1803"/>
      <c r="T93" s="1803"/>
      <c r="U93" s="1803"/>
      <c r="AC93" s="1816" t="s">
        <v>127</v>
      </c>
      <c r="AD93" s="1816"/>
      <c r="AE93" s="1816"/>
      <c r="AG93" s="1803"/>
      <c r="AH93" s="1803"/>
      <c r="AI93" s="1803"/>
      <c r="AQ93" s="1816" t="s">
        <v>290</v>
      </c>
      <c r="AR93" s="1816"/>
      <c r="AS93" s="1816"/>
      <c r="AU93" s="1803"/>
      <c r="AV93" s="1803"/>
      <c r="AW93" s="1803"/>
    </row>
    <row r="94" spans="1:67" ht="13" x14ac:dyDescent="0.25">
      <c r="A94" s="1804" t="s">
        <v>264</v>
      </c>
      <c r="B94" s="1804"/>
      <c r="C94" s="815">
        <v>0</v>
      </c>
      <c r="E94" s="1805"/>
      <c r="F94" s="1805"/>
      <c r="G94" s="816"/>
      <c r="O94" s="1804" t="s">
        <v>264</v>
      </c>
      <c r="P94" s="1804"/>
      <c r="Q94" s="815">
        <v>0</v>
      </c>
      <c r="S94" s="1805"/>
      <c r="T94" s="1805"/>
      <c r="U94" s="816"/>
      <c r="AC94" s="1804" t="s">
        <v>264</v>
      </c>
      <c r="AD94" s="1804"/>
      <c r="AE94" s="815">
        <v>0</v>
      </c>
      <c r="AG94" s="1805"/>
      <c r="AH94" s="1805"/>
      <c r="AI94" s="816"/>
      <c r="AQ94" s="1804" t="s">
        <v>265</v>
      </c>
      <c r="AR94" s="1804"/>
      <c r="AS94" s="815">
        <f>C94+Q94+AE94</f>
        <v>0</v>
      </c>
      <c r="AU94" s="1805"/>
      <c r="AV94" s="1805"/>
      <c r="AW94" s="816"/>
    </row>
    <row r="95" spans="1:67" ht="13" x14ac:dyDescent="0.25">
      <c r="A95" s="1806" t="s">
        <v>115</v>
      </c>
      <c r="B95" s="1806"/>
      <c r="C95" s="817">
        <v>0</v>
      </c>
      <c r="O95" s="1806" t="s">
        <v>266</v>
      </c>
      <c r="P95" s="1806"/>
      <c r="Q95" s="817">
        <v>0</v>
      </c>
      <c r="AC95" s="1806" t="s">
        <v>266</v>
      </c>
      <c r="AD95" s="1806"/>
      <c r="AE95" s="817">
        <v>0</v>
      </c>
      <c r="AQ95" s="1807"/>
      <c r="AR95" s="1807"/>
      <c r="AS95" s="818"/>
    </row>
    <row r="96" spans="1:67" ht="13" x14ac:dyDescent="0.25">
      <c r="A96" s="1806" t="s">
        <v>89</v>
      </c>
      <c r="B96" s="1806"/>
      <c r="C96" s="819">
        <v>0.16</v>
      </c>
      <c r="D96" s="820"/>
      <c r="O96" s="1806" t="s">
        <v>89</v>
      </c>
      <c r="P96" s="1806"/>
      <c r="Q96" s="819">
        <v>0.16</v>
      </c>
      <c r="R96" s="820"/>
      <c r="AC96" s="1806" t="s">
        <v>89</v>
      </c>
      <c r="AD96" s="1806"/>
      <c r="AE96" s="819">
        <v>0.16</v>
      </c>
      <c r="AF96" s="820"/>
      <c r="AQ96" s="1807"/>
      <c r="AR96" s="1807"/>
      <c r="AS96" s="818"/>
      <c r="AT96" s="820"/>
    </row>
    <row r="97" spans="1:55" ht="13" x14ac:dyDescent="0.25">
      <c r="A97" s="1806" t="s">
        <v>116</v>
      </c>
      <c r="B97" s="1806"/>
      <c r="C97" s="821">
        <v>0</v>
      </c>
      <c r="D97" s="812"/>
      <c r="O97" s="1806" t="s">
        <v>116</v>
      </c>
      <c r="P97" s="1806"/>
      <c r="Q97" s="821">
        <v>0</v>
      </c>
      <c r="R97" s="812"/>
      <c r="AC97" s="1806" t="s">
        <v>116</v>
      </c>
      <c r="AD97" s="1806"/>
      <c r="AE97" s="821">
        <v>0</v>
      </c>
      <c r="AF97" s="812"/>
      <c r="AQ97" s="1806" t="s">
        <v>116</v>
      </c>
      <c r="AR97" s="1806"/>
      <c r="AS97" s="822">
        <f>MAX(C97,Q97,AE97)</f>
        <v>0</v>
      </c>
      <c r="AT97" s="812"/>
    </row>
    <row r="98" spans="1:55" ht="13" x14ac:dyDescent="0.25">
      <c r="A98" s="1810" t="s">
        <v>276</v>
      </c>
      <c r="B98" s="1810"/>
      <c r="C98" s="829"/>
      <c r="O98" s="1810" t="s">
        <v>276</v>
      </c>
      <c r="P98" s="1810"/>
      <c r="Q98" s="829">
        <v>0</v>
      </c>
      <c r="AC98" s="1810" t="s">
        <v>276</v>
      </c>
      <c r="AD98" s="1810"/>
      <c r="AE98" s="829">
        <v>0</v>
      </c>
      <c r="AQ98" s="1810" t="s">
        <v>277</v>
      </c>
      <c r="AR98" s="1810"/>
      <c r="AS98" s="829">
        <f>C98+Q98+AE98</f>
        <v>0</v>
      </c>
    </row>
    <row r="100" spans="1:55" ht="12.75" customHeight="1" x14ac:dyDescent="0.25">
      <c r="A100" s="1817" t="s">
        <v>267</v>
      </c>
      <c r="B100" s="1818" t="s">
        <v>278</v>
      </c>
      <c r="C100" s="1818" t="s">
        <v>89</v>
      </c>
      <c r="D100" s="1818" t="s">
        <v>279</v>
      </c>
      <c r="E100" s="1818" t="s">
        <v>280</v>
      </c>
      <c r="F100" s="1818" t="s">
        <v>281</v>
      </c>
      <c r="G100" s="1818" t="s">
        <v>282</v>
      </c>
      <c r="H100" s="1818" t="s">
        <v>283</v>
      </c>
      <c r="I100" s="1818" t="s">
        <v>284</v>
      </c>
      <c r="J100" s="1818" t="s">
        <v>285</v>
      </c>
      <c r="K100" s="1818" t="s">
        <v>286</v>
      </c>
      <c r="L100" s="1818" t="s">
        <v>287</v>
      </c>
      <c r="M100" s="1819" t="s">
        <v>288</v>
      </c>
      <c r="N100" s="836"/>
      <c r="O100" s="1817" t="s">
        <v>267</v>
      </c>
      <c r="P100" s="1818" t="s">
        <v>278</v>
      </c>
      <c r="Q100" s="1818" t="s">
        <v>89</v>
      </c>
      <c r="R100" s="1818" t="s">
        <v>279</v>
      </c>
      <c r="S100" s="1818" t="s">
        <v>280</v>
      </c>
      <c r="T100" s="1818" t="s">
        <v>281</v>
      </c>
      <c r="U100" s="1818" t="s">
        <v>282</v>
      </c>
      <c r="V100" s="1818" t="s">
        <v>283</v>
      </c>
      <c r="W100" s="1818" t="s">
        <v>284</v>
      </c>
      <c r="X100" s="1818" t="s">
        <v>285</v>
      </c>
      <c r="Y100" s="1818" t="s">
        <v>286</v>
      </c>
      <c r="Z100" s="1818" t="s">
        <v>287</v>
      </c>
      <c r="AA100" s="1819" t="s">
        <v>288</v>
      </c>
      <c r="AB100" s="836"/>
      <c r="AC100" s="1817" t="s">
        <v>267</v>
      </c>
      <c r="AD100" s="1818" t="s">
        <v>278</v>
      </c>
      <c r="AE100" s="1818" t="s">
        <v>89</v>
      </c>
      <c r="AF100" s="1818" t="s">
        <v>279</v>
      </c>
      <c r="AG100" s="1818" t="s">
        <v>280</v>
      </c>
      <c r="AH100" s="1818" t="s">
        <v>281</v>
      </c>
      <c r="AI100" s="1818" t="s">
        <v>282</v>
      </c>
      <c r="AJ100" s="1818" t="s">
        <v>283</v>
      </c>
      <c r="AK100" s="1818" t="s">
        <v>284</v>
      </c>
      <c r="AL100" s="1818" t="s">
        <v>285</v>
      </c>
      <c r="AM100" s="1818" t="s">
        <v>286</v>
      </c>
      <c r="AN100" s="1818" t="s">
        <v>287</v>
      </c>
      <c r="AO100" s="1819" t="s">
        <v>288</v>
      </c>
      <c r="AQ100" s="1817" t="s">
        <v>267</v>
      </c>
      <c r="AR100" s="1818" t="s">
        <v>278</v>
      </c>
      <c r="AS100" s="1818" t="s">
        <v>89</v>
      </c>
      <c r="AT100" s="1818" t="s">
        <v>279</v>
      </c>
      <c r="AU100" s="1818" t="s">
        <v>280</v>
      </c>
      <c r="AV100" s="1818" t="s">
        <v>281</v>
      </c>
      <c r="AW100" s="1818" t="s">
        <v>282</v>
      </c>
      <c r="AX100" s="1818" t="s">
        <v>283</v>
      </c>
      <c r="AY100" s="1818" t="s">
        <v>284</v>
      </c>
      <c r="AZ100" s="1818" t="s">
        <v>285</v>
      </c>
      <c r="BA100" s="1818" t="s">
        <v>286</v>
      </c>
      <c r="BB100" s="1818" t="s">
        <v>287</v>
      </c>
      <c r="BC100" s="1819" t="s">
        <v>288</v>
      </c>
    </row>
    <row r="101" spans="1:55" x14ac:dyDescent="0.25">
      <c r="A101" s="1817"/>
      <c r="B101" s="1818"/>
      <c r="C101" s="1818"/>
      <c r="D101" s="1818"/>
      <c r="E101" s="1818"/>
      <c r="F101" s="1818"/>
      <c r="G101" s="1818"/>
      <c r="H101" s="1818"/>
      <c r="I101" s="1818"/>
      <c r="J101" s="1818"/>
      <c r="K101" s="1818"/>
      <c r="L101" s="1818"/>
      <c r="M101" s="1819"/>
      <c r="N101" s="836"/>
      <c r="O101" s="1817"/>
      <c r="P101" s="1818"/>
      <c r="Q101" s="1818"/>
      <c r="R101" s="1818"/>
      <c r="S101" s="1818"/>
      <c r="T101" s="1818"/>
      <c r="U101" s="1818"/>
      <c r="V101" s="1818"/>
      <c r="W101" s="1818"/>
      <c r="X101" s="1818"/>
      <c r="Y101" s="1818"/>
      <c r="Z101" s="1818"/>
      <c r="AA101" s="1819"/>
      <c r="AB101" s="836"/>
      <c r="AC101" s="1817"/>
      <c r="AD101" s="1818"/>
      <c r="AE101" s="1818"/>
      <c r="AF101" s="1818"/>
      <c r="AG101" s="1818"/>
      <c r="AH101" s="1818"/>
      <c r="AI101" s="1818"/>
      <c r="AJ101" s="1818"/>
      <c r="AK101" s="1818"/>
      <c r="AL101" s="1818"/>
      <c r="AM101" s="1818"/>
      <c r="AN101" s="1818"/>
      <c r="AO101" s="1819"/>
      <c r="AQ101" s="1817"/>
      <c r="AR101" s="1818"/>
      <c r="AS101" s="1818"/>
      <c r="AT101" s="1818"/>
      <c r="AU101" s="1818"/>
      <c r="AV101" s="1818"/>
      <c r="AW101" s="1818"/>
      <c r="AX101" s="1818"/>
      <c r="AY101" s="1818"/>
      <c r="AZ101" s="1818"/>
      <c r="BA101" s="1818"/>
      <c r="BB101" s="1818"/>
      <c r="BC101" s="1819"/>
    </row>
    <row r="102" spans="1:55" x14ac:dyDescent="0.25">
      <c r="A102" s="862">
        <v>1</v>
      </c>
      <c r="B102" s="838">
        <f>C98</f>
        <v>0</v>
      </c>
      <c r="C102" s="838">
        <f>C98*C96</f>
        <v>0</v>
      </c>
      <c r="D102" s="838">
        <f>C102</f>
        <v>0</v>
      </c>
      <c r="E102" s="838">
        <f>C94*C$95/12</f>
        <v>0</v>
      </c>
      <c r="F102" s="838">
        <f>E102</f>
        <v>0</v>
      </c>
      <c r="G102" s="838">
        <f>C98-E102</f>
        <v>0</v>
      </c>
      <c r="H102" s="838">
        <f>G102</f>
        <v>0</v>
      </c>
      <c r="I102" s="839">
        <f>IF(H102=0,0,SUM(G103:G114)+SUM(E103:E114))</f>
        <v>0</v>
      </c>
      <c r="J102" s="839">
        <f>IF(K102&gt;I102,K102-I102,0)</f>
        <v>0</v>
      </c>
      <c r="K102" s="839">
        <f t="shared" ref="K102:K133" si="104">IF(C$97*12&gt;A102,(C$97*12-A102)*C$98,0)</f>
        <v>0</v>
      </c>
      <c r="L102" s="838">
        <f>C$94-H102</f>
        <v>0</v>
      </c>
      <c r="M102" s="840">
        <f>E174-E102</f>
        <v>0</v>
      </c>
      <c r="N102" s="841"/>
      <c r="O102" s="862">
        <v>1</v>
      </c>
      <c r="P102" s="838">
        <f>Q98</f>
        <v>0</v>
      </c>
      <c r="Q102" s="838">
        <f>Q98*Q96</f>
        <v>0</v>
      </c>
      <c r="R102" s="838">
        <f>Q102</f>
        <v>0</v>
      </c>
      <c r="S102" s="838">
        <f>Q94*Q$95/12</f>
        <v>0</v>
      </c>
      <c r="T102" s="838">
        <f>S102</f>
        <v>0</v>
      </c>
      <c r="U102" s="838">
        <f>Q98-S102</f>
        <v>0</v>
      </c>
      <c r="V102" s="838">
        <f>U102</f>
        <v>0</v>
      </c>
      <c r="W102" s="839">
        <f>IF(V102=0,0,SUM(U103:U114)+SUM(S103:S114))</f>
        <v>0</v>
      </c>
      <c r="X102" s="839">
        <f>IF(Y102&gt;W102,Y102-W102,0)</f>
        <v>0</v>
      </c>
      <c r="Y102" s="839">
        <f t="shared" ref="Y102:Y133" si="105">IF(Q$11*12&gt;O102,(Q$11*12-O102)*Q$98,0)</f>
        <v>0</v>
      </c>
      <c r="Z102" s="838">
        <f>Q$94-V102</f>
        <v>0</v>
      </c>
      <c r="AA102" s="840">
        <f>S174-S102</f>
        <v>0</v>
      </c>
      <c r="AB102" s="841"/>
      <c r="AC102" s="862">
        <v>1</v>
      </c>
      <c r="AD102" s="838">
        <f>AE98</f>
        <v>0</v>
      </c>
      <c r="AE102" s="838">
        <f>AE98*AE96</f>
        <v>0</v>
      </c>
      <c r="AF102" s="838">
        <f>AE102</f>
        <v>0</v>
      </c>
      <c r="AG102" s="838">
        <f>AE94*AE$95/12</f>
        <v>0</v>
      </c>
      <c r="AH102" s="838">
        <f>AG102</f>
        <v>0</v>
      </c>
      <c r="AI102" s="838">
        <f>AE98-AG102</f>
        <v>0</v>
      </c>
      <c r="AJ102" s="838">
        <f>AI102</f>
        <v>0</v>
      </c>
      <c r="AK102" s="839">
        <f>IF(AJ102=0,0,SUM(AI103:AI114)+SUM(AG103:AG114))</f>
        <v>0</v>
      </c>
      <c r="AL102" s="839">
        <f>IF(AM102&gt;AK102,AM102-AK102,0)</f>
        <v>0</v>
      </c>
      <c r="AM102" s="839">
        <f t="shared" ref="AM102:AM133" si="106">IF(AE$11*12&gt;AC102,(AE$11*12-AC102)*AE$98,0)</f>
        <v>0</v>
      </c>
      <c r="AN102" s="838">
        <f>AE$94-AJ102</f>
        <v>0</v>
      </c>
      <c r="AO102" s="840">
        <f>AG174-AG102</f>
        <v>0</v>
      </c>
      <c r="AQ102" s="837">
        <v>1</v>
      </c>
      <c r="AR102" s="838">
        <f>B102+P102+AD102</f>
        <v>0</v>
      </c>
      <c r="AS102" s="838">
        <f t="shared" ref="AS102:AS165" si="107">C102+Q102+AE102</f>
        <v>0</v>
      </c>
      <c r="AT102" s="838">
        <f t="shared" ref="AT102:AT165" si="108">D102+R102+AF102</f>
        <v>0</v>
      </c>
      <c r="AU102" s="838">
        <f t="shared" ref="AU102:AU165" si="109">E102+S102+AG102</f>
        <v>0</v>
      </c>
      <c r="AV102" s="838">
        <f t="shared" ref="AV102:AV165" si="110">F102+T102+AH102</f>
        <v>0</v>
      </c>
      <c r="AW102" s="838">
        <f t="shared" ref="AW102:AW165" si="111">G102+U102+AI102</f>
        <v>0</v>
      </c>
      <c r="AX102" s="838">
        <f t="shared" ref="AX102:AX165" si="112">H102+V102+AJ102</f>
        <v>0</v>
      </c>
      <c r="AY102" s="839">
        <f t="shared" ref="AY102:AY165" si="113">I102+W102+AK102</f>
        <v>0</v>
      </c>
      <c r="AZ102" s="839">
        <f t="shared" ref="AZ102:AZ165" si="114">J102+X102+AL102</f>
        <v>0</v>
      </c>
      <c r="BA102" s="839">
        <f t="shared" ref="BA102:BA165" si="115">K102+Y102+AM102</f>
        <v>0</v>
      </c>
      <c r="BB102" s="838">
        <f t="shared" ref="BB102:BC165" si="116">L102+Z102+AN102</f>
        <v>0</v>
      </c>
      <c r="BC102" s="840">
        <f t="shared" si="116"/>
        <v>0</v>
      </c>
    </row>
    <row r="103" spans="1:55" x14ac:dyDescent="0.25">
      <c r="A103" s="863">
        <f>A102+1</f>
        <v>2</v>
      </c>
      <c r="B103" s="847">
        <f>B102+G103+E103</f>
        <v>0</v>
      </c>
      <c r="C103" s="847">
        <f>C102</f>
        <v>0</v>
      </c>
      <c r="D103" s="847">
        <f>C103+D102</f>
        <v>0</v>
      </c>
      <c r="E103" s="847">
        <f t="shared" ref="E103:E134" si="117">L102*C$95/12</f>
        <v>0</v>
      </c>
      <c r="F103" s="847">
        <f>E103+F102</f>
        <v>0</v>
      </c>
      <c r="G103" s="847">
        <f>C98-E103</f>
        <v>0</v>
      </c>
      <c r="H103" s="847">
        <f>G103+H102</f>
        <v>0</v>
      </c>
      <c r="I103" s="839">
        <f t="shared" ref="I103:I166" si="118">IF(H103=0,0,SUM(G104:G115)+SUM(E104:E115))</f>
        <v>0</v>
      </c>
      <c r="J103" s="839">
        <f t="shared" ref="J103:J166" si="119">IF(K103&gt;I103,K103-I103,0)</f>
        <v>0</v>
      </c>
      <c r="K103" s="839">
        <f t="shared" si="104"/>
        <v>0</v>
      </c>
      <c r="L103" s="847">
        <f>C$94-H103</f>
        <v>0</v>
      </c>
      <c r="M103" s="848">
        <f>M102-E103</f>
        <v>0</v>
      </c>
      <c r="N103" s="841"/>
      <c r="O103" s="863">
        <f>O102+1</f>
        <v>2</v>
      </c>
      <c r="P103" s="847">
        <f>P102+U103+S103</f>
        <v>0</v>
      </c>
      <c r="Q103" s="847">
        <f>Q102</f>
        <v>0</v>
      </c>
      <c r="R103" s="847">
        <f>Q103+R102</f>
        <v>0</v>
      </c>
      <c r="S103" s="847">
        <f t="shared" ref="S103:S134" si="120">Z102*Q$95/12</f>
        <v>0</v>
      </c>
      <c r="T103" s="847">
        <f>S103+T102</f>
        <v>0</v>
      </c>
      <c r="U103" s="847">
        <f>Q98-S103</f>
        <v>0</v>
      </c>
      <c r="V103" s="847">
        <f>U103+V102</f>
        <v>0</v>
      </c>
      <c r="W103" s="839">
        <f t="shared" ref="W103:W166" si="121">IF(V103=0,0,SUM(U104:U115)+SUM(S104:S115))</f>
        <v>0</v>
      </c>
      <c r="X103" s="839">
        <f t="shared" ref="X103:X166" si="122">IF(Y103&gt;W103,Y103-W103,0)</f>
        <v>0</v>
      </c>
      <c r="Y103" s="839">
        <f t="shared" si="105"/>
        <v>0</v>
      </c>
      <c r="Z103" s="847">
        <f>Q$94-V103</f>
        <v>0</v>
      </c>
      <c r="AA103" s="848">
        <f>AA102-S103</f>
        <v>0</v>
      </c>
      <c r="AB103" s="841"/>
      <c r="AC103" s="863">
        <f>AC102+1</f>
        <v>2</v>
      </c>
      <c r="AD103" s="847">
        <f>AD102+AI103+AG103</f>
        <v>0</v>
      </c>
      <c r="AE103" s="847">
        <f>AE102</f>
        <v>0</v>
      </c>
      <c r="AF103" s="847">
        <f>AE103+AF102</f>
        <v>0</v>
      </c>
      <c r="AG103" s="847">
        <f t="shared" ref="AG103:AG134" si="123">AN102*AE$95/12</f>
        <v>0</v>
      </c>
      <c r="AH103" s="847">
        <f>AG103+AH102</f>
        <v>0</v>
      </c>
      <c r="AI103" s="847">
        <f>AE98-AG103</f>
        <v>0</v>
      </c>
      <c r="AJ103" s="847">
        <f>AI103+AJ102</f>
        <v>0</v>
      </c>
      <c r="AK103" s="839">
        <f t="shared" ref="AK103:AK166" si="124">IF(AJ103=0,0,SUM(AI104:AI115)+SUM(AG104:AG115))</f>
        <v>0</v>
      </c>
      <c r="AL103" s="839">
        <f t="shared" ref="AL103:AL166" si="125">IF(AM103&gt;AK103,AM103-AK103,0)</f>
        <v>0</v>
      </c>
      <c r="AM103" s="839">
        <f t="shared" si="106"/>
        <v>0</v>
      </c>
      <c r="AN103" s="847">
        <f>AE$94-AJ103</f>
        <v>0</v>
      </c>
      <c r="AO103" s="848">
        <f>AO102-AG103</f>
        <v>0</v>
      </c>
      <c r="AQ103" s="846">
        <f>AQ102+1</f>
        <v>2</v>
      </c>
      <c r="AR103" s="847">
        <f t="shared" ref="AR103:AR166" si="126">B103+P103+AD103</f>
        <v>0</v>
      </c>
      <c r="AS103" s="847">
        <f t="shared" si="107"/>
        <v>0</v>
      </c>
      <c r="AT103" s="847">
        <f t="shared" si="108"/>
        <v>0</v>
      </c>
      <c r="AU103" s="847">
        <f t="shared" si="109"/>
        <v>0</v>
      </c>
      <c r="AV103" s="847">
        <f t="shared" si="110"/>
        <v>0</v>
      </c>
      <c r="AW103" s="847">
        <f t="shared" si="111"/>
        <v>0</v>
      </c>
      <c r="AX103" s="847">
        <f t="shared" si="112"/>
        <v>0</v>
      </c>
      <c r="AY103" s="839">
        <f t="shared" si="113"/>
        <v>0</v>
      </c>
      <c r="AZ103" s="839">
        <f t="shared" si="114"/>
        <v>0</v>
      </c>
      <c r="BA103" s="839">
        <f t="shared" si="115"/>
        <v>0</v>
      </c>
      <c r="BB103" s="847">
        <f t="shared" si="116"/>
        <v>0</v>
      </c>
      <c r="BC103" s="848">
        <f t="shared" si="116"/>
        <v>0</v>
      </c>
    </row>
    <row r="104" spans="1:55" x14ac:dyDescent="0.25">
      <c r="A104" s="863">
        <f t="shared" ref="A104:A167" si="127">A103+1</f>
        <v>3</v>
      </c>
      <c r="B104" s="847">
        <f>B103+G104+E104</f>
        <v>0</v>
      </c>
      <c r="C104" s="847">
        <f t="shared" ref="C104:C137" si="128">IF(AND(B104=0,G104=0),0,C103)</f>
        <v>0</v>
      </c>
      <c r="D104" s="847">
        <f t="shared" ref="D104:D137" si="129">IF(C104=0,0,C104+D103)</f>
        <v>0</v>
      </c>
      <c r="E104" s="847">
        <f t="shared" si="117"/>
        <v>0</v>
      </c>
      <c r="F104" s="847">
        <f>E104+F103</f>
        <v>0</v>
      </c>
      <c r="G104" s="847">
        <f t="shared" ref="G104:G135" si="130">IF(ABS(C$94-H103)&lt;1,0,G103*(1+C$95/12))</f>
        <v>0</v>
      </c>
      <c r="H104" s="847">
        <f>G104+H103</f>
        <v>0</v>
      </c>
      <c r="I104" s="839">
        <f t="shared" si="118"/>
        <v>0</v>
      </c>
      <c r="J104" s="839">
        <f t="shared" si="119"/>
        <v>0</v>
      </c>
      <c r="K104" s="839">
        <f t="shared" si="104"/>
        <v>0</v>
      </c>
      <c r="L104" s="847">
        <f>C$94-H104</f>
        <v>0</v>
      </c>
      <c r="M104" s="848">
        <f t="shared" ref="M104:M154" si="131">M103-E104</f>
        <v>0</v>
      </c>
      <c r="N104" s="841"/>
      <c r="O104" s="863">
        <f t="shared" ref="O104:O167" si="132">O103+1</f>
        <v>3</v>
      </c>
      <c r="P104" s="847">
        <f>P103+U104+S104</f>
        <v>0</v>
      </c>
      <c r="Q104" s="847">
        <f t="shared" ref="Q104:Q137" si="133">IF(AND(P104=0,U104=0),0,Q103)</f>
        <v>0</v>
      </c>
      <c r="R104" s="847">
        <f t="shared" ref="R104:R137" si="134">IF(Q104=0,0,Q104+R103)</f>
        <v>0</v>
      </c>
      <c r="S104" s="847">
        <f t="shared" si="120"/>
        <v>0</v>
      </c>
      <c r="T104" s="847">
        <f>S104+T103</f>
        <v>0</v>
      </c>
      <c r="U104" s="847">
        <f t="shared" ref="U104:U135" si="135">IF(ABS(Q$94-V103)&lt;1,0,U103*(1+Q$95/12))</f>
        <v>0</v>
      </c>
      <c r="V104" s="847">
        <f>U104+V103</f>
        <v>0</v>
      </c>
      <c r="W104" s="839">
        <f t="shared" si="121"/>
        <v>0</v>
      </c>
      <c r="X104" s="839">
        <f t="shared" si="122"/>
        <v>0</v>
      </c>
      <c r="Y104" s="839">
        <f t="shared" si="105"/>
        <v>0</v>
      </c>
      <c r="Z104" s="847">
        <f>Q$94-V104</f>
        <v>0</v>
      </c>
      <c r="AA104" s="848">
        <f t="shared" ref="AA104:AA154" si="136">AA103-S104</f>
        <v>0</v>
      </c>
      <c r="AB104" s="841"/>
      <c r="AC104" s="863">
        <f t="shared" ref="AC104:AC167" si="137">AC103+1</f>
        <v>3</v>
      </c>
      <c r="AD104" s="847">
        <f>AD103+AI104+AG104</f>
        <v>0</v>
      </c>
      <c r="AE104" s="847">
        <f t="shared" ref="AE104:AE137" si="138">IF(AND(AD104=0,AI104=0),0,AE103)</f>
        <v>0</v>
      </c>
      <c r="AF104" s="847">
        <f t="shared" ref="AF104:AF137" si="139">IF(AE104=0,0,AE104+AF103)</f>
        <v>0</v>
      </c>
      <c r="AG104" s="847">
        <f t="shared" si="123"/>
        <v>0</v>
      </c>
      <c r="AH104" s="847">
        <f>AG104+AH103</f>
        <v>0</v>
      </c>
      <c r="AI104" s="847">
        <f t="shared" ref="AI104:AI135" si="140">IF(ABS(AE$94-AJ103)&lt;1,0,AI103*(1+AE$95/12))</f>
        <v>0</v>
      </c>
      <c r="AJ104" s="847">
        <f>AI104+AJ103</f>
        <v>0</v>
      </c>
      <c r="AK104" s="839">
        <f t="shared" si="124"/>
        <v>0</v>
      </c>
      <c r="AL104" s="839">
        <f t="shared" si="125"/>
        <v>0</v>
      </c>
      <c r="AM104" s="839">
        <f t="shared" si="106"/>
        <v>0</v>
      </c>
      <c r="AN104" s="847">
        <f>AE$94-AJ104</f>
        <v>0</v>
      </c>
      <c r="AO104" s="848">
        <f t="shared" ref="AO104:AO154" si="141">AO103-AG104</f>
        <v>0</v>
      </c>
      <c r="AQ104" s="846">
        <f t="shared" ref="AQ104:AQ167" si="142">AQ103+1</f>
        <v>3</v>
      </c>
      <c r="AR104" s="847">
        <f t="shared" si="126"/>
        <v>0</v>
      </c>
      <c r="AS104" s="847">
        <f t="shared" si="107"/>
        <v>0</v>
      </c>
      <c r="AT104" s="847">
        <f t="shared" si="108"/>
        <v>0</v>
      </c>
      <c r="AU104" s="847">
        <f t="shared" si="109"/>
        <v>0</v>
      </c>
      <c r="AV104" s="847">
        <f t="shared" si="110"/>
        <v>0</v>
      </c>
      <c r="AW104" s="847">
        <f t="shared" si="111"/>
        <v>0</v>
      </c>
      <c r="AX104" s="847">
        <f t="shared" si="112"/>
        <v>0</v>
      </c>
      <c r="AY104" s="839">
        <f t="shared" si="113"/>
        <v>0</v>
      </c>
      <c r="AZ104" s="839">
        <f t="shared" si="114"/>
        <v>0</v>
      </c>
      <c r="BA104" s="839">
        <f t="shared" si="115"/>
        <v>0</v>
      </c>
      <c r="BB104" s="847">
        <f t="shared" si="116"/>
        <v>0</v>
      </c>
      <c r="BC104" s="848">
        <f t="shared" si="116"/>
        <v>0</v>
      </c>
    </row>
    <row r="105" spans="1:55" x14ac:dyDescent="0.25">
      <c r="A105" s="863">
        <f t="shared" si="127"/>
        <v>4</v>
      </c>
      <c r="B105" s="847">
        <f>B104+G105+E105</f>
        <v>0</v>
      </c>
      <c r="C105" s="847">
        <f t="shared" si="128"/>
        <v>0</v>
      </c>
      <c r="D105" s="847">
        <f t="shared" si="129"/>
        <v>0</v>
      </c>
      <c r="E105" s="847">
        <f t="shared" si="117"/>
        <v>0</v>
      </c>
      <c r="F105" s="847">
        <f>E105+F104</f>
        <v>0</v>
      </c>
      <c r="G105" s="847">
        <f t="shared" si="130"/>
        <v>0</v>
      </c>
      <c r="H105" s="847">
        <f>G105+H104</f>
        <v>0</v>
      </c>
      <c r="I105" s="839">
        <f t="shared" si="118"/>
        <v>0</v>
      </c>
      <c r="J105" s="839">
        <f t="shared" si="119"/>
        <v>0</v>
      </c>
      <c r="K105" s="839">
        <f t="shared" si="104"/>
        <v>0</v>
      </c>
      <c r="L105" s="847">
        <f>C$94-H105</f>
        <v>0</v>
      </c>
      <c r="M105" s="848">
        <f t="shared" si="131"/>
        <v>0</v>
      </c>
      <c r="N105" s="841"/>
      <c r="O105" s="863">
        <f t="shared" si="132"/>
        <v>4</v>
      </c>
      <c r="P105" s="847">
        <f>P104+U105+S105</f>
        <v>0</v>
      </c>
      <c r="Q105" s="847">
        <f t="shared" si="133"/>
        <v>0</v>
      </c>
      <c r="R105" s="847">
        <f t="shared" si="134"/>
        <v>0</v>
      </c>
      <c r="S105" s="847">
        <f t="shared" si="120"/>
        <v>0</v>
      </c>
      <c r="T105" s="847">
        <f>S105+T104</f>
        <v>0</v>
      </c>
      <c r="U105" s="847">
        <f t="shared" si="135"/>
        <v>0</v>
      </c>
      <c r="V105" s="847">
        <f>U105+V104</f>
        <v>0</v>
      </c>
      <c r="W105" s="839">
        <f t="shared" si="121"/>
        <v>0</v>
      </c>
      <c r="X105" s="839">
        <f t="shared" si="122"/>
        <v>0</v>
      </c>
      <c r="Y105" s="839">
        <f t="shared" si="105"/>
        <v>0</v>
      </c>
      <c r="Z105" s="847">
        <f>Q$94-V105</f>
        <v>0</v>
      </c>
      <c r="AA105" s="848">
        <f t="shared" si="136"/>
        <v>0</v>
      </c>
      <c r="AB105" s="841"/>
      <c r="AC105" s="863">
        <f t="shared" si="137"/>
        <v>4</v>
      </c>
      <c r="AD105" s="847">
        <f>AD104+AI105+AG105</f>
        <v>0</v>
      </c>
      <c r="AE105" s="847">
        <f t="shared" si="138"/>
        <v>0</v>
      </c>
      <c r="AF105" s="847">
        <f t="shared" si="139"/>
        <v>0</v>
      </c>
      <c r="AG105" s="847">
        <f t="shared" si="123"/>
        <v>0</v>
      </c>
      <c r="AH105" s="847">
        <f>AG105+AH104</f>
        <v>0</v>
      </c>
      <c r="AI105" s="847">
        <f t="shared" si="140"/>
        <v>0</v>
      </c>
      <c r="AJ105" s="847">
        <f>AI105+AJ104</f>
        <v>0</v>
      </c>
      <c r="AK105" s="839">
        <f t="shared" si="124"/>
        <v>0</v>
      </c>
      <c r="AL105" s="839">
        <f t="shared" si="125"/>
        <v>0</v>
      </c>
      <c r="AM105" s="839">
        <f t="shared" si="106"/>
        <v>0</v>
      </c>
      <c r="AN105" s="847">
        <f>AE$94-AJ105</f>
        <v>0</v>
      </c>
      <c r="AO105" s="848">
        <f t="shared" si="141"/>
        <v>0</v>
      </c>
      <c r="AQ105" s="846">
        <f t="shared" si="142"/>
        <v>4</v>
      </c>
      <c r="AR105" s="847">
        <f t="shared" si="126"/>
        <v>0</v>
      </c>
      <c r="AS105" s="847">
        <f t="shared" si="107"/>
        <v>0</v>
      </c>
      <c r="AT105" s="847">
        <f t="shared" si="108"/>
        <v>0</v>
      </c>
      <c r="AU105" s="847">
        <f t="shared" si="109"/>
        <v>0</v>
      </c>
      <c r="AV105" s="847">
        <f t="shared" si="110"/>
        <v>0</v>
      </c>
      <c r="AW105" s="847">
        <f t="shared" si="111"/>
        <v>0</v>
      </c>
      <c r="AX105" s="847">
        <f t="shared" si="112"/>
        <v>0</v>
      </c>
      <c r="AY105" s="839">
        <f t="shared" si="113"/>
        <v>0</v>
      </c>
      <c r="AZ105" s="839">
        <f t="shared" si="114"/>
        <v>0</v>
      </c>
      <c r="BA105" s="839">
        <f t="shared" si="115"/>
        <v>0</v>
      </c>
      <c r="BB105" s="847">
        <f t="shared" si="116"/>
        <v>0</v>
      </c>
      <c r="BC105" s="848">
        <f t="shared" si="116"/>
        <v>0</v>
      </c>
    </row>
    <row r="106" spans="1:55" x14ac:dyDescent="0.25">
      <c r="A106" s="863">
        <f t="shared" si="127"/>
        <v>5</v>
      </c>
      <c r="B106" s="847">
        <f>B105+G106+E106</f>
        <v>0</v>
      </c>
      <c r="C106" s="847">
        <f t="shared" si="128"/>
        <v>0</v>
      </c>
      <c r="D106" s="847">
        <f t="shared" si="129"/>
        <v>0</v>
      </c>
      <c r="E106" s="847">
        <f t="shared" si="117"/>
        <v>0</v>
      </c>
      <c r="F106" s="847">
        <f>E106+F105</f>
        <v>0</v>
      </c>
      <c r="G106" s="847">
        <f t="shared" si="130"/>
        <v>0</v>
      </c>
      <c r="H106" s="847">
        <f>G106+H105</f>
        <v>0</v>
      </c>
      <c r="I106" s="839">
        <f t="shared" si="118"/>
        <v>0</v>
      </c>
      <c r="J106" s="839">
        <f t="shared" si="119"/>
        <v>0</v>
      </c>
      <c r="K106" s="839">
        <f t="shared" si="104"/>
        <v>0</v>
      </c>
      <c r="L106" s="847">
        <f>C$94-H106</f>
        <v>0</v>
      </c>
      <c r="M106" s="848">
        <f t="shared" si="131"/>
        <v>0</v>
      </c>
      <c r="N106" s="841"/>
      <c r="O106" s="863">
        <f t="shared" si="132"/>
        <v>5</v>
      </c>
      <c r="P106" s="847">
        <f>P105+U106+S106</f>
        <v>0</v>
      </c>
      <c r="Q106" s="847">
        <f t="shared" si="133"/>
        <v>0</v>
      </c>
      <c r="R106" s="847">
        <f t="shared" si="134"/>
        <v>0</v>
      </c>
      <c r="S106" s="847">
        <f t="shared" si="120"/>
        <v>0</v>
      </c>
      <c r="T106" s="847">
        <f>S106+T105</f>
        <v>0</v>
      </c>
      <c r="U106" s="847">
        <f t="shared" si="135"/>
        <v>0</v>
      </c>
      <c r="V106" s="847">
        <f>U106+V105</f>
        <v>0</v>
      </c>
      <c r="W106" s="839">
        <f t="shared" si="121"/>
        <v>0</v>
      </c>
      <c r="X106" s="839">
        <f t="shared" si="122"/>
        <v>0</v>
      </c>
      <c r="Y106" s="839">
        <f t="shared" si="105"/>
        <v>0</v>
      </c>
      <c r="Z106" s="847">
        <f>Q$94-V106</f>
        <v>0</v>
      </c>
      <c r="AA106" s="848">
        <f t="shared" si="136"/>
        <v>0</v>
      </c>
      <c r="AB106" s="841"/>
      <c r="AC106" s="863">
        <f t="shared" si="137"/>
        <v>5</v>
      </c>
      <c r="AD106" s="847">
        <f>AD105+AI106+AG106</f>
        <v>0</v>
      </c>
      <c r="AE106" s="847">
        <f t="shared" si="138"/>
        <v>0</v>
      </c>
      <c r="AF106" s="847">
        <f t="shared" si="139"/>
        <v>0</v>
      </c>
      <c r="AG106" s="847">
        <f t="shared" si="123"/>
        <v>0</v>
      </c>
      <c r="AH106" s="847">
        <f>AG106+AH105</f>
        <v>0</v>
      </c>
      <c r="AI106" s="847">
        <f t="shared" si="140"/>
        <v>0</v>
      </c>
      <c r="AJ106" s="847">
        <f>AI106+AJ105</f>
        <v>0</v>
      </c>
      <c r="AK106" s="839">
        <f t="shared" si="124"/>
        <v>0</v>
      </c>
      <c r="AL106" s="839">
        <f t="shared" si="125"/>
        <v>0</v>
      </c>
      <c r="AM106" s="839">
        <f t="shared" si="106"/>
        <v>0</v>
      </c>
      <c r="AN106" s="847">
        <f>AE$94-AJ106</f>
        <v>0</v>
      </c>
      <c r="AO106" s="848">
        <f t="shared" si="141"/>
        <v>0</v>
      </c>
      <c r="AQ106" s="846">
        <f t="shared" si="142"/>
        <v>5</v>
      </c>
      <c r="AR106" s="847">
        <f t="shared" si="126"/>
        <v>0</v>
      </c>
      <c r="AS106" s="847">
        <f t="shared" si="107"/>
        <v>0</v>
      </c>
      <c r="AT106" s="847">
        <f t="shared" si="108"/>
        <v>0</v>
      </c>
      <c r="AU106" s="847">
        <f t="shared" si="109"/>
        <v>0</v>
      </c>
      <c r="AV106" s="847">
        <f t="shared" si="110"/>
        <v>0</v>
      </c>
      <c r="AW106" s="847">
        <f t="shared" si="111"/>
        <v>0</v>
      </c>
      <c r="AX106" s="847">
        <f t="shared" si="112"/>
        <v>0</v>
      </c>
      <c r="AY106" s="839">
        <f t="shared" si="113"/>
        <v>0</v>
      </c>
      <c r="AZ106" s="839">
        <f t="shared" si="114"/>
        <v>0</v>
      </c>
      <c r="BA106" s="839">
        <f t="shared" si="115"/>
        <v>0</v>
      </c>
      <c r="BB106" s="847">
        <f t="shared" si="116"/>
        <v>0</v>
      </c>
      <c r="BC106" s="848">
        <f t="shared" si="116"/>
        <v>0</v>
      </c>
    </row>
    <row r="107" spans="1:55" x14ac:dyDescent="0.25">
      <c r="A107" s="863">
        <f t="shared" si="127"/>
        <v>6</v>
      </c>
      <c r="B107" s="847">
        <f t="shared" ref="B107:B170" si="143">IF(E107&lt;0.05,0,B106+G107+E107)</f>
        <v>0</v>
      </c>
      <c r="C107" s="847">
        <f t="shared" si="128"/>
        <v>0</v>
      </c>
      <c r="D107" s="847">
        <f t="shared" si="129"/>
        <v>0</v>
      </c>
      <c r="E107" s="847">
        <f t="shared" si="117"/>
        <v>0</v>
      </c>
      <c r="F107" s="847">
        <f>IF(L107=0,0,E107+F106)</f>
        <v>0</v>
      </c>
      <c r="G107" s="847">
        <f t="shared" si="130"/>
        <v>0</v>
      </c>
      <c r="H107" s="847">
        <f t="shared" ref="H107:H137" si="144">IF(B107=0,0,G107+H106)</f>
        <v>0</v>
      </c>
      <c r="I107" s="839">
        <f t="shared" si="118"/>
        <v>0</v>
      </c>
      <c r="J107" s="839">
        <f t="shared" si="119"/>
        <v>0</v>
      </c>
      <c r="K107" s="839">
        <f t="shared" si="104"/>
        <v>0</v>
      </c>
      <c r="L107" s="847">
        <f t="shared" ref="L107:L138" si="145">IF(H107=0,0,C$94-H107)</f>
        <v>0</v>
      </c>
      <c r="M107" s="848">
        <f t="shared" si="131"/>
        <v>0</v>
      </c>
      <c r="N107" s="841"/>
      <c r="O107" s="863">
        <f t="shared" si="132"/>
        <v>6</v>
      </c>
      <c r="P107" s="847">
        <f t="shared" ref="P107:P170" si="146">IF(S107&lt;0.05,0,P106+U107+S107)</f>
        <v>0</v>
      </c>
      <c r="Q107" s="847">
        <f t="shared" si="133"/>
        <v>0</v>
      </c>
      <c r="R107" s="847">
        <f t="shared" si="134"/>
        <v>0</v>
      </c>
      <c r="S107" s="847">
        <f t="shared" si="120"/>
        <v>0</v>
      </c>
      <c r="T107" s="847">
        <f>IF(Z107=0,0,S107+T106)</f>
        <v>0</v>
      </c>
      <c r="U107" s="847">
        <f t="shared" si="135"/>
        <v>0</v>
      </c>
      <c r="V107" s="847">
        <f t="shared" ref="V107:V137" si="147">IF(P107=0,0,U107+V106)</f>
        <v>0</v>
      </c>
      <c r="W107" s="839">
        <f t="shared" si="121"/>
        <v>0</v>
      </c>
      <c r="X107" s="839">
        <f t="shared" si="122"/>
        <v>0</v>
      </c>
      <c r="Y107" s="839">
        <f t="shared" si="105"/>
        <v>0</v>
      </c>
      <c r="Z107" s="847">
        <f t="shared" ref="Z107:Z138" si="148">IF(V107=0,0,Q$94-V107)</f>
        <v>0</v>
      </c>
      <c r="AA107" s="848">
        <f t="shared" si="136"/>
        <v>0</v>
      </c>
      <c r="AB107" s="841"/>
      <c r="AC107" s="863">
        <f t="shared" si="137"/>
        <v>6</v>
      </c>
      <c r="AD107" s="847">
        <f t="shared" ref="AD107:AD170" si="149">IF(AG107&lt;0.05,0,AD106+AI107+AG107)</f>
        <v>0</v>
      </c>
      <c r="AE107" s="847">
        <f t="shared" si="138"/>
        <v>0</v>
      </c>
      <c r="AF107" s="847">
        <f t="shared" si="139"/>
        <v>0</v>
      </c>
      <c r="AG107" s="847">
        <f t="shared" si="123"/>
        <v>0</v>
      </c>
      <c r="AH107" s="847">
        <f>IF(AN107=0,0,AG107+AH106)</f>
        <v>0</v>
      </c>
      <c r="AI107" s="847">
        <f t="shared" si="140"/>
        <v>0</v>
      </c>
      <c r="AJ107" s="847">
        <f t="shared" ref="AJ107:AJ137" si="150">IF(AD107=0,0,AI107+AJ106)</f>
        <v>0</v>
      </c>
      <c r="AK107" s="839">
        <f t="shared" si="124"/>
        <v>0</v>
      </c>
      <c r="AL107" s="839">
        <f t="shared" si="125"/>
        <v>0</v>
      </c>
      <c r="AM107" s="839">
        <f t="shared" si="106"/>
        <v>0</v>
      </c>
      <c r="AN107" s="847">
        <f t="shared" ref="AN107:AN138" si="151">IF(AJ107=0,0,AE$94-AJ107)</f>
        <v>0</v>
      </c>
      <c r="AO107" s="848">
        <f t="shared" si="141"/>
        <v>0</v>
      </c>
      <c r="AQ107" s="846">
        <f t="shared" si="142"/>
        <v>6</v>
      </c>
      <c r="AR107" s="847">
        <f t="shared" si="126"/>
        <v>0</v>
      </c>
      <c r="AS107" s="847">
        <f t="shared" si="107"/>
        <v>0</v>
      </c>
      <c r="AT107" s="847">
        <f t="shared" si="108"/>
        <v>0</v>
      </c>
      <c r="AU107" s="847">
        <f t="shared" si="109"/>
        <v>0</v>
      </c>
      <c r="AV107" s="847">
        <f t="shared" si="110"/>
        <v>0</v>
      </c>
      <c r="AW107" s="847">
        <f t="shared" si="111"/>
        <v>0</v>
      </c>
      <c r="AX107" s="847">
        <f t="shared" si="112"/>
        <v>0</v>
      </c>
      <c r="AY107" s="839">
        <f t="shared" si="113"/>
        <v>0</v>
      </c>
      <c r="AZ107" s="839">
        <f t="shared" si="114"/>
        <v>0</v>
      </c>
      <c r="BA107" s="839">
        <f t="shared" si="115"/>
        <v>0</v>
      </c>
      <c r="BB107" s="847">
        <f t="shared" si="116"/>
        <v>0</v>
      </c>
      <c r="BC107" s="848">
        <f t="shared" si="116"/>
        <v>0</v>
      </c>
    </row>
    <row r="108" spans="1:55" x14ac:dyDescent="0.25">
      <c r="A108" s="863">
        <f t="shared" si="127"/>
        <v>7</v>
      </c>
      <c r="B108" s="847">
        <f t="shared" si="143"/>
        <v>0</v>
      </c>
      <c r="C108" s="847">
        <f t="shared" si="128"/>
        <v>0</v>
      </c>
      <c r="D108" s="847">
        <f t="shared" si="129"/>
        <v>0</v>
      </c>
      <c r="E108" s="847">
        <f t="shared" si="117"/>
        <v>0</v>
      </c>
      <c r="F108" s="847">
        <f t="shared" ref="F108:F115" si="152">IF(L108=0,0,E108+F107)</f>
        <v>0</v>
      </c>
      <c r="G108" s="847">
        <f t="shared" si="130"/>
        <v>0</v>
      </c>
      <c r="H108" s="847">
        <f t="shared" si="144"/>
        <v>0</v>
      </c>
      <c r="I108" s="839">
        <f t="shared" si="118"/>
        <v>0</v>
      </c>
      <c r="J108" s="839">
        <f t="shared" si="119"/>
        <v>0</v>
      </c>
      <c r="K108" s="839">
        <f t="shared" si="104"/>
        <v>0</v>
      </c>
      <c r="L108" s="847">
        <f t="shared" si="145"/>
        <v>0</v>
      </c>
      <c r="M108" s="848">
        <f t="shared" si="131"/>
        <v>0</v>
      </c>
      <c r="N108" s="841"/>
      <c r="O108" s="863">
        <f t="shared" si="132"/>
        <v>7</v>
      </c>
      <c r="P108" s="847">
        <f t="shared" si="146"/>
        <v>0</v>
      </c>
      <c r="Q108" s="847">
        <f t="shared" si="133"/>
        <v>0</v>
      </c>
      <c r="R108" s="847">
        <f t="shared" si="134"/>
        <v>0</v>
      </c>
      <c r="S108" s="847">
        <f t="shared" si="120"/>
        <v>0</v>
      </c>
      <c r="T108" s="847">
        <f t="shared" ref="T108:T115" si="153">IF(Z108=0,0,S108+T107)</f>
        <v>0</v>
      </c>
      <c r="U108" s="847">
        <f t="shared" si="135"/>
        <v>0</v>
      </c>
      <c r="V108" s="847">
        <f t="shared" si="147"/>
        <v>0</v>
      </c>
      <c r="W108" s="839">
        <f t="shared" si="121"/>
        <v>0</v>
      </c>
      <c r="X108" s="839">
        <f t="shared" si="122"/>
        <v>0</v>
      </c>
      <c r="Y108" s="839">
        <f t="shared" si="105"/>
        <v>0</v>
      </c>
      <c r="Z108" s="847">
        <f t="shared" si="148"/>
        <v>0</v>
      </c>
      <c r="AA108" s="848">
        <f t="shared" si="136"/>
        <v>0</v>
      </c>
      <c r="AB108" s="841"/>
      <c r="AC108" s="863">
        <f t="shared" si="137"/>
        <v>7</v>
      </c>
      <c r="AD108" s="847">
        <f t="shared" si="149"/>
        <v>0</v>
      </c>
      <c r="AE108" s="847">
        <f t="shared" si="138"/>
        <v>0</v>
      </c>
      <c r="AF108" s="847">
        <f t="shared" si="139"/>
        <v>0</v>
      </c>
      <c r="AG108" s="847">
        <f t="shared" si="123"/>
        <v>0</v>
      </c>
      <c r="AH108" s="847">
        <f t="shared" ref="AH108:AH115" si="154">IF(AN108=0,0,AG108+AH107)</f>
        <v>0</v>
      </c>
      <c r="AI108" s="847">
        <f t="shared" si="140"/>
        <v>0</v>
      </c>
      <c r="AJ108" s="847">
        <f t="shared" si="150"/>
        <v>0</v>
      </c>
      <c r="AK108" s="839">
        <f t="shared" si="124"/>
        <v>0</v>
      </c>
      <c r="AL108" s="839">
        <f t="shared" si="125"/>
        <v>0</v>
      </c>
      <c r="AM108" s="839">
        <f t="shared" si="106"/>
        <v>0</v>
      </c>
      <c r="AN108" s="847">
        <f t="shared" si="151"/>
        <v>0</v>
      </c>
      <c r="AO108" s="848">
        <f t="shared" si="141"/>
        <v>0</v>
      </c>
      <c r="AQ108" s="846">
        <f t="shared" si="142"/>
        <v>7</v>
      </c>
      <c r="AR108" s="847">
        <f t="shared" si="126"/>
        <v>0</v>
      </c>
      <c r="AS108" s="847">
        <f t="shared" si="107"/>
        <v>0</v>
      </c>
      <c r="AT108" s="847">
        <f t="shared" si="108"/>
        <v>0</v>
      </c>
      <c r="AU108" s="847">
        <f t="shared" si="109"/>
        <v>0</v>
      </c>
      <c r="AV108" s="847">
        <f t="shared" si="110"/>
        <v>0</v>
      </c>
      <c r="AW108" s="847">
        <f t="shared" si="111"/>
        <v>0</v>
      </c>
      <c r="AX108" s="847">
        <f t="shared" si="112"/>
        <v>0</v>
      </c>
      <c r="AY108" s="839">
        <f t="shared" si="113"/>
        <v>0</v>
      </c>
      <c r="AZ108" s="839">
        <f t="shared" si="114"/>
        <v>0</v>
      </c>
      <c r="BA108" s="839">
        <f t="shared" si="115"/>
        <v>0</v>
      </c>
      <c r="BB108" s="847">
        <f t="shared" si="116"/>
        <v>0</v>
      </c>
      <c r="BC108" s="848">
        <f t="shared" si="116"/>
        <v>0</v>
      </c>
    </row>
    <row r="109" spans="1:55" x14ac:dyDescent="0.25">
      <c r="A109" s="863">
        <f t="shared" si="127"/>
        <v>8</v>
      </c>
      <c r="B109" s="847">
        <f t="shared" si="143"/>
        <v>0</v>
      </c>
      <c r="C109" s="847">
        <f t="shared" si="128"/>
        <v>0</v>
      </c>
      <c r="D109" s="847">
        <f t="shared" si="129"/>
        <v>0</v>
      </c>
      <c r="E109" s="847">
        <f t="shared" si="117"/>
        <v>0</v>
      </c>
      <c r="F109" s="847">
        <f t="shared" si="152"/>
        <v>0</v>
      </c>
      <c r="G109" s="847">
        <f t="shared" si="130"/>
        <v>0</v>
      </c>
      <c r="H109" s="847">
        <f t="shared" si="144"/>
        <v>0</v>
      </c>
      <c r="I109" s="839">
        <f t="shared" si="118"/>
        <v>0</v>
      </c>
      <c r="J109" s="839">
        <f t="shared" si="119"/>
        <v>0</v>
      </c>
      <c r="K109" s="839">
        <f t="shared" si="104"/>
        <v>0</v>
      </c>
      <c r="L109" s="847">
        <f t="shared" si="145"/>
        <v>0</v>
      </c>
      <c r="M109" s="848">
        <f t="shared" si="131"/>
        <v>0</v>
      </c>
      <c r="N109" s="841"/>
      <c r="O109" s="863">
        <f t="shared" si="132"/>
        <v>8</v>
      </c>
      <c r="P109" s="847">
        <f t="shared" si="146"/>
        <v>0</v>
      </c>
      <c r="Q109" s="847">
        <f t="shared" si="133"/>
        <v>0</v>
      </c>
      <c r="R109" s="847">
        <f t="shared" si="134"/>
        <v>0</v>
      </c>
      <c r="S109" s="847">
        <f t="shared" si="120"/>
        <v>0</v>
      </c>
      <c r="T109" s="847">
        <f t="shared" si="153"/>
        <v>0</v>
      </c>
      <c r="U109" s="847">
        <f t="shared" si="135"/>
        <v>0</v>
      </c>
      <c r="V109" s="847">
        <f t="shared" si="147"/>
        <v>0</v>
      </c>
      <c r="W109" s="839">
        <f t="shared" si="121"/>
        <v>0</v>
      </c>
      <c r="X109" s="839">
        <f t="shared" si="122"/>
        <v>0</v>
      </c>
      <c r="Y109" s="839">
        <f t="shared" si="105"/>
        <v>0</v>
      </c>
      <c r="Z109" s="847">
        <f t="shared" si="148"/>
        <v>0</v>
      </c>
      <c r="AA109" s="848">
        <f t="shared" si="136"/>
        <v>0</v>
      </c>
      <c r="AB109" s="841"/>
      <c r="AC109" s="863">
        <f t="shared" si="137"/>
        <v>8</v>
      </c>
      <c r="AD109" s="847">
        <f t="shared" si="149"/>
        <v>0</v>
      </c>
      <c r="AE109" s="847">
        <f t="shared" si="138"/>
        <v>0</v>
      </c>
      <c r="AF109" s="847">
        <f t="shared" si="139"/>
        <v>0</v>
      </c>
      <c r="AG109" s="847">
        <f t="shared" si="123"/>
        <v>0</v>
      </c>
      <c r="AH109" s="847">
        <f t="shared" si="154"/>
        <v>0</v>
      </c>
      <c r="AI109" s="847">
        <f t="shared" si="140"/>
        <v>0</v>
      </c>
      <c r="AJ109" s="847">
        <f t="shared" si="150"/>
        <v>0</v>
      </c>
      <c r="AK109" s="839">
        <f t="shared" si="124"/>
        <v>0</v>
      </c>
      <c r="AL109" s="839">
        <f t="shared" si="125"/>
        <v>0</v>
      </c>
      <c r="AM109" s="839">
        <f t="shared" si="106"/>
        <v>0</v>
      </c>
      <c r="AN109" s="847">
        <f t="shared" si="151"/>
        <v>0</v>
      </c>
      <c r="AO109" s="848">
        <f t="shared" si="141"/>
        <v>0</v>
      </c>
      <c r="AQ109" s="846">
        <f t="shared" si="142"/>
        <v>8</v>
      </c>
      <c r="AR109" s="847">
        <f t="shared" si="126"/>
        <v>0</v>
      </c>
      <c r="AS109" s="847">
        <f t="shared" si="107"/>
        <v>0</v>
      </c>
      <c r="AT109" s="847">
        <f t="shared" si="108"/>
        <v>0</v>
      </c>
      <c r="AU109" s="847">
        <f t="shared" si="109"/>
        <v>0</v>
      </c>
      <c r="AV109" s="847">
        <f t="shared" si="110"/>
        <v>0</v>
      </c>
      <c r="AW109" s="847">
        <f t="shared" si="111"/>
        <v>0</v>
      </c>
      <c r="AX109" s="847">
        <f t="shared" si="112"/>
        <v>0</v>
      </c>
      <c r="AY109" s="839">
        <f t="shared" si="113"/>
        <v>0</v>
      </c>
      <c r="AZ109" s="839">
        <f t="shared" si="114"/>
        <v>0</v>
      </c>
      <c r="BA109" s="839">
        <f t="shared" si="115"/>
        <v>0</v>
      </c>
      <c r="BB109" s="847">
        <f t="shared" si="116"/>
        <v>0</v>
      </c>
      <c r="BC109" s="848">
        <f t="shared" si="116"/>
        <v>0</v>
      </c>
    </row>
    <row r="110" spans="1:55" x14ac:dyDescent="0.25">
      <c r="A110" s="863">
        <f t="shared" si="127"/>
        <v>9</v>
      </c>
      <c r="B110" s="847">
        <f t="shared" si="143"/>
        <v>0</v>
      </c>
      <c r="C110" s="847">
        <f t="shared" si="128"/>
        <v>0</v>
      </c>
      <c r="D110" s="847">
        <f t="shared" si="129"/>
        <v>0</v>
      </c>
      <c r="E110" s="847">
        <f t="shared" si="117"/>
        <v>0</v>
      </c>
      <c r="F110" s="847">
        <f t="shared" si="152"/>
        <v>0</v>
      </c>
      <c r="G110" s="847">
        <f t="shared" si="130"/>
        <v>0</v>
      </c>
      <c r="H110" s="847">
        <f t="shared" si="144"/>
        <v>0</v>
      </c>
      <c r="I110" s="839">
        <f t="shared" si="118"/>
        <v>0</v>
      </c>
      <c r="J110" s="839">
        <f t="shared" si="119"/>
        <v>0</v>
      </c>
      <c r="K110" s="839">
        <f t="shared" si="104"/>
        <v>0</v>
      </c>
      <c r="L110" s="847">
        <f t="shared" si="145"/>
        <v>0</v>
      </c>
      <c r="M110" s="848">
        <f t="shared" si="131"/>
        <v>0</v>
      </c>
      <c r="N110" s="841"/>
      <c r="O110" s="863">
        <f t="shared" si="132"/>
        <v>9</v>
      </c>
      <c r="P110" s="847">
        <f t="shared" si="146"/>
        <v>0</v>
      </c>
      <c r="Q110" s="847">
        <f t="shared" si="133"/>
        <v>0</v>
      </c>
      <c r="R110" s="847">
        <f t="shared" si="134"/>
        <v>0</v>
      </c>
      <c r="S110" s="847">
        <f t="shared" si="120"/>
        <v>0</v>
      </c>
      <c r="T110" s="847">
        <f t="shared" si="153"/>
        <v>0</v>
      </c>
      <c r="U110" s="847">
        <f t="shared" si="135"/>
        <v>0</v>
      </c>
      <c r="V110" s="847">
        <f t="shared" si="147"/>
        <v>0</v>
      </c>
      <c r="W110" s="839">
        <f t="shared" si="121"/>
        <v>0</v>
      </c>
      <c r="X110" s="839">
        <f t="shared" si="122"/>
        <v>0</v>
      </c>
      <c r="Y110" s="839">
        <f t="shared" si="105"/>
        <v>0</v>
      </c>
      <c r="Z110" s="847">
        <f t="shared" si="148"/>
        <v>0</v>
      </c>
      <c r="AA110" s="848">
        <f t="shared" si="136"/>
        <v>0</v>
      </c>
      <c r="AB110" s="841"/>
      <c r="AC110" s="863">
        <f t="shared" si="137"/>
        <v>9</v>
      </c>
      <c r="AD110" s="847">
        <f t="shared" si="149"/>
        <v>0</v>
      </c>
      <c r="AE110" s="847">
        <f t="shared" si="138"/>
        <v>0</v>
      </c>
      <c r="AF110" s="847">
        <f t="shared" si="139"/>
        <v>0</v>
      </c>
      <c r="AG110" s="847">
        <f t="shared" si="123"/>
        <v>0</v>
      </c>
      <c r="AH110" s="847">
        <f t="shared" si="154"/>
        <v>0</v>
      </c>
      <c r="AI110" s="847">
        <f t="shared" si="140"/>
        <v>0</v>
      </c>
      <c r="AJ110" s="847">
        <f t="shared" si="150"/>
        <v>0</v>
      </c>
      <c r="AK110" s="839">
        <f t="shared" si="124"/>
        <v>0</v>
      </c>
      <c r="AL110" s="839">
        <f t="shared" si="125"/>
        <v>0</v>
      </c>
      <c r="AM110" s="839">
        <f t="shared" si="106"/>
        <v>0</v>
      </c>
      <c r="AN110" s="847">
        <f t="shared" si="151"/>
        <v>0</v>
      </c>
      <c r="AO110" s="848">
        <f t="shared" si="141"/>
        <v>0</v>
      </c>
      <c r="AQ110" s="846">
        <f t="shared" si="142"/>
        <v>9</v>
      </c>
      <c r="AR110" s="847">
        <f t="shared" si="126"/>
        <v>0</v>
      </c>
      <c r="AS110" s="847">
        <f t="shared" si="107"/>
        <v>0</v>
      </c>
      <c r="AT110" s="847">
        <f t="shared" si="108"/>
        <v>0</v>
      </c>
      <c r="AU110" s="847">
        <f t="shared" si="109"/>
        <v>0</v>
      </c>
      <c r="AV110" s="847">
        <f t="shared" si="110"/>
        <v>0</v>
      </c>
      <c r="AW110" s="847">
        <f t="shared" si="111"/>
        <v>0</v>
      </c>
      <c r="AX110" s="847">
        <f t="shared" si="112"/>
        <v>0</v>
      </c>
      <c r="AY110" s="839">
        <f t="shared" si="113"/>
        <v>0</v>
      </c>
      <c r="AZ110" s="839">
        <f t="shared" si="114"/>
        <v>0</v>
      </c>
      <c r="BA110" s="839">
        <f t="shared" si="115"/>
        <v>0</v>
      </c>
      <c r="BB110" s="847">
        <f t="shared" si="116"/>
        <v>0</v>
      </c>
      <c r="BC110" s="848">
        <f t="shared" si="116"/>
        <v>0</v>
      </c>
    </row>
    <row r="111" spans="1:55" x14ac:dyDescent="0.25">
      <c r="A111" s="863">
        <f t="shared" si="127"/>
        <v>10</v>
      </c>
      <c r="B111" s="847">
        <f t="shared" si="143"/>
        <v>0</v>
      </c>
      <c r="C111" s="847">
        <f t="shared" si="128"/>
        <v>0</v>
      </c>
      <c r="D111" s="847">
        <f t="shared" si="129"/>
        <v>0</v>
      </c>
      <c r="E111" s="847">
        <f t="shared" si="117"/>
        <v>0</v>
      </c>
      <c r="F111" s="847">
        <f t="shared" si="152"/>
        <v>0</v>
      </c>
      <c r="G111" s="847">
        <f t="shared" si="130"/>
        <v>0</v>
      </c>
      <c r="H111" s="847">
        <f t="shared" si="144"/>
        <v>0</v>
      </c>
      <c r="I111" s="839">
        <f t="shared" si="118"/>
        <v>0</v>
      </c>
      <c r="J111" s="839">
        <f t="shared" si="119"/>
        <v>0</v>
      </c>
      <c r="K111" s="839">
        <f t="shared" si="104"/>
        <v>0</v>
      </c>
      <c r="L111" s="847">
        <f t="shared" si="145"/>
        <v>0</v>
      </c>
      <c r="M111" s="848">
        <f t="shared" si="131"/>
        <v>0</v>
      </c>
      <c r="N111" s="841"/>
      <c r="O111" s="863">
        <f t="shared" si="132"/>
        <v>10</v>
      </c>
      <c r="P111" s="847">
        <f t="shared" si="146"/>
        <v>0</v>
      </c>
      <c r="Q111" s="847">
        <f t="shared" si="133"/>
        <v>0</v>
      </c>
      <c r="R111" s="847">
        <f t="shared" si="134"/>
        <v>0</v>
      </c>
      <c r="S111" s="847">
        <f t="shared" si="120"/>
        <v>0</v>
      </c>
      <c r="T111" s="847">
        <f t="shared" si="153"/>
        <v>0</v>
      </c>
      <c r="U111" s="847">
        <f t="shared" si="135"/>
        <v>0</v>
      </c>
      <c r="V111" s="847">
        <f t="shared" si="147"/>
        <v>0</v>
      </c>
      <c r="W111" s="839">
        <f t="shared" si="121"/>
        <v>0</v>
      </c>
      <c r="X111" s="839">
        <f t="shared" si="122"/>
        <v>0</v>
      </c>
      <c r="Y111" s="839">
        <f t="shared" si="105"/>
        <v>0</v>
      </c>
      <c r="Z111" s="847">
        <f t="shared" si="148"/>
        <v>0</v>
      </c>
      <c r="AA111" s="848">
        <f t="shared" si="136"/>
        <v>0</v>
      </c>
      <c r="AB111" s="841"/>
      <c r="AC111" s="863">
        <f t="shared" si="137"/>
        <v>10</v>
      </c>
      <c r="AD111" s="847">
        <f t="shared" si="149"/>
        <v>0</v>
      </c>
      <c r="AE111" s="847">
        <f t="shared" si="138"/>
        <v>0</v>
      </c>
      <c r="AF111" s="847">
        <f t="shared" si="139"/>
        <v>0</v>
      </c>
      <c r="AG111" s="847">
        <f t="shared" si="123"/>
        <v>0</v>
      </c>
      <c r="AH111" s="847">
        <f t="shared" si="154"/>
        <v>0</v>
      </c>
      <c r="AI111" s="847">
        <f t="shared" si="140"/>
        <v>0</v>
      </c>
      <c r="AJ111" s="847">
        <f t="shared" si="150"/>
        <v>0</v>
      </c>
      <c r="AK111" s="839">
        <f t="shared" si="124"/>
        <v>0</v>
      </c>
      <c r="AL111" s="839">
        <f t="shared" si="125"/>
        <v>0</v>
      </c>
      <c r="AM111" s="839">
        <f t="shared" si="106"/>
        <v>0</v>
      </c>
      <c r="AN111" s="847">
        <f t="shared" si="151"/>
        <v>0</v>
      </c>
      <c r="AO111" s="848">
        <f t="shared" si="141"/>
        <v>0</v>
      </c>
      <c r="AQ111" s="846">
        <f t="shared" si="142"/>
        <v>10</v>
      </c>
      <c r="AR111" s="847">
        <f t="shared" si="126"/>
        <v>0</v>
      </c>
      <c r="AS111" s="847">
        <f t="shared" si="107"/>
        <v>0</v>
      </c>
      <c r="AT111" s="847">
        <f t="shared" si="108"/>
        <v>0</v>
      </c>
      <c r="AU111" s="847">
        <f t="shared" si="109"/>
        <v>0</v>
      </c>
      <c r="AV111" s="847">
        <f t="shared" si="110"/>
        <v>0</v>
      </c>
      <c r="AW111" s="847">
        <f t="shared" si="111"/>
        <v>0</v>
      </c>
      <c r="AX111" s="847">
        <f t="shared" si="112"/>
        <v>0</v>
      </c>
      <c r="AY111" s="839">
        <f t="shared" si="113"/>
        <v>0</v>
      </c>
      <c r="AZ111" s="839">
        <f t="shared" si="114"/>
        <v>0</v>
      </c>
      <c r="BA111" s="839">
        <f t="shared" si="115"/>
        <v>0</v>
      </c>
      <c r="BB111" s="847">
        <f t="shared" si="116"/>
        <v>0</v>
      </c>
      <c r="BC111" s="848">
        <f t="shared" si="116"/>
        <v>0</v>
      </c>
    </row>
    <row r="112" spans="1:55" x14ac:dyDescent="0.25">
      <c r="A112" s="863">
        <f t="shared" si="127"/>
        <v>11</v>
      </c>
      <c r="B112" s="847">
        <f t="shared" si="143"/>
        <v>0</v>
      </c>
      <c r="C112" s="847">
        <f t="shared" si="128"/>
        <v>0</v>
      </c>
      <c r="D112" s="847">
        <f t="shared" si="129"/>
        <v>0</v>
      </c>
      <c r="E112" s="847">
        <f t="shared" si="117"/>
        <v>0</v>
      </c>
      <c r="F112" s="847">
        <f t="shared" si="152"/>
        <v>0</v>
      </c>
      <c r="G112" s="847">
        <f t="shared" si="130"/>
        <v>0</v>
      </c>
      <c r="H112" s="847">
        <f t="shared" si="144"/>
        <v>0</v>
      </c>
      <c r="I112" s="839">
        <f t="shared" si="118"/>
        <v>0</v>
      </c>
      <c r="J112" s="839">
        <f t="shared" si="119"/>
        <v>0</v>
      </c>
      <c r="K112" s="839">
        <f t="shared" si="104"/>
        <v>0</v>
      </c>
      <c r="L112" s="847">
        <f t="shared" si="145"/>
        <v>0</v>
      </c>
      <c r="M112" s="848">
        <f t="shared" si="131"/>
        <v>0</v>
      </c>
      <c r="N112" s="841"/>
      <c r="O112" s="863">
        <f t="shared" si="132"/>
        <v>11</v>
      </c>
      <c r="P112" s="847">
        <f t="shared" si="146"/>
        <v>0</v>
      </c>
      <c r="Q112" s="847">
        <f t="shared" si="133"/>
        <v>0</v>
      </c>
      <c r="R112" s="847">
        <f t="shared" si="134"/>
        <v>0</v>
      </c>
      <c r="S112" s="847">
        <f t="shared" si="120"/>
        <v>0</v>
      </c>
      <c r="T112" s="847">
        <f t="shared" si="153"/>
        <v>0</v>
      </c>
      <c r="U112" s="847">
        <f t="shared" si="135"/>
        <v>0</v>
      </c>
      <c r="V112" s="847">
        <f t="shared" si="147"/>
        <v>0</v>
      </c>
      <c r="W112" s="839">
        <f t="shared" si="121"/>
        <v>0</v>
      </c>
      <c r="X112" s="839">
        <f t="shared" si="122"/>
        <v>0</v>
      </c>
      <c r="Y112" s="839">
        <f t="shared" si="105"/>
        <v>0</v>
      </c>
      <c r="Z112" s="847">
        <f t="shared" si="148"/>
        <v>0</v>
      </c>
      <c r="AA112" s="848">
        <f t="shared" si="136"/>
        <v>0</v>
      </c>
      <c r="AB112" s="841"/>
      <c r="AC112" s="863">
        <f t="shared" si="137"/>
        <v>11</v>
      </c>
      <c r="AD112" s="847">
        <f t="shared" si="149"/>
        <v>0</v>
      </c>
      <c r="AE112" s="847">
        <f t="shared" si="138"/>
        <v>0</v>
      </c>
      <c r="AF112" s="847">
        <f t="shared" si="139"/>
        <v>0</v>
      </c>
      <c r="AG112" s="847">
        <f t="shared" si="123"/>
        <v>0</v>
      </c>
      <c r="AH112" s="847">
        <f t="shared" si="154"/>
        <v>0</v>
      </c>
      <c r="AI112" s="847">
        <f t="shared" si="140"/>
        <v>0</v>
      </c>
      <c r="AJ112" s="847">
        <f t="shared" si="150"/>
        <v>0</v>
      </c>
      <c r="AK112" s="839">
        <f t="shared" si="124"/>
        <v>0</v>
      </c>
      <c r="AL112" s="839">
        <f t="shared" si="125"/>
        <v>0</v>
      </c>
      <c r="AM112" s="839">
        <f t="shared" si="106"/>
        <v>0</v>
      </c>
      <c r="AN112" s="847">
        <f t="shared" si="151"/>
        <v>0</v>
      </c>
      <c r="AO112" s="848">
        <f t="shared" si="141"/>
        <v>0</v>
      </c>
      <c r="AQ112" s="846">
        <f t="shared" si="142"/>
        <v>11</v>
      </c>
      <c r="AR112" s="847">
        <f t="shared" si="126"/>
        <v>0</v>
      </c>
      <c r="AS112" s="847">
        <f t="shared" si="107"/>
        <v>0</v>
      </c>
      <c r="AT112" s="847">
        <f t="shared" si="108"/>
        <v>0</v>
      </c>
      <c r="AU112" s="847">
        <f t="shared" si="109"/>
        <v>0</v>
      </c>
      <c r="AV112" s="847">
        <f t="shared" si="110"/>
        <v>0</v>
      </c>
      <c r="AW112" s="847">
        <f t="shared" si="111"/>
        <v>0</v>
      </c>
      <c r="AX112" s="847">
        <f t="shared" si="112"/>
        <v>0</v>
      </c>
      <c r="AY112" s="839">
        <f t="shared" si="113"/>
        <v>0</v>
      </c>
      <c r="AZ112" s="839">
        <f t="shared" si="114"/>
        <v>0</v>
      </c>
      <c r="BA112" s="839">
        <f t="shared" si="115"/>
        <v>0</v>
      </c>
      <c r="BB112" s="847">
        <f t="shared" si="116"/>
        <v>0</v>
      </c>
      <c r="BC112" s="848">
        <f t="shared" si="116"/>
        <v>0</v>
      </c>
    </row>
    <row r="113" spans="1:55" x14ac:dyDescent="0.25">
      <c r="A113" s="863">
        <f t="shared" si="127"/>
        <v>12</v>
      </c>
      <c r="B113" s="847">
        <f t="shared" si="143"/>
        <v>0</v>
      </c>
      <c r="C113" s="847">
        <f t="shared" si="128"/>
        <v>0</v>
      </c>
      <c r="D113" s="847">
        <f t="shared" si="129"/>
        <v>0</v>
      </c>
      <c r="E113" s="847">
        <f t="shared" si="117"/>
        <v>0</v>
      </c>
      <c r="F113" s="847">
        <f t="shared" si="152"/>
        <v>0</v>
      </c>
      <c r="G113" s="847">
        <f t="shared" si="130"/>
        <v>0</v>
      </c>
      <c r="H113" s="847">
        <f t="shared" si="144"/>
        <v>0</v>
      </c>
      <c r="I113" s="839">
        <f t="shared" si="118"/>
        <v>0</v>
      </c>
      <c r="J113" s="839">
        <f t="shared" si="119"/>
        <v>0</v>
      </c>
      <c r="K113" s="839">
        <f t="shared" si="104"/>
        <v>0</v>
      </c>
      <c r="L113" s="847">
        <f t="shared" si="145"/>
        <v>0</v>
      </c>
      <c r="M113" s="848">
        <f t="shared" si="131"/>
        <v>0</v>
      </c>
      <c r="N113" s="841"/>
      <c r="O113" s="863">
        <f t="shared" si="132"/>
        <v>12</v>
      </c>
      <c r="P113" s="847">
        <f t="shared" si="146"/>
        <v>0</v>
      </c>
      <c r="Q113" s="847">
        <f t="shared" si="133"/>
        <v>0</v>
      </c>
      <c r="R113" s="847">
        <f t="shared" si="134"/>
        <v>0</v>
      </c>
      <c r="S113" s="847">
        <f t="shared" si="120"/>
        <v>0</v>
      </c>
      <c r="T113" s="847">
        <f t="shared" si="153"/>
        <v>0</v>
      </c>
      <c r="U113" s="847">
        <f t="shared" si="135"/>
        <v>0</v>
      </c>
      <c r="V113" s="847">
        <f t="shared" si="147"/>
        <v>0</v>
      </c>
      <c r="W113" s="839">
        <f t="shared" si="121"/>
        <v>0</v>
      </c>
      <c r="X113" s="839">
        <f t="shared" si="122"/>
        <v>0</v>
      </c>
      <c r="Y113" s="839">
        <f t="shared" si="105"/>
        <v>0</v>
      </c>
      <c r="Z113" s="847">
        <f t="shared" si="148"/>
        <v>0</v>
      </c>
      <c r="AA113" s="848">
        <f t="shared" si="136"/>
        <v>0</v>
      </c>
      <c r="AB113" s="841"/>
      <c r="AC113" s="863">
        <f t="shared" si="137"/>
        <v>12</v>
      </c>
      <c r="AD113" s="847">
        <f t="shared" si="149"/>
        <v>0</v>
      </c>
      <c r="AE113" s="847">
        <f t="shared" si="138"/>
        <v>0</v>
      </c>
      <c r="AF113" s="847">
        <f t="shared" si="139"/>
        <v>0</v>
      </c>
      <c r="AG113" s="847">
        <f t="shared" si="123"/>
        <v>0</v>
      </c>
      <c r="AH113" s="847">
        <f t="shared" si="154"/>
        <v>0</v>
      </c>
      <c r="AI113" s="847">
        <f t="shared" si="140"/>
        <v>0</v>
      </c>
      <c r="AJ113" s="847">
        <f t="shared" si="150"/>
        <v>0</v>
      </c>
      <c r="AK113" s="839">
        <f t="shared" si="124"/>
        <v>0</v>
      </c>
      <c r="AL113" s="839">
        <f t="shared" si="125"/>
        <v>0</v>
      </c>
      <c r="AM113" s="839">
        <f t="shared" si="106"/>
        <v>0</v>
      </c>
      <c r="AN113" s="847">
        <f t="shared" si="151"/>
        <v>0</v>
      </c>
      <c r="AO113" s="848">
        <f t="shared" si="141"/>
        <v>0</v>
      </c>
      <c r="AQ113" s="846">
        <f t="shared" si="142"/>
        <v>12</v>
      </c>
      <c r="AR113" s="847">
        <f t="shared" si="126"/>
        <v>0</v>
      </c>
      <c r="AS113" s="847">
        <f t="shared" si="107"/>
        <v>0</v>
      </c>
      <c r="AT113" s="847">
        <f t="shared" si="108"/>
        <v>0</v>
      </c>
      <c r="AU113" s="847">
        <f t="shared" si="109"/>
        <v>0</v>
      </c>
      <c r="AV113" s="847">
        <f t="shared" si="110"/>
        <v>0</v>
      </c>
      <c r="AW113" s="847">
        <f t="shared" si="111"/>
        <v>0</v>
      </c>
      <c r="AX113" s="847">
        <f t="shared" si="112"/>
        <v>0</v>
      </c>
      <c r="AY113" s="839">
        <f t="shared" si="113"/>
        <v>0</v>
      </c>
      <c r="AZ113" s="839">
        <f t="shared" si="114"/>
        <v>0</v>
      </c>
      <c r="BA113" s="839">
        <f t="shared" si="115"/>
        <v>0</v>
      </c>
      <c r="BB113" s="847">
        <f t="shared" si="116"/>
        <v>0</v>
      </c>
      <c r="BC113" s="848">
        <f t="shared" si="116"/>
        <v>0</v>
      </c>
    </row>
    <row r="114" spans="1:55" x14ac:dyDescent="0.25">
      <c r="A114" s="863">
        <f t="shared" si="127"/>
        <v>13</v>
      </c>
      <c r="B114" s="847">
        <f t="shared" si="143"/>
        <v>0</v>
      </c>
      <c r="C114" s="847">
        <f t="shared" si="128"/>
        <v>0</v>
      </c>
      <c r="D114" s="847">
        <f t="shared" si="129"/>
        <v>0</v>
      </c>
      <c r="E114" s="847">
        <f t="shared" si="117"/>
        <v>0</v>
      </c>
      <c r="F114" s="847">
        <f t="shared" si="152"/>
        <v>0</v>
      </c>
      <c r="G114" s="847">
        <f t="shared" si="130"/>
        <v>0</v>
      </c>
      <c r="H114" s="847">
        <f t="shared" si="144"/>
        <v>0</v>
      </c>
      <c r="I114" s="839">
        <f t="shared" si="118"/>
        <v>0</v>
      </c>
      <c r="J114" s="839">
        <f t="shared" si="119"/>
        <v>0</v>
      </c>
      <c r="K114" s="839">
        <f t="shared" si="104"/>
        <v>0</v>
      </c>
      <c r="L114" s="847">
        <f t="shared" si="145"/>
        <v>0</v>
      </c>
      <c r="M114" s="848">
        <f t="shared" si="131"/>
        <v>0</v>
      </c>
      <c r="N114" s="841"/>
      <c r="O114" s="863">
        <f t="shared" si="132"/>
        <v>13</v>
      </c>
      <c r="P114" s="847">
        <f t="shared" si="146"/>
        <v>0</v>
      </c>
      <c r="Q114" s="847">
        <f t="shared" si="133"/>
        <v>0</v>
      </c>
      <c r="R114" s="847">
        <f t="shared" si="134"/>
        <v>0</v>
      </c>
      <c r="S114" s="847">
        <f t="shared" si="120"/>
        <v>0</v>
      </c>
      <c r="T114" s="847">
        <f t="shared" si="153"/>
        <v>0</v>
      </c>
      <c r="U114" s="847">
        <f t="shared" si="135"/>
        <v>0</v>
      </c>
      <c r="V114" s="847">
        <f t="shared" si="147"/>
        <v>0</v>
      </c>
      <c r="W114" s="839">
        <f t="shared" si="121"/>
        <v>0</v>
      </c>
      <c r="X114" s="839">
        <f t="shared" si="122"/>
        <v>0</v>
      </c>
      <c r="Y114" s="839">
        <f t="shared" si="105"/>
        <v>0</v>
      </c>
      <c r="Z114" s="847">
        <f t="shared" si="148"/>
        <v>0</v>
      </c>
      <c r="AA114" s="848">
        <f t="shared" si="136"/>
        <v>0</v>
      </c>
      <c r="AB114" s="841"/>
      <c r="AC114" s="863">
        <f t="shared" si="137"/>
        <v>13</v>
      </c>
      <c r="AD114" s="847">
        <f t="shared" si="149"/>
        <v>0</v>
      </c>
      <c r="AE114" s="847">
        <f t="shared" si="138"/>
        <v>0</v>
      </c>
      <c r="AF114" s="847">
        <f t="shared" si="139"/>
        <v>0</v>
      </c>
      <c r="AG114" s="847">
        <f t="shared" si="123"/>
        <v>0</v>
      </c>
      <c r="AH114" s="847">
        <f t="shared" si="154"/>
        <v>0</v>
      </c>
      <c r="AI114" s="847">
        <f t="shared" si="140"/>
        <v>0</v>
      </c>
      <c r="AJ114" s="847">
        <f t="shared" si="150"/>
        <v>0</v>
      </c>
      <c r="AK114" s="839">
        <f t="shared" si="124"/>
        <v>0</v>
      </c>
      <c r="AL114" s="839">
        <f t="shared" si="125"/>
        <v>0</v>
      </c>
      <c r="AM114" s="839">
        <f t="shared" si="106"/>
        <v>0</v>
      </c>
      <c r="AN114" s="847">
        <f t="shared" si="151"/>
        <v>0</v>
      </c>
      <c r="AO114" s="848">
        <f t="shared" si="141"/>
        <v>0</v>
      </c>
      <c r="AQ114" s="846">
        <f t="shared" si="142"/>
        <v>13</v>
      </c>
      <c r="AR114" s="847">
        <f t="shared" si="126"/>
        <v>0</v>
      </c>
      <c r="AS114" s="847">
        <f t="shared" si="107"/>
        <v>0</v>
      </c>
      <c r="AT114" s="847">
        <f t="shared" si="108"/>
        <v>0</v>
      </c>
      <c r="AU114" s="847">
        <f t="shared" si="109"/>
        <v>0</v>
      </c>
      <c r="AV114" s="847">
        <f t="shared" si="110"/>
        <v>0</v>
      </c>
      <c r="AW114" s="847">
        <f t="shared" si="111"/>
        <v>0</v>
      </c>
      <c r="AX114" s="847">
        <f t="shared" si="112"/>
        <v>0</v>
      </c>
      <c r="AY114" s="839">
        <f t="shared" si="113"/>
        <v>0</v>
      </c>
      <c r="AZ114" s="839">
        <f t="shared" si="114"/>
        <v>0</v>
      </c>
      <c r="BA114" s="839">
        <f t="shared" si="115"/>
        <v>0</v>
      </c>
      <c r="BB114" s="847">
        <f t="shared" si="116"/>
        <v>0</v>
      </c>
      <c r="BC114" s="848">
        <f t="shared" si="116"/>
        <v>0</v>
      </c>
    </row>
    <row r="115" spans="1:55" x14ac:dyDescent="0.25">
      <c r="A115" s="863">
        <f t="shared" si="127"/>
        <v>14</v>
      </c>
      <c r="B115" s="847">
        <f t="shared" si="143"/>
        <v>0</v>
      </c>
      <c r="C115" s="847">
        <f t="shared" si="128"/>
        <v>0</v>
      </c>
      <c r="D115" s="847">
        <f t="shared" si="129"/>
        <v>0</v>
      </c>
      <c r="E115" s="847">
        <f t="shared" si="117"/>
        <v>0</v>
      </c>
      <c r="F115" s="847">
        <f t="shared" si="152"/>
        <v>0</v>
      </c>
      <c r="G115" s="847">
        <f t="shared" si="130"/>
        <v>0</v>
      </c>
      <c r="H115" s="847">
        <f t="shared" si="144"/>
        <v>0</v>
      </c>
      <c r="I115" s="839">
        <f t="shared" si="118"/>
        <v>0</v>
      </c>
      <c r="J115" s="839">
        <f t="shared" si="119"/>
        <v>0</v>
      </c>
      <c r="K115" s="839">
        <f t="shared" si="104"/>
        <v>0</v>
      </c>
      <c r="L115" s="847">
        <f t="shared" si="145"/>
        <v>0</v>
      </c>
      <c r="M115" s="848">
        <f t="shared" si="131"/>
        <v>0</v>
      </c>
      <c r="N115" s="841"/>
      <c r="O115" s="863">
        <f t="shared" si="132"/>
        <v>14</v>
      </c>
      <c r="P115" s="847">
        <f t="shared" si="146"/>
        <v>0</v>
      </c>
      <c r="Q115" s="847">
        <f t="shared" si="133"/>
        <v>0</v>
      </c>
      <c r="R115" s="847">
        <f t="shared" si="134"/>
        <v>0</v>
      </c>
      <c r="S115" s="847">
        <f t="shared" si="120"/>
        <v>0</v>
      </c>
      <c r="T115" s="847">
        <f t="shared" si="153"/>
        <v>0</v>
      </c>
      <c r="U115" s="847">
        <f t="shared" si="135"/>
        <v>0</v>
      </c>
      <c r="V115" s="847">
        <f t="shared" si="147"/>
        <v>0</v>
      </c>
      <c r="W115" s="839">
        <f t="shared" si="121"/>
        <v>0</v>
      </c>
      <c r="X115" s="839">
        <f t="shared" si="122"/>
        <v>0</v>
      </c>
      <c r="Y115" s="839">
        <f t="shared" si="105"/>
        <v>0</v>
      </c>
      <c r="Z115" s="847">
        <f t="shared" si="148"/>
        <v>0</v>
      </c>
      <c r="AA115" s="848">
        <f t="shared" si="136"/>
        <v>0</v>
      </c>
      <c r="AB115" s="841"/>
      <c r="AC115" s="863">
        <f t="shared" si="137"/>
        <v>14</v>
      </c>
      <c r="AD115" s="847">
        <f t="shared" si="149"/>
        <v>0</v>
      </c>
      <c r="AE115" s="847">
        <f t="shared" si="138"/>
        <v>0</v>
      </c>
      <c r="AF115" s="847">
        <f t="shared" si="139"/>
        <v>0</v>
      </c>
      <c r="AG115" s="847">
        <f t="shared" si="123"/>
        <v>0</v>
      </c>
      <c r="AH115" s="847">
        <f t="shared" si="154"/>
        <v>0</v>
      </c>
      <c r="AI115" s="847">
        <f t="shared" si="140"/>
        <v>0</v>
      </c>
      <c r="AJ115" s="847">
        <f t="shared" si="150"/>
        <v>0</v>
      </c>
      <c r="AK115" s="839">
        <f t="shared" si="124"/>
        <v>0</v>
      </c>
      <c r="AL115" s="839">
        <f t="shared" si="125"/>
        <v>0</v>
      </c>
      <c r="AM115" s="839">
        <f t="shared" si="106"/>
        <v>0</v>
      </c>
      <c r="AN115" s="847">
        <f t="shared" si="151"/>
        <v>0</v>
      </c>
      <c r="AO115" s="848">
        <f t="shared" si="141"/>
        <v>0</v>
      </c>
      <c r="AQ115" s="846">
        <f t="shared" si="142"/>
        <v>14</v>
      </c>
      <c r="AR115" s="847">
        <f t="shared" si="126"/>
        <v>0</v>
      </c>
      <c r="AS115" s="847">
        <f t="shared" si="107"/>
        <v>0</v>
      </c>
      <c r="AT115" s="847">
        <f t="shared" si="108"/>
        <v>0</v>
      </c>
      <c r="AU115" s="847">
        <f t="shared" si="109"/>
        <v>0</v>
      </c>
      <c r="AV115" s="847">
        <f t="shared" si="110"/>
        <v>0</v>
      </c>
      <c r="AW115" s="847">
        <f t="shared" si="111"/>
        <v>0</v>
      </c>
      <c r="AX115" s="847">
        <f t="shared" si="112"/>
        <v>0</v>
      </c>
      <c r="AY115" s="839">
        <f t="shared" si="113"/>
        <v>0</v>
      </c>
      <c r="AZ115" s="839">
        <f t="shared" si="114"/>
        <v>0</v>
      </c>
      <c r="BA115" s="839">
        <f t="shared" si="115"/>
        <v>0</v>
      </c>
      <c r="BB115" s="847">
        <f t="shared" si="116"/>
        <v>0</v>
      </c>
      <c r="BC115" s="848">
        <f t="shared" si="116"/>
        <v>0</v>
      </c>
    </row>
    <row r="116" spans="1:55" x14ac:dyDescent="0.25">
      <c r="A116" s="863">
        <f t="shared" si="127"/>
        <v>15</v>
      </c>
      <c r="B116" s="847">
        <f t="shared" si="143"/>
        <v>0</v>
      </c>
      <c r="C116" s="847">
        <f t="shared" si="128"/>
        <v>0</v>
      </c>
      <c r="D116" s="847">
        <f t="shared" si="129"/>
        <v>0</v>
      </c>
      <c r="E116" s="847">
        <f t="shared" si="117"/>
        <v>0</v>
      </c>
      <c r="F116" s="847">
        <f>IF(L116=0,0,E116+F115)</f>
        <v>0</v>
      </c>
      <c r="G116" s="847">
        <f t="shared" si="130"/>
        <v>0</v>
      </c>
      <c r="H116" s="847">
        <f t="shared" si="144"/>
        <v>0</v>
      </c>
      <c r="I116" s="839">
        <f t="shared" si="118"/>
        <v>0</v>
      </c>
      <c r="J116" s="839">
        <f t="shared" si="119"/>
        <v>0</v>
      </c>
      <c r="K116" s="839">
        <f t="shared" si="104"/>
        <v>0</v>
      </c>
      <c r="L116" s="847">
        <f t="shared" si="145"/>
        <v>0</v>
      </c>
      <c r="M116" s="848">
        <f t="shared" si="131"/>
        <v>0</v>
      </c>
      <c r="N116" s="841"/>
      <c r="O116" s="863">
        <f t="shared" si="132"/>
        <v>15</v>
      </c>
      <c r="P116" s="847">
        <f t="shared" si="146"/>
        <v>0</v>
      </c>
      <c r="Q116" s="847">
        <f t="shared" si="133"/>
        <v>0</v>
      </c>
      <c r="R116" s="847">
        <f t="shared" si="134"/>
        <v>0</v>
      </c>
      <c r="S116" s="847">
        <f t="shared" si="120"/>
        <v>0</v>
      </c>
      <c r="T116" s="847">
        <f>IF(Z116=0,0,S116+T115)</f>
        <v>0</v>
      </c>
      <c r="U116" s="847">
        <f t="shared" si="135"/>
        <v>0</v>
      </c>
      <c r="V116" s="847">
        <f t="shared" si="147"/>
        <v>0</v>
      </c>
      <c r="W116" s="839">
        <f t="shared" si="121"/>
        <v>0</v>
      </c>
      <c r="X116" s="839">
        <f t="shared" si="122"/>
        <v>0</v>
      </c>
      <c r="Y116" s="839">
        <f t="shared" si="105"/>
        <v>0</v>
      </c>
      <c r="Z116" s="847">
        <f t="shared" si="148"/>
        <v>0</v>
      </c>
      <c r="AA116" s="848">
        <f t="shared" si="136"/>
        <v>0</v>
      </c>
      <c r="AB116" s="841"/>
      <c r="AC116" s="863">
        <f t="shared" si="137"/>
        <v>15</v>
      </c>
      <c r="AD116" s="847">
        <f t="shared" si="149"/>
        <v>0</v>
      </c>
      <c r="AE116" s="847">
        <f t="shared" si="138"/>
        <v>0</v>
      </c>
      <c r="AF116" s="847">
        <f t="shared" si="139"/>
        <v>0</v>
      </c>
      <c r="AG116" s="847">
        <f t="shared" si="123"/>
        <v>0</v>
      </c>
      <c r="AH116" s="847">
        <f>IF(AN116=0,0,AG116+AH115)</f>
        <v>0</v>
      </c>
      <c r="AI116" s="847">
        <f t="shared" si="140"/>
        <v>0</v>
      </c>
      <c r="AJ116" s="847">
        <f t="shared" si="150"/>
        <v>0</v>
      </c>
      <c r="AK116" s="839">
        <f t="shared" si="124"/>
        <v>0</v>
      </c>
      <c r="AL116" s="839">
        <f t="shared" si="125"/>
        <v>0</v>
      </c>
      <c r="AM116" s="839">
        <f t="shared" si="106"/>
        <v>0</v>
      </c>
      <c r="AN116" s="847">
        <f t="shared" si="151"/>
        <v>0</v>
      </c>
      <c r="AO116" s="848">
        <f t="shared" si="141"/>
        <v>0</v>
      </c>
      <c r="AQ116" s="846">
        <f t="shared" si="142"/>
        <v>15</v>
      </c>
      <c r="AR116" s="847">
        <f t="shared" si="126"/>
        <v>0</v>
      </c>
      <c r="AS116" s="847">
        <f t="shared" si="107"/>
        <v>0</v>
      </c>
      <c r="AT116" s="847">
        <f t="shared" si="108"/>
        <v>0</v>
      </c>
      <c r="AU116" s="847">
        <f t="shared" si="109"/>
        <v>0</v>
      </c>
      <c r="AV116" s="847">
        <f t="shared" si="110"/>
        <v>0</v>
      </c>
      <c r="AW116" s="847">
        <f t="shared" si="111"/>
        <v>0</v>
      </c>
      <c r="AX116" s="847">
        <f t="shared" si="112"/>
        <v>0</v>
      </c>
      <c r="AY116" s="839">
        <f t="shared" si="113"/>
        <v>0</v>
      </c>
      <c r="AZ116" s="839">
        <f t="shared" si="114"/>
        <v>0</v>
      </c>
      <c r="BA116" s="839">
        <f t="shared" si="115"/>
        <v>0</v>
      </c>
      <c r="BB116" s="847">
        <f t="shared" si="116"/>
        <v>0</v>
      </c>
      <c r="BC116" s="848">
        <f t="shared" si="116"/>
        <v>0</v>
      </c>
    </row>
    <row r="117" spans="1:55" x14ac:dyDescent="0.25">
      <c r="A117" s="863">
        <f t="shared" si="127"/>
        <v>16</v>
      </c>
      <c r="B117" s="847">
        <f t="shared" si="143"/>
        <v>0</v>
      </c>
      <c r="C117" s="847">
        <f t="shared" si="128"/>
        <v>0</v>
      </c>
      <c r="D117" s="847">
        <f t="shared" si="129"/>
        <v>0</v>
      </c>
      <c r="E117" s="847">
        <f t="shared" si="117"/>
        <v>0</v>
      </c>
      <c r="F117" s="847">
        <f t="shared" ref="F117:F171" si="155">IF(L117=0,0,E117+F116)</f>
        <v>0</v>
      </c>
      <c r="G117" s="847">
        <f t="shared" si="130"/>
        <v>0</v>
      </c>
      <c r="H117" s="847">
        <f t="shared" si="144"/>
        <v>0</v>
      </c>
      <c r="I117" s="839">
        <f t="shared" si="118"/>
        <v>0</v>
      </c>
      <c r="J117" s="839">
        <f t="shared" si="119"/>
        <v>0</v>
      </c>
      <c r="K117" s="839">
        <f t="shared" si="104"/>
        <v>0</v>
      </c>
      <c r="L117" s="847">
        <f t="shared" si="145"/>
        <v>0</v>
      </c>
      <c r="M117" s="848">
        <f t="shared" si="131"/>
        <v>0</v>
      </c>
      <c r="N117" s="841"/>
      <c r="O117" s="863">
        <f t="shared" si="132"/>
        <v>16</v>
      </c>
      <c r="P117" s="847">
        <f t="shared" si="146"/>
        <v>0</v>
      </c>
      <c r="Q117" s="847">
        <f t="shared" si="133"/>
        <v>0</v>
      </c>
      <c r="R117" s="847">
        <f t="shared" si="134"/>
        <v>0</v>
      </c>
      <c r="S117" s="847">
        <f t="shared" si="120"/>
        <v>0</v>
      </c>
      <c r="T117" s="847">
        <f t="shared" ref="T117:T171" si="156">IF(Z117=0,0,S117+T116)</f>
        <v>0</v>
      </c>
      <c r="U117" s="847">
        <f t="shared" si="135"/>
        <v>0</v>
      </c>
      <c r="V117" s="847">
        <f t="shared" si="147"/>
        <v>0</v>
      </c>
      <c r="W117" s="839">
        <f t="shared" si="121"/>
        <v>0</v>
      </c>
      <c r="X117" s="839">
        <f t="shared" si="122"/>
        <v>0</v>
      </c>
      <c r="Y117" s="839">
        <f t="shared" si="105"/>
        <v>0</v>
      </c>
      <c r="Z117" s="847">
        <f t="shared" si="148"/>
        <v>0</v>
      </c>
      <c r="AA117" s="848">
        <f t="shared" si="136"/>
        <v>0</v>
      </c>
      <c r="AB117" s="841"/>
      <c r="AC117" s="863">
        <f t="shared" si="137"/>
        <v>16</v>
      </c>
      <c r="AD117" s="847">
        <f t="shared" si="149"/>
        <v>0</v>
      </c>
      <c r="AE117" s="847">
        <f t="shared" si="138"/>
        <v>0</v>
      </c>
      <c r="AF117" s="847">
        <f t="shared" si="139"/>
        <v>0</v>
      </c>
      <c r="AG117" s="847">
        <f t="shared" si="123"/>
        <v>0</v>
      </c>
      <c r="AH117" s="847">
        <f t="shared" ref="AH117:AH171" si="157">IF(AN117=0,0,AG117+AH116)</f>
        <v>0</v>
      </c>
      <c r="AI117" s="847">
        <f t="shared" si="140"/>
        <v>0</v>
      </c>
      <c r="AJ117" s="847">
        <f t="shared" si="150"/>
        <v>0</v>
      </c>
      <c r="AK117" s="839">
        <f t="shared" si="124"/>
        <v>0</v>
      </c>
      <c r="AL117" s="839">
        <f t="shared" si="125"/>
        <v>0</v>
      </c>
      <c r="AM117" s="839">
        <f t="shared" si="106"/>
        <v>0</v>
      </c>
      <c r="AN117" s="847">
        <f t="shared" si="151"/>
        <v>0</v>
      </c>
      <c r="AO117" s="848">
        <f t="shared" si="141"/>
        <v>0</v>
      </c>
      <c r="AQ117" s="846">
        <f t="shared" si="142"/>
        <v>16</v>
      </c>
      <c r="AR117" s="847">
        <f t="shared" si="126"/>
        <v>0</v>
      </c>
      <c r="AS117" s="847">
        <f t="shared" si="107"/>
        <v>0</v>
      </c>
      <c r="AT117" s="847">
        <f t="shared" si="108"/>
        <v>0</v>
      </c>
      <c r="AU117" s="847">
        <f t="shared" si="109"/>
        <v>0</v>
      </c>
      <c r="AV117" s="847">
        <f t="shared" si="110"/>
        <v>0</v>
      </c>
      <c r="AW117" s="847">
        <f t="shared" si="111"/>
        <v>0</v>
      </c>
      <c r="AX117" s="847">
        <f t="shared" si="112"/>
        <v>0</v>
      </c>
      <c r="AY117" s="839">
        <f t="shared" si="113"/>
        <v>0</v>
      </c>
      <c r="AZ117" s="839">
        <f t="shared" si="114"/>
        <v>0</v>
      </c>
      <c r="BA117" s="839">
        <f t="shared" si="115"/>
        <v>0</v>
      </c>
      <c r="BB117" s="847">
        <f t="shared" si="116"/>
        <v>0</v>
      </c>
      <c r="BC117" s="848">
        <f t="shared" si="116"/>
        <v>0</v>
      </c>
    </row>
    <row r="118" spans="1:55" x14ac:dyDescent="0.25">
      <c r="A118" s="863">
        <f t="shared" si="127"/>
        <v>17</v>
      </c>
      <c r="B118" s="847">
        <f t="shared" si="143"/>
        <v>0</v>
      </c>
      <c r="C118" s="847">
        <f t="shared" si="128"/>
        <v>0</v>
      </c>
      <c r="D118" s="847">
        <f t="shared" si="129"/>
        <v>0</v>
      </c>
      <c r="E118" s="847">
        <f t="shared" si="117"/>
        <v>0</v>
      </c>
      <c r="F118" s="847">
        <f t="shared" si="155"/>
        <v>0</v>
      </c>
      <c r="G118" s="847">
        <f t="shared" si="130"/>
        <v>0</v>
      </c>
      <c r="H118" s="847">
        <f t="shared" si="144"/>
        <v>0</v>
      </c>
      <c r="I118" s="839">
        <f t="shared" si="118"/>
        <v>0</v>
      </c>
      <c r="J118" s="839">
        <f t="shared" si="119"/>
        <v>0</v>
      </c>
      <c r="K118" s="839">
        <f t="shared" si="104"/>
        <v>0</v>
      </c>
      <c r="L118" s="847">
        <f t="shared" si="145"/>
        <v>0</v>
      </c>
      <c r="M118" s="848">
        <f t="shared" si="131"/>
        <v>0</v>
      </c>
      <c r="N118" s="841"/>
      <c r="O118" s="863">
        <f t="shared" si="132"/>
        <v>17</v>
      </c>
      <c r="P118" s="847">
        <f t="shared" si="146"/>
        <v>0</v>
      </c>
      <c r="Q118" s="847">
        <f t="shared" si="133"/>
        <v>0</v>
      </c>
      <c r="R118" s="847">
        <f t="shared" si="134"/>
        <v>0</v>
      </c>
      <c r="S118" s="847">
        <f t="shared" si="120"/>
        <v>0</v>
      </c>
      <c r="T118" s="847">
        <f t="shared" si="156"/>
        <v>0</v>
      </c>
      <c r="U118" s="847">
        <f t="shared" si="135"/>
        <v>0</v>
      </c>
      <c r="V118" s="847">
        <f t="shared" si="147"/>
        <v>0</v>
      </c>
      <c r="W118" s="839">
        <f t="shared" si="121"/>
        <v>0</v>
      </c>
      <c r="X118" s="839">
        <f t="shared" si="122"/>
        <v>0</v>
      </c>
      <c r="Y118" s="839">
        <f t="shared" si="105"/>
        <v>0</v>
      </c>
      <c r="Z118" s="847">
        <f t="shared" si="148"/>
        <v>0</v>
      </c>
      <c r="AA118" s="848">
        <f t="shared" si="136"/>
        <v>0</v>
      </c>
      <c r="AB118" s="841"/>
      <c r="AC118" s="863">
        <f t="shared" si="137"/>
        <v>17</v>
      </c>
      <c r="AD118" s="847">
        <f t="shared" si="149"/>
        <v>0</v>
      </c>
      <c r="AE118" s="847">
        <f t="shared" si="138"/>
        <v>0</v>
      </c>
      <c r="AF118" s="847">
        <f t="shared" si="139"/>
        <v>0</v>
      </c>
      <c r="AG118" s="847">
        <f t="shared" si="123"/>
        <v>0</v>
      </c>
      <c r="AH118" s="847">
        <f t="shared" si="157"/>
        <v>0</v>
      </c>
      <c r="AI118" s="847">
        <f t="shared" si="140"/>
        <v>0</v>
      </c>
      <c r="AJ118" s="847">
        <f t="shared" si="150"/>
        <v>0</v>
      </c>
      <c r="AK118" s="839">
        <f t="shared" si="124"/>
        <v>0</v>
      </c>
      <c r="AL118" s="839">
        <f t="shared" si="125"/>
        <v>0</v>
      </c>
      <c r="AM118" s="839">
        <f t="shared" si="106"/>
        <v>0</v>
      </c>
      <c r="AN118" s="847">
        <f t="shared" si="151"/>
        <v>0</v>
      </c>
      <c r="AO118" s="848">
        <f t="shared" si="141"/>
        <v>0</v>
      </c>
      <c r="AQ118" s="846">
        <f t="shared" si="142"/>
        <v>17</v>
      </c>
      <c r="AR118" s="847">
        <f t="shared" si="126"/>
        <v>0</v>
      </c>
      <c r="AS118" s="847">
        <f t="shared" si="107"/>
        <v>0</v>
      </c>
      <c r="AT118" s="847">
        <f t="shared" si="108"/>
        <v>0</v>
      </c>
      <c r="AU118" s="847">
        <f t="shared" si="109"/>
        <v>0</v>
      </c>
      <c r="AV118" s="847">
        <f t="shared" si="110"/>
        <v>0</v>
      </c>
      <c r="AW118" s="847">
        <f t="shared" si="111"/>
        <v>0</v>
      </c>
      <c r="AX118" s="847">
        <f t="shared" si="112"/>
        <v>0</v>
      </c>
      <c r="AY118" s="839">
        <f t="shared" si="113"/>
        <v>0</v>
      </c>
      <c r="AZ118" s="839">
        <f t="shared" si="114"/>
        <v>0</v>
      </c>
      <c r="BA118" s="839">
        <f t="shared" si="115"/>
        <v>0</v>
      </c>
      <c r="BB118" s="847">
        <f t="shared" si="116"/>
        <v>0</v>
      </c>
      <c r="BC118" s="848">
        <f t="shared" si="116"/>
        <v>0</v>
      </c>
    </row>
    <row r="119" spans="1:55" x14ac:dyDescent="0.25">
      <c r="A119" s="863">
        <f t="shared" si="127"/>
        <v>18</v>
      </c>
      <c r="B119" s="847">
        <f t="shared" si="143"/>
        <v>0</v>
      </c>
      <c r="C119" s="847">
        <f t="shared" si="128"/>
        <v>0</v>
      </c>
      <c r="D119" s="847">
        <f t="shared" si="129"/>
        <v>0</v>
      </c>
      <c r="E119" s="847">
        <f t="shared" si="117"/>
        <v>0</v>
      </c>
      <c r="F119" s="847">
        <f t="shared" si="155"/>
        <v>0</v>
      </c>
      <c r="G119" s="847">
        <f t="shared" si="130"/>
        <v>0</v>
      </c>
      <c r="H119" s="847">
        <f t="shared" si="144"/>
        <v>0</v>
      </c>
      <c r="I119" s="839">
        <f t="shared" si="118"/>
        <v>0</v>
      </c>
      <c r="J119" s="839">
        <f t="shared" si="119"/>
        <v>0</v>
      </c>
      <c r="K119" s="839">
        <f t="shared" si="104"/>
        <v>0</v>
      </c>
      <c r="L119" s="847">
        <f t="shared" si="145"/>
        <v>0</v>
      </c>
      <c r="M119" s="848">
        <f t="shared" si="131"/>
        <v>0</v>
      </c>
      <c r="N119" s="841"/>
      <c r="O119" s="863">
        <f t="shared" si="132"/>
        <v>18</v>
      </c>
      <c r="P119" s="847">
        <f t="shared" si="146"/>
        <v>0</v>
      </c>
      <c r="Q119" s="847">
        <f t="shared" si="133"/>
        <v>0</v>
      </c>
      <c r="R119" s="847">
        <f t="shared" si="134"/>
        <v>0</v>
      </c>
      <c r="S119" s="847">
        <f t="shared" si="120"/>
        <v>0</v>
      </c>
      <c r="T119" s="847">
        <f t="shared" si="156"/>
        <v>0</v>
      </c>
      <c r="U119" s="847">
        <f t="shared" si="135"/>
        <v>0</v>
      </c>
      <c r="V119" s="847">
        <f t="shared" si="147"/>
        <v>0</v>
      </c>
      <c r="W119" s="839">
        <f t="shared" si="121"/>
        <v>0</v>
      </c>
      <c r="X119" s="839">
        <f t="shared" si="122"/>
        <v>0</v>
      </c>
      <c r="Y119" s="839">
        <f t="shared" si="105"/>
        <v>0</v>
      </c>
      <c r="Z119" s="847">
        <f t="shared" si="148"/>
        <v>0</v>
      </c>
      <c r="AA119" s="848">
        <f t="shared" si="136"/>
        <v>0</v>
      </c>
      <c r="AB119" s="841"/>
      <c r="AC119" s="863">
        <f t="shared" si="137"/>
        <v>18</v>
      </c>
      <c r="AD119" s="847">
        <f t="shared" si="149"/>
        <v>0</v>
      </c>
      <c r="AE119" s="847">
        <f t="shared" si="138"/>
        <v>0</v>
      </c>
      <c r="AF119" s="847">
        <f t="shared" si="139"/>
        <v>0</v>
      </c>
      <c r="AG119" s="847">
        <f t="shared" si="123"/>
        <v>0</v>
      </c>
      <c r="AH119" s="847">
        <f t="shared" si="157"/>
        <v>0</v>
      </c>
      <c r="AI119" s="847">
        <f t="shared" si="140"/>
        <v>0</v>
      </c>
      <c r="AJ119" s="847">
        <f t="shared" si="150"/>
        <v>0</v>
      </c>
      <c r="AK119" s="839">
        <f t="shared" si="124"/>
        <v>0</v>
      </c>
      <c r="AL119" s="839">
        <f t="shared" si="125"/>
        <v>0</v>
      </c>
      <c r="AM119" s="839">
        <f t="shared" si="106"/>
        <v>0</v>
      </c>
      <c r="AN119" s="847">
        <f t="shared" si="151"/>
        <v>0</v>
      </c>
      <c r="AO119" s="848">
        <f t="shared" si="141"/>
        <v>0</v>
      </c>
      <c r="AQ119" s="846">
        <f t="shared" si="142"/>
        <v>18</v>
      </c>
      <c r="AR119" s="847">
        <f t="shared" si="126"/>
        <v>0</v>
      </c>
      <c r="AS119" s="847">
        <f t="shared" si="107"/>
        <v>0</v>
      </c>
      <c r="AT119" s="847">
        <f t="shared" si="108"/>
        <v>0</v>
      </c>
      <c r="AU119" s="847">
        <f t="shared" si="109"/>
        <v>0</v>
      </c>
      <c r="AV119" s="847">
        <f t="shared" si="110"/>
        <v>0</v>
      </c>
      <c r="AW119" s="847">
        <f t="shared" si="111"/>
        <v>0</v>
      </c>
      <c r="AX119" s="847">
        <f t="shared" si="112"/>
        <v>0</v>
      </c>
      <c r="AY119" s="839">
        <f t="shared" si="113"/>
        <v>0</v>
      </c>
      <c r="AZ119" s="839">
        <f t="shared" si="114"/>
        <v>0</v>
      </c>
      <c r="BA119" s="839">
        <f t="shared" si="115"/>
        <v>0</v>
      </c>
      <c r="BB119" s="847">
        <f t="shared" si="116"/>
        <v>0</v>
      </c>
      <c r="BC119" s="848">
        <f t="shared" si="116"/>
        <v>0</v>
      </c>
    </row>
    <row r="120" spans="1:55" x14ac:dyDescent="0.25">
      <c r="A120" s="863">
        <f t="shared" si="127"/>
        <v>19</v>
      </c>
      <c r="B120" s="847">
        <f t="shared" si="143"/>
        <v>0</v>
      </c>
      <c r="C120" s="847">
        <f t="shared" si="128"/>
        <v>0</v>
      </c>
      <c r="D120" s="847">
        <f t="shared" si="129"/>
        <v>0</v>
      </c>
      <c r="E120" s="847">
        <f t="shared" si="117"/>
        <v>0</v>
      </c>
      <c r="F120" s="847">
        <f t="shared" si="155"/>
        <v>0</v>
      </c>
      <c r="G120" s="847">
        <f t="shared" si="130"/>
        <v>0</v>
      </c>
      <c r="H120" s="847">
        <f t="shared" si="144"/>
        <v>0</v>
      </c>
      <c r="I120" s="839">
        <f t="shared" si="118"/>
        <v>0</v>
      </c>
      <c r="J120" s="839">
        <f t="shared" si="119"/>
        <v>0</v>
      </c>
      <c r="K120" s="839">
        <f t="shared" si="104"/>
        <v>0</v>
      </c>
      <c r="L120" s="847">
        <f t="shared" si="145"/>
        <v>0</v>
      </c>
      <c r="M120" s="848">
        <f t="shared" si="131"/>
        <v>0</v>
      </c>
      <c r="N120" s="841"/>
      <c r="O120" s="863">
        <f t="shared" si="132"/>
        <v>19</v>
      </c>
      <c r="P120" s="847">
        <f t="shared" si="146"/>
        <v>0</v>
      </c>
      <c r="Q120" s="847">
        <f t="shared" si="133"/>
        <v>0</v>
      </c>
      <c r="R120" s="847">
        <f t="shared" si="134"/>
        <v>0</v>
      </c>
      <c r="S120" s="847">
        <f t="shared" si="120"/>
        <v>0</v>
      </c>
      <c r="T120" s="847">
        <f t="shared" si="156"/>
        <v>0</v>
      </c>
      <c r="U120" s="847">
        <f t="shared" si="135"/>
        <v>0</v>
      </c>
      <c r="V120" s="847">
        <f t="shared" si="147"/>
        <v>0</v>
      </c>
      <c r="W120" s="839">
        <f t="shared" si="121"/>
        <v>0</v>
      </c>
      <c r="X120" s="839">
        <f t="shared" si="122"/>
        <v>0</v>
      </c>
      <c r="Y120" s="839">
        <f t="shared" si="105"/>
        <v>0</v>
      </c>
      <c r="Z120" s="847">
        <f t="shared" si="148"/>
        <v>0</v>
      </c>
      <c r="AA120" s="848">
        <f t="shared" si="136"/>
        <v>0</v>
      </c>
      <c r="AB120" s="841"/>
      <c r="AC120" s="863">
        <f t="shared" si="137"/>
        <v>19</v>
      </c>
      <c r="AD120" s="847">
        <f t="shared" si="149"/>
        <v>0</v>
      </c>
      <c r="AE120" s="847">
        <f t="shared" si="138"/>
        <v>0</v>
      </c>
      <c r="AF120" s="847">
        <f t="shared" si="139"/>
        <v>0</v>
      </c>
      <c r="AG120" s="847">
        <f t="shared" si="123"/>
        <v>0</v>
      </c>
      <c r="AH120" s="847">
        <f t="shared" si="157"/>
        <v>0</v>
      </c>
      <c r="AI120" s="847">
        <f t="shared" si="140"/>
        <v>0</v>
      </c>
      <c r="AJ120" s="847">
        <f t="shared" si="150"/>
        <v>0</v>
      </c>
      <c r="AK120" s="839">
        <f t="shared" si="124"/>
        <v>0</v>
      </c>
      <c r="AL120" s="839">
        <f t="shared" si="125"/>
        <v>0</v>
      </c>
      <c r="AM120" s="839">
        <f t="shared" si="106"/>
        <v>0</v>
      </c>
      <c r="AN120" s="847">
        <f t="shared" si="151"/>
        <v>0</v>
      </c>
      <c r="AO120" s="848">
        <f t="shared" si="141"/>
        <v>0</v>
      </c>
      <c r="AQ120" s="846">
        <f t="shared" si="142"/>
        <v>19</v>
      </c>
      <c r="AR120" s="847">
        <f t="shared" si="126"/>
        <v>0</v>
      </c>
      <c r="AS120" s="847">
        <f t="shared" si="107"/>
        <v>0</v>
      </c>
      <c r="AT120" s="847">
        <f t="shared" si="108"/>
        <v>0</v>
      </c>
      <c r="AU120" s="847">
        <f t="shared" si="109"/>
        <v>0</v>
      </c>
      <c r="AV120" s="847">
        <f t="shared" si="110"/>
        <v>0</v>
      </c>
      <c r="AW120" s="847">
        <f t="shared" si="111"/>
        <v>0</v>
      </c>
      <c r="AX120" s="847">
        <f t="shared" si="112"/>
        <v>0</v>
      </c>
      <c r="AY120" s="839">
        <f t="shared" si="113"/>
        <v>0</v>
      </c>
      <c r="AZ120" s="839">
        <f t="shared" si="114"/>
        <v>0</v>
      </c>
      <c r="BA120" s="839">
        <f t="shared" si="115"/>
        <v>0</v>
      </c>
      <c r="BB120" s="847">
        <f t="shared" si="116"/>
        <v>0</v>
      </c>
      <c r="BC120" s="848">
        <f t="shared" si="116"/>
        <v>0</v>
      </c>
    </row>
    <row r="121" spans="1:55" x14ac:dyDescent="0.25">
      <c r="A121" s="863">
        <f t="shared" si="127"/>
        <v>20</v>
      </c>
      <c r="B121" s="847">
        <f t="shared" si="143"/>
        <v>0</v>
      </c>
      <c r="C121" s="847">
        <f t="shared" si="128"/>
        <v>0</v>
      </c>
      <c r="D121" s="847">
        <f t="shared" si="129"/>
        <v>0</v>
      </c>
      <c r="E121" s="847">
        <f t="shared" si="117"/>
        <v>0</v>
      </c>
      <c r="F121" s="847">
        <f t="shared" si="155"/>
        <v>0</v>
      </c>
      <c r="G121" s="847">
        <f t="shared" si="130"/>
        <v>0</v>
      </c>
      <c r="H121" s="847">
        <f t="shared" si="144"/>
        <v>0</v>
      </c>
      <c r="I121" s="839">
        <f t="shared" si="118"/>
        <v>0</v>
      </c>
      <c r="J121" s="839">
        <f t="shared" si="119"/>
        <v>0</v>
      </c>
      <c r="K121" s="839">
        <f t="shared" si="104"/>
        <v>0</v>
      </c>
      <c r="L121" s="847">
        <f t="shared" si="145"/>
        <v>0</v>
      </c>
      <c r="M121" s="848">
        <f t="shared" si="131"/>
        <v>0</v>
      </c>
      <c r="N121" s="841"/>
      <c r="O121" s="863">
        <f t="shared" si="132"/>
        <v>20</v>
      </c>
      <c r="P121" s="847">
        <f t="shared" si="146"/>
        <v>0</v>
      </c>
      <c r="Q121" s="847">
        <f t="shared" si="133"/>
        <v>0</v>
      </c>
      <c r="R121" s="847">
        <f t="shared" si="134"/>
        <v>0</v>
      </c>
      <c r="S121" s="847">
        <f t="shared" si="120"/>
        <v>0</v>
      </c>
      <c r="T121" s="847">
        <f t="shared" si="156"/>
        <v>0</v>
      </c>
      <c r="U121" s="847">
        <f t="shared" si="135"/>
        <v>0</v>
      </c>
      <c r="V121" s="847">
        <f t="shared" si="147"/>
        <v>0</v>
      </c>
      <c r="W121" s="839">
        <f t="shared" si="121"/>
        <v>0</v>
      </c>
      <c r="X121" s="839">
        <f t="shared" si="122"/>
        <v>0</v>
      </c>
      <c r="Y121" s="839">
        <f t="shared" si="105"/>
        <v>0</v>
      </c>
      <c r="Z121" s="847">
        <f t="shared" si="148"/>
        <v>0</v>
      </c>
      <c r="AA121" s="848">
        <f t="shared" si="136"/>
        <v>0</v>
      </c>
      <c r="AB121" s="841"/>
      <c r="AC121" s="863">
        <f t="shared" si="137"/>
        <v>20</v>
      </c>
      <c r="AD121" s="847">
        <f t="shared" si="149"/>
        <v>0</v>
      </c>
      <c r="AE121" s="847">
        <f t="shared" si="138"/>
        <v>0</v>
      </c>
      <c r="AF121" s="847">
        <f t="shared" si="139"/>
        <v>0</v>
      </c>
      <c r="AG121" s="847">
        <f t="shared" si="123"/>
        <v>0</v>
      </c>
      <c r="AH121" s="847">
        <f t="shared" si="157"/>
        <v>0</v>
      </c>
      <c r="AI121" s="847">
        <f t="shared" si="140"/>
        <v>0</v>
      </c>
      <c r="AJ121" s="847">
        <f t="shared" si="150"/>
        <v>0</v>
      </c>
      <c r="AK121" s="839">
        <f t="shared" si="124"/>
        <v>0</v>
      </c>
      <c r="AL121" s="839">
        <f t="shared" si="125"/>
        <v>0</v>
      </c>
      <c r="AM121" s="839">
        <f t="shared" si="106"/>
        <v>0</v>
      </c>
      <c r="AN121" s="847">
        <f t="shared" si="151"/>
        <v>0</v>
      </c>
      <c r="AO121" s="848">
        <f t="shared" si="141"/>
        <v>0</v>
      </c>
      <c r="AQ121" s="846">
        <f t="shared" si="142"/>
        <v>20</v>
      </c>
      <c r="AR121" s="847">
        <f t="shared" si="126"/>
        <v>0</v>
      </c>
      <c r="AS121" s="847">
        <f t="shared" si="107"/>
        <v>0</v>
      </c>
      <c r="AT121" s="847">
        <f t="shared" si="108"/>
        <v>0</v>
      </c>
      <c r="AU121" s="847">
        <f t="shared" si="109"/>
        <v>0</v>
      </c>
      <c r="AV121" s="847">
        <f t="shared" si="110"/>
        <v>0</v>
      </c>
      <c r="AW121" s="847">
        <f t="shared" si="111"/>
        <v>0</v>
      </c>
      <c r="AX121" s="847">
        <f t="shared" si="112"/>
        <v>0</v>
      </c>
      <c r="AY121" s="839">
        <f t="shared" si="113"/>
        <v>0</v>
      </c>
      <c r="AZ121" s="839">
        <f t="shared" si="114"/>
        <v>0</v>
      </c>
      <c r="BA121" s="839">
        <f t="shared" si="115"/>
        <v>0</v>
      </c>
      <c r="BB121" s="847">
        <f t="shared" si="116"/>
        <v>0</v>
      </c>
      <c r="BC121" s="848">
        <f t="shared" si="116"/>
        <v>0</v>
      </c>
    </row>
    <row r="122" spans="1:55" x14ac:dyDescent="0.25">
      <c r="A122" s="863">
        <f t="shared" si="127"/>
        <v>21</v>
      </c>
      <c r="B122" s="847">
        <f t="shared" si="143"/>
        <v>0</v>
      </c>
      <c r="C122" s="847">
        <f t="shared" si="128"/>
        <v>0</v>
      </c>
      <c r="D122" s="847">
        <f t="shared" si="129"/>
        <v>0</v>
      </c>
      <c r="E122" s="847">
        <f t="shared" si="117"/>
        <v>0</v>
      </c>
      <c r="F122" s="847">
        <f t="shared" si="155"/>
        <v>0</v>
      </c>
      <c r="G122" s="847">
        <f t="shared" si="130"/>
        <v>0</v>
      </c>
      <c r="H122" s="847">
        <f t="shared" si="144"/>
        <v>0</v>
      </c>
      <c r="I122" s="839">
        <f t="shared" si="118"/>
        <v>0</v>
      </c>
      <c r="J122" s="839">
        <f t="shared" si="119"/>
        <v>0</v>
      </c>
      <c r="K122" s="839">
        <f t="shared" si="104"/>
        <v>0</v>
      </c>
      <c r="L122" s="847">
        <f t="shared" si="145"/>
        <v>0</v>
      </c>
      <c r="M122" s="848">
        <f t="shared" si="131"/>
        <v>0</v>
      </c>
      <c r="N122" s="841"/>
      <c r="O122" s="863">
        <f t="shared" si="132"/>
        <v>21</v>
      </c>
      <c r="P122" s="847">
        <f t="shared" si="146"/>
        <v>0</v>
      </c>
      <c r="Q122" s="847">
        <f t="shared" si="133"/>
        <v>0</v>
      </c>
      <c r="R122" s="847">
        <f t="shared" si="134"/>
        <v>0</v>
      </c>
      <c r="S122" s="847">
        <f t="shared" si="120"/>
        <v>0</v>
      </c>
      <c r="T122" s="847">
        <f t="shared" si="156"/>
        <v>0</v>
      </c>
      <c r="U122" s="847">
        <f t="shared" si="135"/>
        <v>0</v>
      </c>
      <c r="V122" s="847">
        <f t="shared" si="147"/>
        <v>0</v>
      </c>
      <c r="W122" s="839">
        <f t="shared" si="121"/>
        <v>0</v>
      </c>
      <c r="X122" s="839">
        <f t="shared" si="122"/>
        <v>0</v>
      </c>
      <c r="Y122" s="839">
        <f t="shared" si="105"/>
        <v>0</v>
      </c>
      <c r="Z122" s="847">
        <f t="shared" si="148"/>
        <v>0</v>
      </c>
      <c r="AA122" s="848">
        <f t="shared" si="136"/>
        <v>0</v>
      </c>
      <c r="AB122" s="841"/>
      <c r="AC122" s="863">
        <f t="shared" si="137"/>
        <v>21</v>
      </c>
      <c r="AD122" s="847">
        <f t="shared" si="149"/>
        <v>0</v>
      </c>
      <c r="AE122" s="847">
        <f t="shared" si="138"/>
        <v>0</v>
      </c>
      <c r="AF122" s="847">
        <f t="shared" si="139"/>
        <v>0</v>
      </c>
      <c r="AG122" s="847">
        <f t="shared" si="123"/>
        <v>0</v>
      </c>
      <c r="AH122" s="847">
        <f t="shared" si="157"/>
        <v>0</v>
      </c>
      <c r="AI122" s="847">
        <f t="shared" si="140"/>
        <v>0</v>
      </c>
      <c r="AJ122" s="847">
        <f t="shared" si="150"/>
        <v>0</v>
      </c>
      <c r="AK122" s="839">
        <f t="shared" si="124"/>
        <v>0</v>
      </c>
      <c r="AL122" s="839">
        <f t="shared" si="125"/>
        <v>0</v>
      </c>
      <c r="AM122" s="839">
        <f t="shared" si="106"/>
        <v>0</v>
      </c>
      <c r="AN122" s="847">
        <f t="shared" si="151"/>
        <v>0</v>
      </c>
      <c r="AO122" s="848">
        <f t="shared" si="141"/>
        <v>0</v>
      </c>
      <c r="AQ122" s="846">
        <f t="shared" si="142"/>
        <v>21</v>
      </c>
      <c r="AR122" s="847">
        <f t="shared" si="126"/>
        <v>0</v>
      </c>
      <c r="AS122" s="847">
        <f t="shared" si="107"/>
        <v>0</v>
      </c>
      <c r="AT122" s="847">
        <f t="shared" si="108"/>
        <v>0</v>
      </c>
      <c r="AU122" s="847">
        <f t="shared" si="109"/>
        <v>0</v>
      </c>
      <c r="AV122" s="847">
        <f t="shared" si="110"/>
        <v>0</v>
      </c>
      <c r="AW122" s="847">
        <f t="shared" si="111"/>
        <v>0</v>
      </c>
      <c r="AX122" s="847">
        <f t="shared" si="112"/>
        <v>0</v>
      </c>
      <c r="AY122" s="839">
        <f t="shared" si="113"/>
        <v>0</v>
      </c>
      <c r="AZ122" s="839">
        <f t="shared" si="114"/>
        <v>0</v>
      </c>
      <c r="BA122" s="839">
        <f t="shared" si="115"/>
        <v>0</v>
      </c>
      <c r="BB122" s="847">
        <f t="shared" si="116"/>
        <v>0</v>
      </c>
      <c r="BC122" s="848">
        <f t="shared" si="116"/>
        <v>0</v>
      </c>
    </row>
    <row r="123" spans="1:55" x14ac:dyDescent="0.25">
      <c r="A123" s="863">
        <f t="shared" si="127"/>
        <v>22</v>
      </c>
      <c r="B123" s="847">
        <f t="shared" si="143"/>
        <v>0</v>
      </c>
      <c r="C123" s="847">
        <f t="shared" si="128"/>
        <v>0</v>
      </c>
      <c r="D123" s="847">
        <f t="shared" si="129"/>
        <v>0</v>
      </c>
      <c r="E123" s="847">
        <f t="shared" si="117"/>
        <v>0</v>
      </c>
      <c r="F123" s="847">
        <f t="shared" si="155"/>
        <v>0</v>
      </c>
      <c r="G123" s="847">
        <f t="shared" si="130"/>
        <v>0</v>
      </c>
      <c r="H123" s="847">
        <f t="shared" si="144"/>
        <v>0</v>
      </c>
      <c r="I123" s="839">
        <f t="shared" si="118"/>
        <v>0</v>
      </c>
      <c r="J123" s="839">
        <f t="shared" si="119"/>
        <v>0</v>
      </c>
      <c r="K123" s="839">
        <f t="shared" si="104"/>
        <v>0</v>
      </c>
      <c r="L123" s="847">
        <f t="shared" si="145"/>
        <v>0</v>
      </c>
      <c r="M123" s="848">
        <f t="shared" si="131"/>
        <v>0</v>
      </c>
      <c r="N123" s="841"/>
      <c r="O123" s="863">
        <f t="shared" si="132"/>
        <v>22</v>
      </c>
      <c r="P123" s="847">
        <f t="shared" si="146"/>
        <v>0</v>
      </c>
      <c r="Q123" s="847">
        <f t="shared" si="133"/>
        <v>0</v>
      </c>
      <c r="R123" s="847">
        <f t="shared" si="134"/>
        <v>0</v>
      </c>
      <c r="S123" s="847">
        <f t="shared" si="120"/>
        <v>0</v>
      </c>
      <c r="T123" s="847">
        <f t="shared" si="156"/>
        <v>0</v>
      </c>
      <c r="U123" s="847">
        <f t="shared" si="135"/>
        <v>0</v>
      </c>
      <c r="V123" s="847">
        <f t="shared" si="147"/>
        <v>0</v>
      </c>
      <c r="W123" s="839">
        <f t="shared" si="121"/>
        <v>0</v>
      </c>
      <c r="X123" s="839">
        <f t="shared" si="122"/>
        <v>0</v>
      </c>
      <c r="Y123" s="839">
        <f t="shared" si="105"/>
        <v>0</v>
      </c>
      <c r="Z123" s="847">
        <f t="shared" si="148"/>
        <v>0</v>
      </c>
      <c r="AA123" s="848">
        <f t="shared" si="136"/>
        <v>0</v>
      </c>
      <c r="AB123" s="841"/>
      <c r="AC123" s="863">
        <f t="shared" si="137"/>
        <v>22</v>
      </c>
      <c r="AD123" s="847">
        <f t="shared" si="149"/>
        <v>0</v>
      </c>
      <c r="AE123" s="847">
        <f t="shared" si="138"/>
        <v>0</v>
      </c>
      <c r="AF123" s="847">
        <f t="shared" si="139"/>
        <v>0</v>
      </c>
      <c r="AG123" s="847">
        <f t="shared" si="123"/>
        <v>0</v>
      </c>
      <c r="AH123" s="847">
        <f t="shared" si="157"/>
        <v>0</v>
      </c>
      <c r="AI123" s="847">
        <f t="shared" si="140"/>
        <v>0</v>
      </c>
      <c r="AJ123" s="847">
        <f t="shared" si="150"/>
        <v>0</v>
      </c>
      <c r="AK123" s="839">
        <f t="shared" si="124"/>
        <v>0</v>
      </c>
      <c r="AL123" s="839">
        <f t="shared" si="125"/>
        <v>0</v>
      </c>
      <c r="AM123" s="839">
        <f t="shared" si="106"/>
        <v>0</v>
      </c>
      <c r="AN123" s="847">
        <f t="shared" si="151"/>
        <v>0</v>
      </c>
      <c r="AO123" s="848">
        <f t="shared" si="141"/>
        <v>0</v>
      </c>
      <c r="AQ123" s="846">
        <f t="shared" si="142"/>
        <v>22</v>
      </c>
      <c r="AR123" s="847">
        <f t="shared" si="126"/>
        <v>0</v>
      </c>
      <c r="AS123" s="847">
        <f t="shared" si="107"/>
        <v>0</v>
      </c>
      <c r="AT123" s="847">
        <f t="shared" si="108"/>
        <v>0</v>
      </c>
      <c r="AU123" s="847">
        <f t="shared" si="109"/>
        <v>0</v>
      </c>
      <c r="AV123" s="847">
        <f t="shared" si="110"/>
        <v>0</v>
      </c>
      <c r="AW123" s="847">
        <f t="shared" si="111"/>
        <v>0</v>
      </c>
      <c r="AX123" s="847">
        <f t="shared" si="112"/>
        <v>0</v>
      </c>
      <c r="AY123" s="839">
        <f t="shared" si="113"/>
        <v>0</v>
      </c>
      <c r="AZ123" s="839">
        <f t="shared" si="114"/>
        <v>0</v>
      </c>
      <c r="BA123" s="839">
        <f t="shared" si="115"/>
        <v>0</v>
      </c>
      <c r="BB123" s="847">
        <f t="shared" si="116"/>
        <v>0</v>
      </c>
      <c r="BC123" s="848">
        <f t="shared" si="116"/>
        <v>0</v>
      </c>
    </row>
    <row r="124" spans="1:55" x14ac:dyDescent="0.25">
      <c r="A124" s="863">
        <f t="shared" si="127"/>
        <v>23</v>
      </c>
      <c r="B124" s="847">
        <f t="shared" si="143"/>
        <v>0</v>
      </c>
      <c r="C124" s="847">
        <f t="shared" si="128"/>
        <v>0</v>
      </c>
      <c r="D124" s="847">
        <f t="shared" si="129"/>
        <v>0</v>
      </c>
      <c r="E124" s="847">
        <f t="shared" si="117"/>
        <v>0</v>
      </c>
      <c r="F124" s="847">
        <f t="shared" si="155"/>
        <v>0</v>
      </c>
      <c r="G124" s="847">
        <f t="shared" si="130"/>
        <v>0</v>
      </c>
      <c r="H124" s="847">
        <f t="shared" si="144"/>
        <v>0</v>
      </c>
      <c r="I124" s="839">
        <f t="shared" si="118"/>
        <v>0</v>
      </c>
      <c r="J124" s="839">
        <f t="shared" si="119"/>
        <v>0</v>
      </c>
      <c r="K124" s="839">
        <f t="shared" si="104"/>
        <v>0</v>
      </c>
      <c r="L124" s="847">
        <f t="shared" si="145"/>
        <v>0</v>
      </c>
      <c r="M124" s="848">
        <f t="shared" si="131"/>
        <v>0</v>
      </c>
      <c r="N124" s="841"/>
      <c r="O124" s="863">
        <f t="shared" si="132"/>
        <v>23</v>
      </c>
      <c r="P124" s="847">
        <f t="shared" si="146"/>
        <v>0</v>
      </c>
      <c r="Q124" s="847">
        <f t="shared" si="133"/>
        <v>0</v>
      </c>
      <c r="R124" s="847">
        <f t="shared" si="134"/>
        <v>0</v>
      </c>
      <c r="S124" s="847">
        <f t="shared" si="120"/>
        <v>0</v>
      </c>
      <c r="T124" s="847">
        <f t="shared" si="156"/>
        <v>0</v>
      </c>
      <c r="U124" s="847">
        <f t="shared" si="135"/>
        <v>0</v>
      </c>
      <c r="V124" s="847">
        <f t="shared" si="147"/>
        <v>0</v>
      </c>
      <c r="W124" s="839">
        <f t="shared" si="121"/>
        <v>0</v>
      </c>
      <c r="X124" s="839">
        <f t="shared" si="122"/>
        <v>0</v>
      </c>
      <c r="Y124" s="839">
        <f t="shared" si="105"/>
        <v>0</v>
      </c>
      <c r="Z124" s="847">
        <f t="shared" si="148"/>
        <v>0</v>
      </c>
      <c r="AA124" s="848">
        <f t="shared" si="136"/>
        <v>0</v>
      </c>
      <c r="AB124" s="841"/>
      <c r="AC124" s="863">
        <f t="shared" si="137"/>
        <v>23</v>
      </c>
      <c r="AD124" s="847">
        <f t="shared" si="149"/>
        <v>0</v>
      </c>
      <c r="AE124" s="847">
        <f t="shared" si="138"/>
        <v>0</v>
      </c>
      <c r="AF124" s="847">
        <f t="shared" si="139"/>
        <v>0</v>
      </c>
      <c r="AG124" s="847">
        <f t="shared" si="123"/>
        <v>0</v>
      </c>
      <c r="AH124" s="847">
        <f t="shared" si="157"/>
        <v>0</v>
      </c>
      <c r="AI124" s="847">
        <f t="shared" si="140"/>
        <v>0</v>
      </c>
      <c r="AJ124" s="847">
        <f t="shared" si="150"/>
        <v>0</v>
      </c>
      <c r="AK124" s="839">
        <f t="shared" si="124"/>
        <v>0</v>
      </c>
      <c r="AL124" s="839">
        <f t="shared" si="125"/>
        <v>0</v>
      </c>
      <c r="AM124" s="839">
        <f t="shared" si="106"/>
        <v>0</v>
      </c>
      <c r="AN124" s="847">
        <f t="shared" si="151"/>
        <v>0</v>
      </c>
      <c r="AO124" s="848">
        <f t="shared" si="141"/>
        <v>0</v>
      </c>
      <c r="AQ124" s="846">
        <f t="shared" si="142"/>
        <v>23</v>
      </c>
      <c r="AR124" s="847">
        <f t="shared" si="126"/>
        <v>0</v>
      </c>
      <c r="AS124" s="847">
        <f t="shared" si="107"/>
        <v>0</v>
      </c>
      <c r="AT124" s="847">
        <f t="shared" si="108"/>
        <v>0</v>
      </c>
      <c r="AU124" s="847">
        <f t="shared" si="109"/>
        <v>0</v>
      </c>
      <c r="AV124" s="847">
        <f t="shared" si="110"/>
        <v>0</v>
      </c>
      <c r="AW124" s="847">
        <f t="shared" si="111"/>
        <v>0</v>
      </c>
      <c r="AX124" s="847">
        <f t="shared" si="112"/>
        <v>0</v>
      </c>
      <c r="AY124" s="839">
        <f t="shared" si="113"/>
        <v>0</v>
      </c>
      <c r="AZ124" s="839">
        <f t="shared" si="114"/>
        <v>0</v>
      </c>
      <c r="BA124" s="839">
        <f t="shared" si="115"/>
        <v>0</v>
      </c>
      <c r="BB124" s="847">
        <f t="shared" si="116"/>
        <v>0</v>
      </c>
      <c r="BC124" s="848">
        <f t="shared" si="116"/>
        <v>0</v>
      </c>
    </row>
    <row r="125" spans="1:55" x14ac:dyDescent="0.25">
      <c r="A125" s="863">
        <f t="shared" si="127"/>
        <v>24</v>
      </c>
      <c r="B125" s="847">
        <f t="shared" si="143"/>
        <v>0</v>
      </c>
      <c r="C125" s="847">
        <f t="shared" si="128"/>
        <v>0</v>
      </c>
      <c r="D125" s="847">
        <f t="shared" si="129"/>
        <v>0</v>
      </c>
      <c r="E125" s="847">
        <f t="shared" si="117"/>
        <v>0</v>
      </c>
      <c r="F125" s="847">
        <f t="shared" si="155"/>
        <v>0</v>
      </c>
      <c r="G125" s="847">
        <f t="shared" si="130"/>
        <v>0</v>
      </c>
      <c r="H125" s="847">
        <f t="shared" si="144"/>
        <v>0</v>
      </c>
      <c r="I125" s="839">
        <f t="shared" si="118"/>
        <v>0</v>
      </c>
      <c r="J125" s="839">
        <f t="shared" si="119"/>
        <v>0</v>
      </c>
      <c r="K125" s="839">
        <f t="shared" si="104"/>
        <v>0</v>
      </c>
      <c r="L125" s="847">
        <f t="shared" si="145"/>
        <v>0</v>
      </c>
      <c r="M125" s="848">
        <f t="shared" si="131"/>
        <v>0</v>
      </c>
      <c r="N125" s="841"/>
      <c r="O125" s="863">
        <f t="shared" si="132"/>
        <v>24</v>
      </c>
      <c r="P125" s="847">
        <f t="shared" si="146"/>
        <v>0</v>
      </c>
      <c r="Q125" s="847">
        <f t="shared" si="133"/>
        <v>0</v>
      </c>
      <c r="R125" s="847">
        <f t="shared" si="134"/>
        <v>0</v>
      </c>
      <c r="S125" s="847">
        <f t="shared" si="120"/>
        <v>0</v>
      </c>
      <c r="T125" s="847">
        <f t="shared" si="156"/>
        <v>0</v>
      </c>
      <c r="U125" s="847">
        <f t="shared" si="135"/>
        <v>0</v>
      </c>
      <c r="V125" s="847">
        <f t="shared" si="147"/>
        <v>0</v>
      </c>
      <c r="W125" s="839">
        <f t="shared" si="121"/>
        <v>0</v>
      </c>
      <c r="X125" s="839">
        <f t="shared" si="122"/>
        <v>0</v>
      </c>
      <c r="Y125" s="839">
        <f t="shared" si="105"/>
        <v>0</v>
      </c>
      <c r="Z125" s="847">
        <f t="shared" si="148"/>
        <v>0</v>
      </c>
      <c r="AA125" s="848">
        <f t="shared" si="136"/>
        <v>0</v>
      </c>
      <c r="AB125" s="841"/>
      <c r="AC125" s="863">
        <f t="shared" si="137"/>
        <v>24</v>
      </c>
      <c r="AD125" s="847">
        <f t="shared" si="149"/>
        <v>0</v>
      </c>
      <c r="AE125" s="847">
        <f t="shared" si="138"/>
        <v>0</v>
      </c>
      <c r="AF125" s="847">
        <f t="shared" si="139"/>
        <v>0</v>
      </c>
      <c r="AG125" s="847">
        <f t="shared" si="123"/>
        <v>0</v>
      </c>
      <c r="AH125" s="847">
        <f t="shared" si="157"/>
        <v>0</v>
      </c>
      <c r="AI125" s="847">
        <f t="shared" si="140"/>
        <v>0</v>
      </c>
      <c r="AJ125" s="847">
        <f t="shared" si="150"/>
        <v>0</v>
      </c>
      <c r="AK125" s="839">
        <f t="shared" si="124"/>
        <v>0</v>
      </c>
      <c r="AL125" s="839">
        <f t="shared" si="125"/>
        <v>0</v>
      </c>
      <c r="AM125" s="839">
        <f t="shared" si="106"/>
        <v>0</v>
      </c>
      <c r="AN125" s="847">
        <f t="shared" si="151"/>
        <v>0</v>
      </c>
      <c r="AO125" s="848">
        <f t="shared" si="141"/>
        <v>0</v>
      </c>
      <c r="AQ125" s="846">
        <f t="shared" si="142"/>
        <v>24</v>
      </c>
      <c r="AR125" s="847">
        <f t="shared" si="126"/>
        <v>0</v>
      </c>
      <c r="AS125" s="847">
        <f t="shared" si="107"/>
        <v>0</v>
      </c>
      <c r="AT125" s="847">
        <f t="shared" si="108"/>
        <v>0</v>
      </c>
      <c r="AU125" s="847">
        <f t="shared" si="109"/>
        <v>0</v>
      </c>
      <c r="AV125" s="847">
        <f t="shared" si="110"/>
        <v>0</v>
      </c>
      <c r="AW125" s="847">
        <f t="shared" si="111"/>
        <v>0</v>
      </c>
      <c r="AX125" s="847">
        <f t="shared" si="112"/>
        <v>0</v>
      </c>
      <c r="AY125" s="839">
        <f t="shared" si="113"/>
        <v>0</v>
      </c>
      <c r="AZ125" s="839">
        <f t="shared" si="114"/>
        <v>0</v>
      </c>
      <c r="BA125" s="839">
        <f t="shared" si="115"/>
        <v>0</v>
      </c>
      <c r="BB125" s="847">
        <f t="shared" si="116"/>
        <v>0</v>
      </c>
      <c r="BC125" s="848">
        <f t="shared" si="116"/>
        <v>0</v>
      </c>
    </row>
    <row r="126" spans="1:55" x14ac:dyDescent="0.25">
      <c r="A126" s="863">
        <f t="shared" si="127"/>
        <v>25</v>
      </c>
      <c r="B126" s="847">
        <f t="shared" si="143"/>
        <v>0</v>
      </c>
      <c r="C126" s="847">
        <f t="shared" si="128"/>
        <v>0</v>
      </c>
      <c r="D126" s="847">
        <f t="shared" si="129"/>
        <v>0</v>
      </c>
      <c r="E126" s="847">
        <f t="shared" si="117"/>
        <v>0</v>
      </c>
      <c r="F126" s="847">
        <f t="shared" si="155"/>
        <v>0</v>
      </c>
      <c r="G126" s="847">
        <f t="shared" si="130"/>
        <v>0</v>
      </c>
      <c r="H126" s="847">
        <f t="shared" si="144"/>
        <v>0</v>
      </c>
      <c r="I126" s="839">
        <f t="shared" si="118"/>
        <v>0</v>
      </c>
      <c r="J126" s="839">
        <f t="shared" si="119"/>
        <v>0</v>
      </c>
      <c r="K126" s="839">
        <f t="shared" si="104"/>
        <v>0</v>
      </c>
      <c r="L126" s="847">
        <f t="shared" si="145"/>
        <v>0</v>
      </c>
      <c r="M126" s="848">
        <f t="shared" si="131"/>
        <v>0</v>
      </c>
      <c r="N126" s="841"/>
      <c r="O126" s="863">
        <f t="shared" si="132"/>
        <v>25</v>
      </c>
      <c r="P126" s="847">
        <f t="shared" si="146"/>
        <v>0</v>
      </c>
      <c r="Q126" s="847">
        <f t="shared" si="133"/>
        <v>0</v>
      </c>
      <c r="R126" s="847">
        <f t="shared" si="134"/>
        <v>0</v>
      </c>
      <c r="S126" s="847">
        <f t="shared" si="120"/>
        <v>0</v>
      </c>
      <c r="T126" s="847">
        <f t="shared" si="156"/>
        <v>0</v>
      </c>
      <c r="U126" s="847">
        <f t="shared" si="135"/>
        <v>0</v>
      </c>
      <c r="V126" s="847">
        <f t="shared" si="147"/>
        <v>0</v>
      </c>
      <c r="W126" s="839">
        <f t="shared" si="121"/>
        <v>0</v>
      </c>
      <c r="X126" s="839">
        <f t="shared" si="122"/>
        <v>0</v>
      </c>
      <c r="Y126" s="839">
        <f t="shared" si="105"/>
        <v>0</v>
      </c>
      <c r="Z126" s="847">
        <f t="shared" si="148"/>
        <v>0</v>
      </c>
      <c r="AA126" s="848">
        <f t="shared" si="136"/>
        <v>0</v>
      </c>
      <c r="AB126" s="841"/>
      <c r="AC126" s="863">
        <f t="shared" si="137"/>
        <v>25</v>
      </c>
      <c r="AD126" s="847">
        <f t="shared" si="149"/>
        <v>0</v>
      </c>
      <c r="AE126" s="847">
        <f t="shared" si="138"/>
        <v>0</v>
      </c>
      <c r="AF126" s="847">
        <f t="shared" si="139"/>
        <v>0</v>
      </c>
      <c r="AG126" s="847">
        <f t="shared" si="123"/>
        <v>0</v>
      </c>
      <c r="AH126" s="847">
        <f t="shared" si="157"/>
        <v>0</v>
      </c>
      <c r="AI126" s="847">
        <f t="shared" si="140"/>
        <v>0</v>
      </c>
      <c r="AJ126" s="847">
        <f t="shared" si="150"/>
        <v>0</v>
      </c>
      <c r="AK126" s="839">
        <f t="shared" si="124"/>
        <v>0</v>
      </c>
      <c r="AL126" s="839">
        <f t="shared" si="125"/>
        <v>0</v>
      </c>
      <c r="AM126" s="839">
        <f t="shared" si="106"/>
        <v>0</v>
      </c>
      <c r="AN126" s="847">
        <f t="shared" si="151"/>
        <v>0</v>
      </c>
      <c r="AO126" s="848">
        <f t="shared" si="141"/>
        <v>0</v>
      </c>
      <c r="AQ126" s="846">
        <f t="shared" si="142"/>
        <v>25</v>
      </c>
      <c r="AR126" s="847">
        <f t="shared" si="126"/>
        <v>0</v>
      </c>
      <c r="AS126" s="847">
        <f t="shared" si="107"/>
        <v>0</v>
      </c>
      <c r="AT126" s="847">
        <f t="shared" si="108"/>
        <v>0</v>
      </c>
      <c r="AU126" s="847">
        <f t="shared" si="109"/>
        <v>0</v>
      </c>
      <c r="AV126" s="847">
        <f t="shared" si="110"/>
        <v>0</v>
      </c>
      <c r="AW126" s="847">
        <f t="shared" si="111"/>
        <v>0</v>
      </c>
      <c r="AX126" s="847">
        <f t="shared" si="112"/>
        <v>0</v>
      </c>
      <c r="AY126" s="839">
        <f t="shared" si="113"/>
        <v>0</v>
      </c>
      <c r="AZ126" s="839">
        <f t="shared" si="114"/>
        <v>0</v>
      </c>
      <c r="BA126" s="839">
        <f t="shared" si="115"/>
        <v>0</v>
      </c>
      <c r="BB126" s="847">
        <f t="shared" si="116"/>
        <v>0</v>
      </c>
      <c r="BC126" s="848">
        <f t="shared" si="116"/>
        <v>0</v>
      </c>
    </row>
    <row r="127" spans="1:55" x14ac:dyDescent="0.25">
      <c r="A127" s="863">
        <f t="shared" si="127"/>
        <v>26</v>
      </c>
      <c r="B127" s="847">
        <f t="shared" si="143"/>
        <v>0</v>
      </c>
      <c r="C127" s="847">
        <f t="shared" si="128"/>
        <v>0</v>
      </c>
      <c r="D127" s="847">
        <f t="shared" si="129"/>
        <v>0</v>
      </c>
      <c r="E127" s="847">
        <f t="shared" si="117"/>
        <v>0</v>
      </c>
      <c r="F127" s="847">
        <f t="shared" si="155"/>
        <v>0</v>
      </c>
      <c r="G127" s="847">
        <f t="shared" si="130"/>
        <v>0</v>
      </c>
      <c r="H127" s="847">
        <f t="shared" si="144"/>
        <v>0</v>
      </c>
      <c r="I127" s="839">
        <f t="shared" si="118"/>
        <v>0</v>
      </c>
      <c r="J127" s="839">
        <f t="shared" si="119"/>
        <v>0</v>
      </c>
      <c r="K127" s="839">
        <f t="shared" si="104"/>
        <v>0</v>
      </c>
      <c r="L127" s="847">
        <f t="shared" si="145"/>
        <v>0</v>
      </c>
      <c r="M127" s="848">
        <f t="shared" si="131"/>
        <v>0</v>
      </c>
      <c r="N127" s="841"/>
      <c r="O127" s="863">
        <f t="shared" si="132"/>
        <v>26</v>
      </c>
      <c r="P127" s="847">
        <f t="shared" si="146"/>
        <v>0</v>
      </c>
      <c r="Q127" s="847">
        <f t="shared" si="133"/>
        <v>0</v>
      </c>
      <c r="R127" s="847">
        <f t="shared" si="134"/>
        <v>0</v>
      </c>
      <c r="S127" s="847">
        <f t="shared" si="120"/>
        <v>0</v>
      </c>
      <c r="T127" s="847">
        <f t="shared" si="156"/>
        <v>0</v>
      </c>
      <c r="U127" s="847">
        <f t="shared" si="135"/>
        <v>0</v>
      </c>
      <c r="V127" s="847">
        <f t="shared" si="147"/>
        <v>0</v>
      </c>
      <c r="W127" s="839">
        <f t="shared" si="121"/>
        <v>0</v>
      </c>
      <c r="X127" s="839">
        <f t="shared" si="122"/>
        <v>0</v>
      </c>
      <c r="Y127" s="839">
        <f t="shared" si="105"/>
        <v>0</v>
      </c>
      <c r="Z127" s="847">
        <f t="shared" si="148"/>
        <v>0</v>
      </c>
      <c r="AA127" s="848">
        <f t="shared" si="136"/>
        <v>0</v>
      </c>
      <c r="AB127" s="841"/>
      <c r="AC127" s="863">
        <f t="shared" si="137"/>
        <v>26</v>
      </c>
      <c r="AD127" s="847">
        <f t="shared" si="149"/>
        <v>0</v>
      </c>
      <c r="AE127" s="847">
        <f t="shared" si="138"/>
        <v>0</v>
      </c>
      <c r="AF127" s="847">
        <f t="shared" si="139"/>
        <v>0</v>
      </c>
      <c r="AG127" s="847">
        <f t="shared" si="123"/>
        <v>0</v>
      </c>
      <c r="AH127" s="847">
        <f t="shared" si="157"/>
        <v>0</v>
      </c>
      <c r="AI127" s="847">
        <f t="shared" si="140"/>
        <v>0</v>
      </c>
      <c r="AJ127" s="847">
        <f t="shared" si="150"/>
        <v>0</v>
      </c>
      <c r="AK127" s="839">
        <f t="shared" si="124"/>
        <v>0</v>
      </c>
      <c r="AL127" s="839">
        <f t="shared" si="125"/>
        <v>0</v>
      </c>
      <c r="AM127" s="839">
        <f t="shared" si="106"/>
        <v>0</v>
      </c>
      <c r="AN127" s="847">
        <f t="shared" si="151"/>
        <v>0</v>
      </c>
      <c r="AO127" s="848">
        <f t="shared" si="141"/>
        <v>0</v>
      </c>
      <c r="AQ127" s="846">
        <f t="shared" si="142"/>
        <v>26</v>
      </c>
      <c r="AR127" s="847">
        <f t="shared" si="126"/>
        <v>0</v>
      </c>
      <c r="AS127" s="847">
        <f t="shared" si="107"/>
        <v>0</v>
      </c>
      <c r="AT127" s="847">
        <f t="shared" si="108"/>
        <v>0</v>
      </c>
      <c r="AU127" s="847">
        <f t="shared" si="109"/>
        <v>0</v>
      </c>
      <c r="AV127" s="847">
        <f t="shared" si="110"/>
        <v>0</v>
      </c>
      <c r="AW127" s="847">
        <f t="shared" si="111"/>
        <v>0</v>
      </c>
      <c r="AX127" s="847">
        <f t="shared" si="112"/>
        <v>0</v>
      </c>
      <c r="AY127" s="839">
        <f t="shared" si="113"/>
        <v>0</v>
      </c>
      <c r="AZ127" s="839">
        <f t="shared" si="114"/>
        <v>0</v>
      </c>
      <c r="BA127" s="839">
        <f t="shared" si="115"/>
        <v>0</v>
      </c>
      <c r="BB127" s="847">
        <f t="shared" si="116"/>
        <v>0</v>
      </c>
      <c r="BC127" s="848">
        <f t="shared" si="116"/>
        <v>0</v>
      </c>
    </row>
    <row r="128" spans="1:55" x14ac:dyDescent="0.25">
      <c r="A128" s="863">
        <f t="shared" si="127"/>
        <v>27</v>
      </c>
      <c r="B128" s="847">
        <f t="shared" si="143"/>
        <v>0</v>
      </c>
      <c r="C128" s="847">
        <f t="shared" si="128"/>
        <v>0</v>
      </c>
      <c r="D128" s="847">
        <f t="shared" si="129"/>
        <v>0</v>
      </c>
      <c r="E128" s="847">
        <f t="shared" si="117"/>
        <v>0</v>
      </c>
      <c r="F128" s="847">
        <f t="shared" si="155"/>
        <v>0</v>
      </c>
      <c r="G128" s="847">
        <f t="shared" si="130"/>
        <v>0</v>
      </c>
      <c r="H128" s="847">
        <f t="shared" si="144"/>
        <v>0</v>
      </c>
      <c r="I128" s="839">
        <f t="shared" si="118"/>
        <v>0</v>
      </c>
      <c r="J128" s="839">
        <f t="shared" si="119"/>
        <v>0</v>
      </c>
      <c r="K128" s="839">
        <f t="shared" si="104"/>
        <v>0</v>
      </c>
      <c r="L128" s="847">
        <f t="shared" si="145"/>
        <v>0</v>
      </c>
      <c r="M128" s="848">
        <f t="shared" si="131"/>
        <v>0</v>
      </c>
      <c r="N128" s="841"/>
      <c r="O128" s="863">
        <f t="shared" si="132"/>
        <v>27</v>
      </c>
      <c r="P128" s="847">
        <f t="shared" si="146"/>
        <v>0</v>
      </c>
      <c r="Q128" s="847">
        <f t="shared" si="133"/>
        <v>0</v>
      </c>
      <c r="R128" s="847">
        <f t="shared" si="134"/>
        <v>0</v>
      </c>
      <c r="S128" s="847">
        <f t="shared" si="120"/>
        <v>0</v>
      </c>
      <c r="T128" s="847">
        <f t="shared" si="156"/>
        <v>0</v>
      </c>
      <c r="U128" s="847">
        <f t="shared" si="135"/>
        <v>0</v>
      </c>
      <c r="V128" s="847">
        <f t="shared" si="147"/>
        <v>0</v>
      </c>
      <c r="W128" s="839">
        <f t="shared" si="121"/>
        <v>0</v>
      </c>
      <c r="X128" s="839">
        <f t="shared" si="122"/>
        <v>0</v>
      </c>
      <c r="Y128" s="839">
        <f t="shared" si="105"/>
        <v>0</v>
      </c>
      <c r="Z128" s="847">
        <f t="shared" si="148"/>
        <v>0</v>
      </c>
      <c r="AA128" s="848">
        <f t="shared" si="136"/>
        <v>0</v>
      </c>
      <c r="AB128" s="841"/>
      <c r="AC128" s="863">
        <f t="shared" si="137"/>
        <v>27</v>
      </c>
      <c r="AD128" s="847">
        <f t="shared" si="149"/>
        <v>0</v>
      </c>
      <c r="AE128" s="847">
        <f t="shared" si="138"/>
        <v>0</v>
      </c>
      <c r="AF128" s="847">
        <f t="shared" si="139"/>
        <v>0</v>
      </c>
      <c r="AG128" s="847">
        <f t="shared" si="123"/>
        <v>0</v>
      </c>
      <c r="AH128" s="847">
        <f t="shared" si="157"/>
        <v>0</v>
      </c>
      <c r="AI128" s="847">
        <f t="shared" si="140"/>
        <v>0</v>
      </c>
      <c r="AJ128" s="847">
        <f t="shared" si="150"/>
        <v>0</v>
      </c>
      <c r="AK128" s="839">
        <f t="shared" si="124"/>
        <v>0</v>
      </c>
      <c r="AL128" s="839">
        <f t="shared" si="125"/>
        <v>0</v>
      </c>
      <c r="AM128" s="839">
        <f t="shared" si="106"/>
        <v>0</v>
      </c>
      <c r="AN128" s="847">
        <f t="shared" si="151"/>
        <v>0</v>
      </c>
      <c r="AO128" s="848">
        <f t="shared" si="141"/>
        <v>0</v>
      </c>
      <c r="AQ128" s="846">
        <f t="shared" si="142"/>
        <v>27</v>
      </c>
      <c r="AR128" s="847">
        <f t="shared" si="126"/>
        <v>0</v>
      </c>
      <c r="AS128" s="847">
        <f t="shared" si="107"/>
        <v>0</v>
      </c>
      <c r="AT128" s="847">
        <f t="shared" si="108"/>
        <v>0</v>
      </c>
      <c r="AU128" s="847">
        <f t="shared" si="109"/>
        <v>0</v>
      </c>
      <c r="AV128" s="847">
        <f t="shared" si="110"/>
        <v>0</v>
      </c>
      <c r="AW128" s="847">
        <f t="shared" si="111"/>
        <v>0</v>
      </c>
      <c r="AX128" s="847">
        <f t="shared" si="112"/>
        <v>0</v>
      </c>
      <c r="AY128" s="839">
        <f t="shared" si="113"/>
        <v>0</v>
      </c>
      <c r="AZ128" s="839">
        <f t="shared" si="114"/>
        <v>0</v>
      </c>
      <c r="BA128" s="839">
        <f t="shared" si="115"/>
        <v>0</v>
      </c>
      <c r="BB128" s="847">
        <f t="shared" si="116"/>
        <v>0</v>
      </c>
      <c r="BC128" s="848">
        <f t="shared" si="116"/>
        <v>0</v>
      </c>
    </row>
    <row r="129" spans="1:55" x14ac:dyDescent="0.25">
      <c r="A129" s="863">
        <f t="shared" si="127"/>
        <v>28</v>
      </c>
      <c r="B129" s="847">
        <f t="shared" si="143"/>
        <v>0</v>
      </c>
      <c r="C129" s="847">
        <f t="shared" si="128"/>
        <v>0</v>
      </c>
      <c r="D129" s="847">
        <f t="shared" si="129"/>
        <v>0</v>
      </c>
      <c r="E129" s="847">
        <f t="shared" si="117"/>
        <v>0</v>
      </c>
      <c r="F129" s="847">
        <f t="shared" si="155"/>
        <v>0</v>
      </c>
      <c r="G129" s="847">
        <f t="shared" si="130"/>
        <v>0</v>
      </c>
      <c r="H129" s="847">
        <f t="shared" si="144"/>
        <v>0</v>
      </c>
      <c r="I129" s="839">
        <f t="shared" si="118"/>
        <v>0</v>
      </c>
      <c r="J129" s="839">
        <f t="shared" si="119"/>
        <v>0</v>
      </c>
      <c r="K129" s="839">
        <f t="shared" si="104"/>
        <v>0</v>
      </c>
      <c r="L129" s="847">
        <f t="shared" si="145"/>
        <v>0</v>
      </c>
      <c r="M129" s="848">
        <f t="shared" si="131"/>
        <v>0</v>
      </c>
      <c r="N129" s="841"/>
      <c r="O129" s="863">
        <f t="shared" si="132"/>
        <v>28</v>
      </c>
      <c r="P129" s="847">
        <f t="shared" si="146"/>
        <v>0</v>
      </c>
      <c r="Q129" s="847">
        <f t="shared" si="133"/>
        <v>0</v>
      </c>
      <c r="R129" s="847">
        <f t="shared" si="134"/>
        <v>0</v>
      </c>
      <c r="S129" s="847">
        <f t="shared" si="120"/>
        <v>0</v>
      </c>
      <c r="T129" s="847">
        <f t="shared" si="156"/>
        <v>0</v>
      </c>
      <c r="U129" s="847">
        <f t="shared" si="135"/>
        <v>0</v>
      </c>
      <c r="V129" s="847">
        <f t="shared" si="147"/>
        <v>0</v>
      </c>
      <c r="W129" s="839">
        <f t="shared" si="121"/>
        <v>0</v>
      </c>
      <c r="X129" s="839">
        <f t="shared" si="122"/>
        <v>0</v>
      </c>
      <c r="Y129" s="839">
        <f t="shared" si="105"/>
        <v>0</v>
      </c>
      <c r="Z129" s="847">
        <f t="shared" si="148"/>
        <v>0</v>
      </c>
      <c r="AA129" s="848">
        <f t="shared" si="136"/>
        <v>0</v>
      </c>
      <c r="AB129" s="841"/>
      <c r="AC129" s="863">
        <f t="shared" si="137"/>
        <v>28</v>
      </c>
      <c r="AD129" s="847">
        <f t="shared" si="149"/>
        <v>0</v>
      </c>
      <c r="AE129" s="847">
        <f t="shared" si="138"/>
        <v>0</v>
      </c>
      <c r="AF129" s="847">
        <f t="shared" si="139"/>
        <v>0</v>
      </c>
      <c r="AG129" s="847">
        <f t="shared" si="123"/>
        <v>0</v>
      </c>
      <c r="AH129" s="847">
        <f t="shared" si="157"/>
        <v>0</v>
      </c>
      <c r="AI129" s="847">
        <f t="shared" si="140"/>
        <v>0</v>
      </c>
      <c r="AJ129" s="847">
        <f t="shared" si="150"/>
        <v>0</v>
      </c>
      <c r="AK129" s="839">
        <f t="shared" si="124"/>
        <v>0</v>
      </c>
      <c r="AL129" s="839">
        <f t="shared" si="125"/>
        <v>0</v>
      </c>
      <c r="AM129" s="839">
        <f t="shared" si="106"/>
        <v>0</v>
      </c>
      <c r="AN129" s="847">
        <f t="shared" si="151"/>
        <v>0</v>
      </c>
      <c r="AO129" s="848">
        <f t="shared" si="141"/>
        <v>0</v>
      </c>
      <c r="AQ129" s="846">
        <f t="shared" si="142"/>
        <v>28</v>
      </c>
      <c r="AR129" s="847">
        <f t="shared" si="126"/>
        <v>0</v>
      </c>
      <c r="AS129" s="847">
        <f t="shared" si="107"/>
        <v>0</v>
      </c>
      <c r="AT129" s="847">
        <f t="shared" si="108"/>
        <v>0</v>
      </c>
      <c r="AU129" s="847">
        <f t="shared" si="109"/>
        <v>0</v>
      </c>
      <c r="AV129" s="847">
        <f t="shared" si="110"/>
        <v>0</v>
      </c>
      <c r="AW129" s="847">
        <f t="shared" si="111"/>
        <v>0</v>
      </c>
      <c r="AX129" s="847">
        <f t="shared" si="112"/>
        <v>0</v>
      </c>
      <c r="AY129" s="839">
        <f t="shared" si="113"/>
        <v>0</v>
      </c>
      <c r="AZ129" s="839">
        <f t="shared" si="114"/>
        <v>0</v>
      </c>
      <c r="BA129" s="839">
        <f t="shared" si="115"/>
        <v>0</v>
      </c>
      <c r="BB129" s="847">
        <f t="shared" si="116"/>
        <v>0</v>
      </c>
      <c r="BC129" s="848">
        <f t="shared" si="116"/>
        <v>0</v>
      </c>
    </row>
    <row r="130" spans="1:55" x14ac:dyDescent="0.25">
      <c r="A130" s="863">
        <f t="shared" si="127"/>
        <v>29</v>
      </c>
      <c r="B130" s="847">
        <f t="shared" si="143"/>
        <v>0</v>
      </c>
      <c r="C130" s="847">
        <f t="shared" si="128"/>
        <v>0</v>
      </c>
      <c r="D130" s="847">
        <f t="shared" si="129"/>
        <v>0</v>
      </c>
      <c r="E130" s="847">
        <f t="shared" si="117"/>
        <v>0</v>
      </c>
      <c r="F130" s="847">
        <f t="shared" si="155"/>
        <v>0</v>
      </c>
      <c r="G130" s="847">
        <f t="shared" si="130"/>
        <v>0</v>
      </c>
      <c r="H130" s="847">
        <f t="shared" si="144"/>
        <v>0</v>
      </c>
      <c r="I130" s="839">
        <f t="shared" si="118"/>
        <v>0</v>
      </c>
      <c r="J130" s="839">
        <f t="shared" si="119"/>
        <v>0</v>
      </c>
      <c r="K130" s="839">
        <f t="shared" si="104"/>
        <v>0</v>
      </c>
      <c r="L130" s="847">
        <f t="shared" si="145"/>
        <v>0</v>
      </c>
      <c r="M130" s="848">
        <f t="shared" si="131"/>
        <v>0</v>
      </c>
      <c r="N130" s="841"/>
      <c r="O130" s="863">
        <f t="shared" si="132"/>
        <v>29</v>
      </c>
      <c r="P130" s="847">
        <f t="shared" si="146"/>
        <v>0</v>
      </c>
      <c r="Q130" s="847">
        <f t="shared" si="133"/>
        <v>0</v>
      </c>
      <c r="R130" s="847">
        <f t="shared" si="134"/>
        <v>0</v>
      </c>
      <c r="S130" s="847">
        <f t="shared" si="120"/>
        <v>0</v>
      </c>
      <c r="T130" s="847">
        <f t="shared" si="156"/>
        <v>0</v>
      </c>
      <c r="U130" s="847">
        <f t="shared" si="135"/>
        <v>0</v>
      </c>
      <c r="V130" s="847">
        <f t="shared" si="147"/>
        <v>0</v>
      </c>
      <c r="W130" s="839">
        <f t="shared" si="121"/>
        <v>0</v>
      </c>
      <c r="X130" s="839">
        <f t="shared" si="122"/>
        <v>0</v>
      </c>
      <c r="Y130" s="839">
        <f t="shared" si="105"/>
        <v>0</v>
      </c>
      <c r="Z130" s="847">
        <f t="shared" si="148"/>
        <v>0</v>
      </c>
      <c r="AA130" s="848">
        <f t="shared" si="136"/>
        <v>0</v>
      </c>
      <c r="AB130" s="841"/>
      <c r="AC130" s="863">
        <f t="shared" si="137"/>
        <v>29</v>
      </c>
      <c r="AD130" s="847">
        <f t="shared" si="149"/>
        <v>0</v>
      </c>
      <c r="AE130" s="847">
        <f t="shared" si="138"/>
        <v>0</v>
      </c>
      <c r="AF130" s="847">
        <f t="shared" si="139"/>
        <v>0</v>
      </c>
      <c r="AG130" s="847">
        <f t="shared" si="123"/>
        <v>0</v>
      </c>
      <c r="AH130" s="847">
        <f t="shared" si="157"/>
        <v>0</v>
      </c>
      <c r="AI130" s="847">
        <f t="shared" si="140"/>
        <v>0</v>
      </c>
      <c r="AJ130" s="847">
        <f t="shared" si="150"/>
        <v>0</v>
      </c>
      <c r="AK130" s="839">
        <f t="shared" si="124"/>
        <v>0</v>
      </c>
      <c r="AL130" s="839">
        <f t="shared" si="125"/>
        <v>0</v>
      </c>
      <c r="AM130" s="839">
        <f t="shared" si="106"/>
        <v>0</v>
      </c>
      <c r="AN130" s="847">
        <f t="shared" si="151"/>
        <v>0</v>
      </c>
      <c r="AO130" s="848">
        <f t="shared" si="141"/>
        <v>0</v>
      </c>
      <c r="AQ130" s="846">
        <f t="shared" si="142"/>
        <v>29</v>
      </c>
      <c r="AR130" s="847">
        <f t="shared" si="126"/>
        <v>0</v>
      </c>
      <c r="AS130" s="847">
        <f t="shared" si="107"/>
        <v>0</v>
      </c>
      <c r="AT130" s="847">
        <f t="shared" si="108"/>
        <v>0</v>
      </c>
      <c r="AU130" s="847">
        <f t="shared" si="109"/>
        <v>0</v>
      </c>
      <c r="AV130" s="847">
        <f t="shared" si="110"/>
        <v>0</v>
      </c>
      <c r="AW130" s="847">
        <f t="shared" si="111"/>
        <v>0</v>
      </c>
      <c r="AX130" s="847">
        <f t="shared" si="112"/>
        <v>0</v>
      </c>
      <c r="AY130" s="839">
        <f t="shared" si="113"/>
        <v>0</v>
      </c>
      <c r="AZ130" s="839">
        <f t="shared" si="114"/>
        <v>0</v>
      </c>
      <c r="BA130" s="839">
        <f t="shared" si="115"/>
        <v>0</v>
      </c>
      <c r="BB130" s="847">
        <f t="shared" si="116"/>
        <v>0</v>
      </c>
      <c r="BC130" s="848">
        <f t="shared" si="116"/>
        <v>0</v>
      </c>
    </row>
    <row r="131" spans="1:55" x14ac:dyDescent="0.25">
      <c r="A131" s="863">
        <f t="shared" si="127"/>
        <v>30</v>
      </c>
      <c r="B131" s="847">
        <f t="shared" si="143"/>
        <v>0</v>
      </c>
      <c r="C131" s="847">
        <f t="shared" si="128"/>
        <v>0</v>
      </c>
      <c r="D131" s="847">
        <f t="shared" si="129"/>
        <v>0</v>
      </c>
      <c r="E131" s="847">
        <f t="shared" si="117"/>
        <v>0</v>
      </c>
      <c r="F131" s="847">
        <f t="shared" si="155"/>
        <v>0</v>
      </c>
      <c r="G131" s="847">
        <f t="shared" si="130"/>
        <v>0</v>
      </c>
      <c r="H131" s="847">
        <f t="shared" si="144"/>
        <v>0</v>
      </c>
      <c r="I131" s="839">
        <f t="shared" si="118"/>
        <v>0</v>
      </c>
      <c r="J131" s="839">
        <f t="shared" si="119"/>
        <v>0</v>
      </c>
      <c r="K131" s="839">
        <f t="shared" si="104"/>
        <v>0</v>
      </c>
      <c r="L131" s="847">
        <f t="shared" si="145"/>
        <v>0</v>
      </c>
      <c r="M131" s="848">
        <f t="shared" si="131"/>
        <v>0</v>
      </c>
      <c r="N131" s="841"/>
      <c r="O131" s="863">
        <f t="shared" si="132"/>
        <v>30</v>
      </c>
      <c r="P131" s="847">
        <f t="shared" si="146"/>
        <v>0</v>
      </c>
      <c r="Q131" s="847">
        <f t="shared" si="133"/>
        <v>0</v>
      </c>
      <c r="R131" s="847">
        <f t="shared" si="134"/>
        <v>0</v>
      </c>
      <c r="S131" s="847">
        <f t="shared" si="120"/>
        <v>0</v>
      </c>
      <c r="T131" s="847">
        <f t="shared" si="156"/>
        <v>0</v>
      </c>
      <c r="U131" s="847">
        <f t="shared" si="135"/>
        <v>0</v>
      </c>
      <c r="V131" s="847">
        <f t="shared" si="147"/>
        <v>0</v>
      </c>
      <c r="W131" s="839">
        <f t="shared" si="121"/>
        <v>0</v>
      </c>
      <c r="X131" s="839">
        <f t="shared" si="122"/>
        <v>0</v>
      </c>
      <c r="Y131" s="839">
        <f t="shared" si="105"/>
        <v>0</v>
      </c>
      <c r="Z131" s="847">
        <f t="shared" si="148"/>
        <v>0</v>
      </c>
      <c r="AA131" s="848">
        <f t="shared" si="136"/>
        <v>0</v>
      </c>
      <c r="AB131" s="841"/>
      <c r="AC131" s="863">
        <f t="shared" si="137"/>
        <v>30</v>
      </c>
      <c r="AD131" s="847">
        <f t="shared" si="149"/>
        <v>0</v>
      </c>
      <c r="AE131" s="847">
        <f t="shared" si="138"/>
        <v>0</v>
      </c>
      <c r="AF131" s="847">
        <f t="shared" si="139"/>
        <v>0</v>
      </c>
      <c r="AG131" s="847">
        <f t="shared" si="123"/>
        <v>0</v>
      </c>
      <c r="AH131" s="847">
        <f t="shared" si="157"/>
        <v>0</v>
      </c>
      <c r="AI131" s="847">
        <f t="shared" si="140"/>
        <v>0</v>
      </c>
      <c r="AJ131" s="847">
        <f t="shared" si="150"/>
        <v>0</v>
      </c>
      <c r="AK131" s="839">
        <f t="shared" si="124"/>
        <v>0</v>
      </c>
      <c r="AL131" s="839">
        <f t="shared" si="125"/>
        <v>0</v>
      </c>
      <c r="AM131" s="839">
        <f t="shared" si="106"/>
        <v>0</v>
      </c>
      <c r="AN131" s="847">
        <f t="shared" si="151"/>
        <v>0</v>
      </c>
      <c r="AO131" s="848">
        <f t="shared" si="141"/>
        <v>0</v>
      </c>
      <c r="AQ131" s="846">
        <f t="shared" si="142"/>
        <v>30</v>
      </c>
      <c r="AR131" s="847">
        <f t="shared" si="126"/>
        <v>0</v>
      </c>
      <c r="AS131" s="847">
        <f t="shared" si="107"/>
        <v>0</v>
      </c>
      <c r="AT131" s="847">
        <f t="shared" si="108"/>
        <v>0</v>
      </c>
      <c r="AU131" s="847">
        <f t="shared" si="109"/>
        <v>0</v>
      </c>
      <c r="AV131" s="847">
        <f t="shared" si="110"/>
        <v>0</v>
      </c>
      <c r="AW131" s="847">
        <f t="shared" si="111"/>
        <v>0</v>
      </c>
      <c r="AX131" s="847">
        <f t="shared" si="112"/>
        <v>0</v>
      </c>
      <c r="AY131" s="839">
        <f t="shared" si="113"/>
        <v>0</v>
      </c>
      <c r="AZ131" s="839">
        <f t="shared" si="114"/>
        <v>0</v>
      </c>
      <c r="BA131" s="839">
        <f t="shared" si="115"/>
        <v>0</v>
      </c>
      <c r="BB131" s="847">
        <f t="shared" si="116"/>
        <v>0</v>
      </c>
      <c r="BC131" s="848">
        <f t="shared" si="116"/>
        <v>0</v>
      </c>
    </row>
    <row r="132" spans="1:55" x14ac:dyDescent="0.25">
      <c r="A132" s="863">
        <f t="shared" si="127"/>
        <v>31</v>
      </c>
      <c r="B132" s="847">
        <f t="shared" si="143"/>
        <v>0</v>
      </c>
      <c r="C132" s="847">
        <f t="shared" si="128"/>
        <v>0</v>
      </c>
      <c r="D132" s="847">
        <f t="shared" si="129"/>
        <v>0</v>
      </c>
      <c r="E132" s="847">
        <f t="shared" si="117"/>
        <v>0</v>
      </c>
      <c r="F132" s="847">
        <f t="shared" si="155"/>
        <v>0</v>
      </c>
      <c r="G132" s="847">
        <f t="shared" si="130"/>
        <v>0</v>
      </c>
      <c r="H132" s="847">
        <f t="shared" si="144"/>
        <v>0</v>
      </c>
      <c r="I132" s="839">
        <f t="shared" si="118"/>
        <v>0</v>
      </c>
      <c r="J132" s="839">
        <f t="shared" si="119"/>
        <v>0</v>
      </c>
      <c r="K132" s="839">
        <f t="shared" si="104"/>
        <v>0</v>
      </c>
      <c r="L132" s="847">
        <f t="shared" si="145"/>
        <v>0</v>
      </c>
      <c r="M132" s="848">
        <f t="shared" si="131"/>
        <v>0</v>
      </c>
      <c r="N132" s="841"/>
      <c r="O132" s="863">
        <f t="shared" si="132"/>
        <v>31</v>
      </c>
      <c r="P132" s="847">
        <f t="shared" si="146"/>
        <v>0</v>
      </c>
      <c r="Q132" s="847">
        <f t="shared" si="133"/>
        <v>0</v>
      </c>
      <c r="R132" s="847">
        <f t="shared" si="134"/>
        <v>0</v>
      </c>
      <c r="S132" s="847">
        <f t="shared" si="120"/>
        <v>0</v>
      </c>
      <c r="T132" s="847">
        <f t="shared" si="156"/>
        <v>0</v>
      </c>
      <c r="U132" s="847">
        <f t="shared" si="135"/>
        <v>0</v>
      </c>
      <c r="V132" s="847">
        <f t="shared" si="147"/>
        <v>0</v>
      </c>
      <c r="W132" s="839">
        <f t="shared" si="121"/>
        <v>0</v>
      </c>
      <c r="X132" s="839">
        <f t="shared" si="122"/>
        <v>0</v>
      </c>
      <c r="Y132" s="839">
        <f t="shared" si="105"/>
        <v>0</v>
      </c>
      <c r="Z132" s="847">
        <f t="shared" si="148"/>
        <v>0</v>
      </c>
      <c r="AA132" s="848">
        <f t="shared" si="136"/>
        <v>0</v>
      </c>
      <c r="AB132" s="841"/>
      <c r="AC132" s="863">
        <f t="shared" si="137"/>
        <v>31</v>
      </c>
      <c r="AD132" s="847">
        <f t="shared" si="149"/>
        <v>0</v>
      </c>
      <c r="AE132" s="847">
        <f t="shared" si="138"/>
        <v>0</v>
      </c>
      <c r="AF132" s="847">
        <f t="shared" si="139"/>
        <v>0</v>
      </c>
      <c r="AG132" s="847">
        <f t="shared" si="123"/>
        <v>0</v>
      </c>
      <c r="AH132" s="847">
        <f t="shared" si="157"/>
        <v>0</v>
      </c>
      <c r="AI132" s="847">
        <f t="shared" si="140"/>
        <v>0</v>
      </c>
      <c r="AJ132" s="847">
        <f t="shared" si="150"/>
        <v>0</v>
      </c>
      <c r="AK132" s="839">
        <f t="shared" si="124"/>
        <v>0</v>
      </c>
      <c r="AL132" s="839">
        <f t="shared" si="125"/>
        <v>0</v>
      </c>
      <c r="AM132" s="839">
        <f t="shared" si="106"/>
        <v>0</v>
      </c>
      <c r="AN132" s="847">
        <f t="shared" si="151"/>
        <v>0</v>
      </c>
      <c r="AO132" s="848">
        <f t="shared" si="141"/>
        <v>0</v>
      </c>
      <c r="AQ132" s="846">
        <f t="shared" si="142"/>
        <v>31</v>
      </c>
      <c r="AR132" s="847">
        <f t="shared" si="126"/>
        <v>0</v>
      </c>
      <c r="AS132" s="847">
        <f t="shared" si="107"/>
        <v>0</v>
      </c>
      <c r="AT132" s="847">
        <f t="shared" si="108"/>
        <v>0</v>
      </c>
      <c r="AU132" s="847">
        <f t="shared" si="109"/>
        <v>0</v>
      </c>
      <c r="AV132" s="847">
        <f t="shared" si="110"/>
        <v>0</v>
      </c>
      <c r="AW132" s="847">
        <f t="shared" si="111"/>
        <v>0</v>
      </c>
      <c r="AX132" s="847">
        <f t="shared" si="112"/>
        <v>0</v>
      </c>
      <c r="AY132" s="839">
        <f t="shared" si="113"/>
        <v>0</v>
      </c>
      <c r="AZ132" s="839">
        <f t="shared" si="114"/>
        <v>0</v>
      </c>
      <c r="BA132" s="839">
        <f t="shared" si="115"/>
        <v>0</v>
      </c>
      <c r="BB132" s="847">
        <f t="shared" si="116"/>
        <v>0</v>
      </c>
      <c r="BC132" s="848">
        <f t="shared" si="116"/>
        <v>0</v>
      </c>
    </row>
    <row r="133" spans="1:55" x14ac:dyDescent="0.25">
      <c r="A133" s="863">
        <f t="shared" si="127"/>
        <v>32</v>
      </c>
      <c r="B133" s="847">
        <f t="shared" si="143"/>
        <v>0</v>
      </c>
      <c r="C133" s="847">
        <f t="shared" si="128"/>
        <v>0</v>
      </c>
      <c r="D133" s="847">
        <f t="shared" si="129"/>
        <v>0</v>
      </c>
      <c r="E133" s="847">
        <f t="shared" si="117"/>
        <v>0</v>
      </c>
      <c r="F133" s="847">
        <f t="shared" si="155"/>
        <v>0</v>
      </c>
      <c r="G133" s="847">
        <f t="shared" si="130"/>
        <v>0</v>
      </c>
      <c r="H133" s="847">
        <f t="shared" si="144"/>
        <v>0</v>
      </c>
      <c r="I133" s="839">
        <f t="shared" si="118"/>
        <v>0</v>
      </c>
      <c r="J133" s="839">
        <f t="shared" si="119"/>
        <v>0</v>
      </c>
      <c r="K133" s="839">
        <f t="shared" si="104"/>
        <v>0</v>
      </c>
      <c r="L133" s="847">
        <f t="shared" si="145"/>
        <v>0</v>
      </c>
      <c r="M133" s="848">
        <f t="shared" si="131"/>
        <v>0</v>
      </c>
      <c r="N133" s="841"/>
      <c r="O133" s="863">
        <f t="shared" si="132"/>
        <v>32</v>
      </c>
      <c r="P133" s="847">
        <f t="shared" si="146"/>
        <v>0</v>
      </c>
      <c r="Q133" s="847">
        <f t="shared" si="133"/>
        <v>0</v>
      </c>
      <c r="R133" s="847">
        <f t="shared" si="134"/>
        <v>0</v>
      </c>
      <c r="S133" s="847">
        <f t="shared" si="120"/>
        <v>0</v>
      </c>
      <c r="T133" s="847">
        <f t="shared" si="156"/>
        <v>0</v>
      </c>
      <c r="U133" s="847">
        <f t="shared" si="135"/>
        <v>0</v>
      </c>
      <c r="V133" s="847">
        <f t="shared" si="147"/>
        <v>0</v>
      </c>
      <c r="W133" s="839">
        <f t="shared" si="121"/>
        <v>0</v>
      </c>
      <c r="X133" s="839">
        <f t="shared" si="122"/>
        <v>0</v>
      </c>
      <c r="Y133" s="839">
        <f t="shared" si="105"/>
        <v>0</v>
      </c>
      <c r="Z133" s="847">
        <f t="shared" si="148"/>
        <v>0</v>
      </c>
      <c r="AA133" s="848">
        <f t="shared" si="136"/>
        <v>0</v>
      </c>
      <c r="AB133" s="841"/>
      <c r="AC133" s="863">
        <f t="shared" si="137"/>
        <v>32</v>
      </c>
      <c r="AD133" s="847">
        <f t="shared" si="149"/>
        <v>0</v>
      </c>
      <c r="AE133" s="847">
        <f t="shared" si="138"/>
        <v>0</v>
      </c>
      <c r="AF133" s="847">
        <f t="shared" si="139"/>
        <v>0</v>
      </c>
      <c r="AG133" s="847">
        <f t="shared" si="123"/>
        <v>0</v>
      </c>
      <c r="AH133" s="847">
        <f t="shared" si="157"/>
        <v>0</v>
      </c>
      <c r="AI133" s="847">
        <f t="shared" si="140"/>
        <v>0</v>
      </c>
      <c r="AJ133" s="847">
        <f t="shared" si="150"/>
        <v>0</v>
      </c>
      <c r="AK133" s="839">
        <f t="shared" si="124"/>
        <v>0</v>
      </c>
      <c r="AL133" s="839">
        <f t="shared" si="125"/>
        <v>0</v>
      </c>
      <c r="AM133" s="839">
        <f t="shared" si="106"/>
        <v>0</v>
      </c>
      <c r="AN133" s="847">
        <f t="shared" si="151"/>
        <v>0</v>
      </c>
      <c r="AO133" s="848">
        <f t="shared" si="141"/>
        <v>0</v>
      </c>
      <c r="AQ133" s="846">
        <f t="shared" si="142"/>
        <v>32</v>
      </c>
      <c r="AR133" s="847">
        <f t="shared" si="126"/>
        <v>0</v>
      </c>
      <c r="AS133" s="847">
        <f t="shared" si="107"/>
        <v>0</v>
      </c>
      <c r="AT133" s="847">
        <f t="shared" si="108"/>
        <v>0</v>
      </c>
      <c r="AU133" s="847">
        <f t="shared" si="109"/>
        <v>0</v>
      </c>
      <c r="AV133" s="847">
        <f t="shared" si="110"/>
        <v>0</v>
      </c>
      <c r="AW133" s="847">
        <f t="shared" si="111"/>
        <v>0</v>
      </c>
      <c r="AX133" s="847">
        <f t="shared" si="112"/>
        <v>0</v>
      </c>
      <c r="AY133" s="839">
        <f t="shared" si="113"/>
        <v>0</v>
      </c>
      <c r="AZ133" s="839">
        <f t="shared" si="114"/>
        <v>0</v>
      </c>
      <c r="BA133" s="839">
        <f t="shared" si="115"/>
        <v>0</v>
      </c>
      <c r="BB133" s="847">
        <f t="shared" si="116"/>
        <v>0</v>
      </c>
      <c r="BC133" s="848">
        <f t="shared" si="116"/>
        <v>0</v>
      </c>
    </row>
    <row r="134" spans="1:55" x14ac:dyDescent="0.25">
      <c r="A134" s="863">
        <f t="shared" si="127"/>
        <v>33</v>
      </c>
      <c r="B134" s="847">
        <f t="shared" si="143"/>
        <v>0</v>
      </c>
      <c r="C134" s="847">
        <f t="shared" si="128"/>
        <v>0</v>
      </c>
      <c r="D134" s="847">
        <f t="shared" si="129"/>
        <v>0</v>
      </c>
      <c r="E134" s="847">
        <f t="shared" si="117"/>
        <v>0</v>
      </c>
      <c r="F134" s="847">
        <f t="shared" si="155"/>
        <v>0</v>
      </c>
      <c r="G134" s="847">
        <f t="shared" si="130"/>
        <v>0</v>
      </c>
      <c r="H134" s="847">
        <f t="shared" si="144"/>
        <v>0</v>
      </c>
      <c r="I134" s="839">
        <f t="shared" si="118"/>
        <v>0</v>
      </c>
      <c r="J134" s="839">
        <f t="shared" si="119"/>
        <v>0</v>
      </c>
      <c r="K134" s="839">
        <f t="shared" ref="K134:K165" si="158">IF(C$97*12&gt;A134,(C$97*12-A134)*C$98,0)</f>
        <v>0</v>
      </c>
      <c r="L134" s="847">
        <f t="shared" si="145"/>
        <v>0</v>
      </c>
      <c r="M134" s="848">
        <f t="shared" si="131"/>
        <v>0</v>
      </c>
      <c r="N134" s="841"/>
      <c r="O134" s="863">
        <f t="shared" si="132"/>
        <v>33</v>
      </c>
      <c r="P134" s="847">
        <f t="shared" si="146"/>
        <v>0</v>
      </c>
      <c r="Q134" s="847">
        <f t="shared" si="133"/>
        <v>0</v>
      </c>
      <c r="R134" s="847">
        <f t="shared" si="134"/>
        <v>0</v>
      </c>
      <c r="S134" s="847">
        <f t="shared" si="120"/>
        <v>0</v>
      </c>
      <c r="T134" s="847">
        <f t="shared" si="156"/>
        <v>0</v>
      </c>
      <c r="U134" s="847">
        <f t="shared" si="135"/>
        <v>0</v>
      </c>
      <c r="V134" s="847">
        <f t="shared" si="147"/>
        <v>0</v>
      </c>
      <c r="W134" s="839">
        <f t="shared" si="121"/>
        <v>0</v>
      </c>
      <c r="X134" s="839">
        <f t="shared" si="122"/>
        <v>0</v>
      </c>
      <c r="Y134" s="839">
        <f t="shared" ref="Y134:Y165" si="159">IF(Q$11*12&gt;O134,(Q$11*12-O134)*Q$98,0)</f>
        <v>0</v>
      </c>
      <c r="Z134" s="847">
        <f t="shared" si="148"/>
        <v>0</v>
      </c>
      <c r="AA134" s="848">
        <f t="shared" si="136"/>
        <v>0</v>
      </c>
      <c r="AB134" s="841"/>
      <c r="AC134" s="863">
        <f t="shared" si="137"/>
        <v>33</v>
      </c>
      <c r="AD134" s="847">
        <f t="shared" si="149"/>
        <v>0</v>
      </c>
      <c r="AE134" s="847">
        <f t="shared" si="138"/>
        <v>0</v>
      </c>
      <c r="AF134" s="847">
        <f t="shared" si="139"/>
        <v>0</v>
      </c>
      <c r="AG134" s="847">
        <f t="shared" si="123"/>
        <v>0</v>
      </c>
      <c r="AH134" s="847">
        <f t="shared" si="157"/>
        <v>0</v>
      </c>
      <c r="AI134" s="847">
        <f t="shared" si="140"/>
        <v>0</v>
      </c>
      <c r="AJ134" s="847">
        <f t="shared" si="150"/>
        <v>0</v>
      </c>
      <c r="AK134" s="839">
        <f t="shared" si="124"/>
        <v>0</v>
      </c>
      <c r="AL134" s="839">
        <f t="shared" si="125"/>
        <v>0</v>
      </c>
      <c r="AM134" s="839">
        <f t="shared" ref="AM134:AM165" si="160">IF(AE$11*12&gt;AC134,(AE$11*12-AC134)*AE$98,0)</f>
        <v>0</v>
      </c>
      <c r="AN134" s="847">
        <f t="shared" si="151"/>
        <v>0</v>
      </c>
      <c r="AO134" s="848">
        <f t="shared" si="141"/>
        <v>0</v>
      </c>
      <c r="AQ134" s="846">
        <f t="shared" si="142"/>
        <v>33</v>
      </c>
      <c r="AR134" s="847">
        <f t="shared" si="126"/>
        <v>0</v>
      </c>
      <c r="AS134" s="847">
        <f t="shared" si="107"/>
        <v>0</v>
      </c>
      <c r="AT134" s="847">
        <f t="shared" si="108"/>
        <v>0</v>
      </c>
      <c r="AU134" s="847">
        <f t="shared" si="109"/>
        <v>0</v>
      </c>
      <c r="AV134" s="847">
        <f t="shared" si="110"/>
        <v>0</v>
      </c>
      <c r="AW134" s="847">
        <f t="shared" si="111"/>
        <v>0</v>
      </c>
      <c r="AX134" s="847">
        <f t="shared" si="112"/>
        <v>0</v>
      </c>
      <c r="AY134" s="839">
        <f t="shared" si="113"/>
        <v>0</v>
      </c>
      <c r="AZ134" s="839">
        <f t="shared" si="114"/>
        <v>0</v>
      </c>
      <c r="BA134" s="839">
        <f t="shared" si="115"/>
        <v>0</v>
      </c>
      <c r="BB134" s="847">
        <f t="shared" si="116"/>
        <v>0</v>
      </c>
      <c r="BC134" s="848">
        <f t="shared" si="116"/>
        <v>0</v>
      </c>
    </row>
    <row r="135" spans="1:55" x14ac:dyDescent="0.25">
      <c r="A135" s="863">
        <f t="shared" si="127"/>
        <v>34</v>
      </c>
      <c r="B135" s="847">
        <f t="shared" si="143"/>
        <v>0</v>
      </c>
      <c r="C135" s="847">
        <f t="shared" si="128"/>
        <v>0</v>
      </c>
      <c r="D135" s="847">
        <f t="shared" si="129"/>
        <v>0</v>
      </c>
      <c r="E135" s="847">
        <f t="shared" ref="E135:E166" si="161">L134*C$95/12</f>
        <v>0</v>
      </c>
      <c r="F135" s="847">
        <f t="shared" si="155"/>
        <v>0</v>
      </c>
      <c r="G135" s="847">
        <f t="shared" si="130"/>
        <v>0</v>
      </c>
      <c r="H135" s="847">
        <f t="shared" si="144"/>
        <v>0</v>
      </c>
      <c r="I135" s="839">
        <f t="shared" si="118"/>
        <v>0</v>
      </c>
      <c r="J135" s="839">
        <f t="shared" si="119"/>
        <v>0</v>
      </c>
      <c r="K135" s="839">
        <f t="shared" si="158"/>
        <v>0</v>
      </c>
      <c r="L135" s="847">
        <f t="shared" si="145"/>
        <v>0</v>
      </c>
      <c r="M135" s="848">
        <f t="shared" si="131"/>
        <v>0</v>
      </c>
      <c r="N135" s="841"/>
      <c r="O135" s="863">
        <f t="shared" si="132"/>
        <v>34</v>
      </c>
      <c r="P135" s="847">
        <f t="shared" si="146"/>
        <v>0</v>
      </c>
      <c r="Q135" s="847">
        <f t="shared" si="133"/>
        <v>0</v>
      </c>
      <c r="R135" s="847">
        <f t="shared" si="134"/>
        <v>0</v>
      </c>
      <c r="S135" s="847">
        <f t="shared" ref="S135:S166" si="162">Z134*Q$95/12</f>
        <v>0</v>
      </c>
      <c r="T135" s="847">
        <f t="shared" si="156"/>
        <v>0</v>
      </c>
      <c r="U135" s="847">
        <f t="shared" si="135"/>
        <v>0</v>
      </c>
      <c r="V135" s="847">
        <f t="shared" si="147"/>
        <v>0</v>
      </c>
      <c r="W135" s="839">
        <f t="shared" si="121"/>
        <v>0</v>
      </c>
      <c r="X135" s="839">
        <f t="shared" si="122"/>
        <v>0</v>
      </c>
      <c r="Y135" s="839">
        <f t="shared" si="159"/>
        <v>0</v>
      </c>
      <c r="Z135" s="847">
        <f t="shared" si="148"/>
        <v>0</v>
      </c>
      <c r="AA135" s="848">
        <f t="shared" si="136"/>
        <v>0</v>
      </c>
      <c r="AB135" s="841"/>
      <c r="AC135" s="863">
        <f t="shared" si="137"/>
        <v>34</v>
      </c>
      <c r="AD135" s="847">
        <f t="shared" si="149"/>
        <v>0</v>
      </c>
      <c r="AE135" s="847">
        <f t="shared" si="138"/>
        <v>0</v>
      </c>
      <c r="AF135" s="847">
        <f t="shared" si="139"/>
        <v>0</v>
      </c>
      <c r="AG135" s="847">
        <f t="shared" ref="AG135:AG166" si="163">AN134*AE$95/12</f>
        <v>0</v>
      </c>
      <c r="AH135" s="847">
        <f t="shared" si="157"/>
        <v>0</v>
      </c>
      <c r="AI135" s="847">
        <f t="shared" si="140"/>
        <v>0</v>
      </c>
      <c r="AJ135" s="847">
        <f t="shared" si="150"/>
        <v>0</v>
      </c>
      <c r="AK135" s="839">
        <f t="shared" si="124"/>
        <v>0</v>
      </c>
      <c r="AL135" s="839">
        <f t="shared" si="125"/>
        <v>0</v>
      </c>
      <c r="AM135" s="839">
        <f t="shared" si="160"/>
        <v>0</v>
      </c>
      <c r="AN135" s="847">
        <f t="shared" si="151"/>
        <v>0</v>
      </c>
      <c r="AO135" s="848">
        <f t="shared" si="141"/>
        <v>0</v>
      </c>
      <c r="AQ135" s="846">
        <f t="shared" si="142"/>
        <v>34</v>
      </c>
      <c r="AR135" s="847">
        <f t="shared" si="126"/>
        <v>0</v>
      </c>
      <c r="AS135" s="847">
        <f t="shared" si="107"/>
        <v>0</v>
      </c>
      <c r="AT135" s="847">
        <f t="shared" si="108"/>
        <v>0</v>
      </c>
      <c r="AU135" s="847">
        <f t="shared" si="109"/>
        <v>0</v>
      </c>
      <c r="AV135" s="847">
        <f t="shared" si="110"/>
        <v>0</v>
      </c>
      <c r="AW135" s="847">
        <f t="shared" si="111"/>
        <v>0</v>
      </c>
      <c r="AX135" s="847">
        <f t="shared" si="112"/>
        <v>0</v>
      </c>
      <c r="AY135" s="839">
        <f t="shared" si="113"/>
        <v>0</v>
      </c>
      <c r="AZ135" s="839">
        <f t="shared" si="114"/>
        <v>0</v>
      </c>
      <c r="BA135" s="839">
        <f t="shared" si="115"/>
        <v>0</v>
      </c>
      <c r="BB135" s="847">
        <f t="shared" si="116"/>
        <v>0</v>
      </c>
      <c r="BC135" s="848">
        <f t="shared" si="116"/>
        <v>0</v>
      </c>
    </row>
    <row r="136" spans="1:55" x14ac:dyDescent="0.25">
      <c r="A136" s="863">
        <f t="shared" si="127"/>
        <v>35</v>
      </c>
      <c r="B136" s="847">
        <f t="shared" si="143"/>
        <v>0</v>
      </c>
      <c r="C136" s="847">
        <f t="shared" si="128"/>
        <v>0</v>
      </c>
      <c r="D136" s="847">
        <f t="shared" si="129"/>
        <v>0</v>
      </c>
      <c r="E136" s="847">
        <f t="shared" si="161"/>
        <v>0</v>
      </c>
      <c r="F136" s="847">
        <f t="shared" si="155"/>
        <v>0</v>
      </c>
      <c r="G136" s="847">
        <f t="shared" ref="G136:G167" si="164">IF(ABS(C$94-H135)&lt;1,0,G135*(1+C$95/12))</f>
        <v>0</v>
      </c>
      <c r="H136" s="847">
        <f t="shared" si="144"/>
        <v>0</v>
      </c>
      <c r="I136" s="839">
        <f t="shared" si="118"/>
        <v>0</v>
      </c>
      <c r="J136" s="839">
        <f t="shared" si="119"/>
        <v>0</v>
      </c>
      <c r="K136" s="839">
        <f t="shared" si="158"/>
        <v>0</v>
      </c>
      <c r="L136" s="847">
        <f t="shared" si="145"/>
        <v>0</v>
      </c>
      <c r="M136" s="848">
        <f t="shared" si="131"/>
        <v>0</v>
      </c>
      <c r="N136" s="841"/>
      <c r="O136" s="863">
        <f t="shared" si="132"/>
        <v>35</v>
      </c>
      <c r="P136" s="847">
        <f t="shared" si="146"/>
        <v>0</v>
      </c>
      <c r="Q136" s="847">
        <f t="shared" si="133"/>
        <v>0</v>
      </c>
      <c r="R136" s="847">
        <f t="shared" si="134"/>
        <v>0</v>
      </c>
      <c r="S136" s="847">
        <f t="shared" si="162"/>
        <v>0</v>
      </c>
      <c r="T136" s="847">
        <f t="shared" si="156"/>
        <v>0</v>
      </c>
      <c r="U136" s="847">
        <f t="shared" ref="U136:U167" si="165">IF(ABS(Q$94-V135)&lt;1,0,U135*(1+Q$95/12))</f>
        <v>0</v>
      </c>
      <c r="V136" s="847">
        <f t="shared" si="147"/>
        <v>0</v>
      </c>
      <c r="W136" s="839">
        <f t="shared" si="121"/>
        <v>0</v>
      </c>
      <c r="X136" s="839">
        <f t="shared" si="122"/>
        <v>0</v>
      </c>
      <c r="Y136" s="839">
        <f t="shared" si="159"/>
        <v>0</v>
      </c>
      <c r="Z136" s="847">
        <f t="shared" si="148"/>
        <v>0</v>
      </c>
      <c r="AA136" s="848">
        <f t="shared" si="136"/>
        <v>0</v>
      </c>
      <c r="AB136" s="841"/>
      <c r="AC136" s="863">
        <f t="shared" si="137"/>
        <v>35</v>
      </c>
      <c r="AD136" s="847">
        <f t="shared" si="149"/>
        <v>0</v>
      </c>
      <c r="AE136" s="847">
        <f t="shared" si="138"/>
        <v>0</v>
      </c>
      <c r="AF136" s="847">
        <f t="shared" si="139"/>
        <v>0</v>
      </c>
      <c r="AG136" s="847">
        <f t="shared" si="163"/>
        <v>0</v>
      </c>
      <c r="AH136" s="847">
        <f t="shared" si="157"/>
        <v>0</v>
      </c>
      <c r="AI136" s="847">
        <f t="shared" ref="AI136:AI167" si="166">IF(ABS(AE$94-AJ135)&lt;1,0,AI135*(1+AE$95/12))</f>
        <v>0</v>
      </c>
      <c r="AJ136" s="847">
        <f t="shared" si="150"/>
        <v>0</v>
      </c>
      <c r="AK136" s="839">
        <f t="shared" si="124"/>
        <v>0</v>
      </c>
      <c r="AL136" s="839">
        <f t="shared" si="125"/>
        <v>0</v>
      </c>
      <c r="AM136" s="839">
        <f t="shared" si="160"/>
        <v>0</v>
      </c>
      <c r="AN136" s="847">
        <f t="shared" si="151"/>
        <v>0</v>
      </c>
      <c r="AO136" s="848">
        <f t="shared" si="141"/>
        <v>0</v>
      </c>
      <c r="AQ136" s="846">
        <f t="shared" si="142"/>
        <v>35</v>
      </c>
      <c r="AR136" s="847">
        <f t="shared" si="126"/>
        <v>0</v>
      </c>
      <c r="AS136" s="847">
        <f t="shared" si="107"/>
        <v>0</v>
      </c>
      <c r="AT136" s="847">
        <f t="shared" si="108"/>
        <v>0</v>
      </c>
      <c r="AU136" s="847">
        <f t="shared" si="109"/>
        <v>0</v>
      </c>
      <c r="AV136" s="847">
        <f t="shared" si="110"/>
        <v>0</v>
      </c>
      <c r="AW136" s="847">
        <f t="shared" si="111"/>
        <v>0</v>
      </c>
      <c r="AX136" s="847">
        <f t="shared" si="112"/>
        <v>0</v>
      </c>
      <c r="AY136" s="839">
        <f t="shared" si="113"/>
        <v>0</v>
      </c>
      <c r="AZ136" s="839">
        <f t="shared" si="114"/>
        <v>0</v>
      </c>
      <c r="BA136" s="839">
        <f t="shared" si="115"/>
        <v>0</v>
      </c>
      <c r="BB136" s="847">
        <f t="shared" si="116"/>
        <v>0</v>
      </c>
      <c r="BC136" s="848">
        <f t="shared" si="116"/>
        <v>0</v>
      </c>
    </row>
    <row r="137" spans="1:55" x14ac:dyDescent="0.25">
      <c r="A137" s="863">
        <f t="shared" si="127"/>
        <v>36</v>
      </c>
      <c r="B137" s="847">
        <f t="shared" si="143"/>
        <v>0</v>
      </c>
      <c r="C137" s="847">
        <f t="shared" si="128"/>
        <v>0</v>
      </c>
      <c r="D137" s="847">
        <f t="shared" si="129"/>
        <v>0</v>
      </c>
      <c r="E137" s="847">
        <f t="shared" si="161"/>
        <v>0</v>
      </c>
      <c r="F137" s="847">
        <f t="shared" si="155"/>
        <v>0</v>
      </c>
      <c r="G137" s="847">
        <f t="shared" si="164"/>
        <v>0</v>
      </c>
      <c r="H137" s="847">
        <f t="shared" si="144"/>
        <v>0</v>
      </c>
      <c r="I137" s="839">
        <f t="shared" si="118"/>
        <v>0</v>
      </c>
      <c r="J137" s="839">
        <f t="shared" si="119"/>
        <v>0</v>
      </c>
      <c r="K137" s="839">
        <f t="shared" si="158"/>
        <v>0</v>
      </c>
      <c r="L137" s="847">
        <f t="shared" si="145"/>
        <v>0</v>
      </c>
      <c r="M137" s="848">
        <f t="shared" si="131"/>
        <v>0</v>
      </c>
      <c r="N137" s="841"/>
      <c r="O137" s="863">
        <f t="shared" si="132"/>
        <v>36</v>
      </c>
      <c r="P137" s="847">
        <f t="shared" si="146"/>
        <v>0</v>
      </c>
      <c r="Q137" s="847">
        <f t="shared" si="133"/>
        <v>0</v>
      </c>
      <c r="R137" s="847">
        <f t="shared" si="134"/>
        <v>0</v>
      </c>
      <c r="S137" s="847">
        <f t="shared" si="162"/>
        <v>0</v>
      </c>
      <c r="T137" s="847">
        <f t="shared" si="156"/>
        <v>0</v>
      </c>
      <c r="U137" s="847">
        <f t="shared" si="165"/>
        <v>0</v>
      </c>
      <c r="V137" s="847">
        <f t="shared" si="147"/>
        <v>0</v>
      </c>
      <c r="W137" s="839">
        <f t="shared" si="121"/>
        <v>0</v>
      </c>
      <c r="X137" s="839">
        <f t="shared" si="122"/>
        <v>0</v>
      </c>
      <c r="Y137" s="839">
        <f t="shared" si="159"/>
        <v>0</v>
      </c>
      <c r="Z137" s="847">
        <f t="shared" si="148"/>
        <v>0</v>
      </c>
      <c r="AA137" s="848">
        <f t="shared" si="136"/>
        <v>0</v>
      </c>
      <c r="AB137" s="841"/>
      <c r="AC137" s="863">
        <f t="shared" si="137"/>
        <v>36</v>
      </c>
      <c r="AD137" s="847">
        <f t="shared" si="149"/>
        <v>0</v>
      </c>
      <c r="AE137" s="847">
        <f t="shared" si="138"/>
        <v>0</v>
      </c>
      <c r="AF137" s="847">
        <f t="shared" si="139"/>
        <v>0</v>
      </c>
      <c r="AG137" s="847">
        <f t="shared" si="163"/>
        <v>0</v>
      </c>
      <c r="AH137" s="847">
        <f t="shared" si="157"/>
        <v>0</v>
      </c>
      <c r="AI137" s="847">
        <f t="shared" si="166"/>
        <v>0</v>
      </c>
      <c r="AJ137" s="847">
        <f t="shared" si="150"/>
        <v>0</v>
      </c>
      <c r="AK137" s="839">
        <f t="shared" si="124"/>
        <v>0</v>
      </c>
      <c r="AL137" s="839">
        <f t="shared" si="125"/>
        <v>0</v>
      </c>
      <c r="AM137" s="839">
        <f t="shared" si="160"/>
        <v>0</v>
      </c>
      <c r="AN137" s="847">
        <f t="shared" si="151"/>
        <v>0</v>
      </c>
      <c r="AO137" s="848">
        <f t="shared" si="141"/>
        <v>0</v>
      </c>
      <c r="AQ137" s="846">
        <f t="shared" si="142"/>
        <v>36</v>
      </c>
      <c r="AR137" s="847">
        <f t="shared" si="126"/>
        <v>0</v>
      </c>
      <c r="AS137" s="847">
        <f t="shared" si="107"/>
        <v>0</v>
      </c>
      <c r="AT137" s="847">
        <f t="shared" si="108"/>
        <v>0</v>
      </c>
      <c r="AU137" s="847">
        <f t="shared" si="109"/>
        <v>0</v>
      </c>
      <c r="AV137" s="847">
        <f t="shared" si="110"/>
        <v>0</v>
      </c>
      <c r="AW137" s="847">
        <f t="shared" si="111"/>
        <v>0</v>
      </c>
      <c r="AX137" s="847">
        <f t="shared" si="112"/>
        <v>0</v>
      </c>
      <c r="AY137" s="839">
        <f t="shared" si="113"/>
        <v>0</v>
      </c>
      <c r="AZ137" s="839">
        <f t="shared" si="114"/>
        <v>0</v>
      </c>
      <c r="BA137" s="839">
        <f t="shared" si="115"/>
        <v>0</v>
      </c>
      <c r="BB137" s="847">
        <f t="shared" si="116"/>
        <v>0</v>
      </c>
      <c r="BC137" s="848">
        <f t="shared" si="116"/>
        <v>0</v>
      </c>
    </row>
    <row r="138" spans="1:55" x14ac:dyDescent="0.25">
      <c r="A138" s="863">
        <f t="shared" si="127"/>
        <v>37</v>
      </c>
      <c r="B138" s="847">
        <f t="shared" si="143"/>
        <v>0</v>
      </c>
      <c r="C138" s="847">
        <f>IF(B138=0,0,C137)</f>
        <v>0</v>
      </c>
      <c r="D138" s="847">
        <f>IF(C138=0,0,C138+D137)</f>
        <v>0</v>
      </c>
      <c r="E138" s="847">
        <f t="shared" si="161"/>
        <v>0</v>
      </c>
      <c r="F138" s="847">
        <f t="shared" si="155"/>
        <v>0</v>
      </c>
      <c r="G138" s="847">
        <f t="shared" si="164"/>
        <v>0</v>
      </c>
      <c r="H138" s="847">
        <f>IF(B138=0,0,G138+H137)</f>
        <v>0</v>
      </c>
      <c r="I138" s="839">
        <f t="shared" si="118"/>
        <v>0</v>
      </c>
      <c r="J138" s="839">
        <f t="shared" si="119"/>
        <v>0</v>
      </c>
      <c r="K138" s="839">
        <f t="shared" si="158"/>
        <v>0</v>
      </c>
      <c r="L138" s="847">
        <f t="shared" si="145"/>
        <v>0</v>
      </c>
      <c r="M138" s="848">
        <f t="shared" si="131"/>
        <v>0</v>
      </c>
      <c r="N138" s="841"/>
      <c r="O138" s="863">
        <f t="shared" si="132"/>
        <v>37</v>
      </c>
      <c r="P138" s="847">
        <f t="shared" si="146"/>
        <v>0</v>
      </c>
      <c r="Q138" s="847">
        <f>IF(P138=0,0,Q137)</f>
        <v>0</v>
      </c>
      <c r="R138" s="847">
        <f>IF(Q138=0,0,Q138+R137)</f>
        <v>0</v>
      </c>
      <c r="S138" s="847">
        <f t="shared" si="162"/>
        <v>0</v>
      </c>
      <c r="T138" s="847">
        <f t="shared" si="156"/>
        <v>0</v>
      </c>
      <c r="U138" s="847">
        <f t="shared" si="165"/>
        <v>0</v>
      </c>
      <c r="V138" s="847">
        <f>IF(P138=0,0,U138+V137)</f>
        <v>0</v>
      </c>
      <c r="W138" s="839">
        <f t="shared" si="121"/>
        <v>0</v>
      </c>
      <c r="X138" s="839">
        <f t="shared" si="122"/>
        <v>0</v>
      </c>
      <c r="Y138" s="839">
        <f t="shared" si="159"/>
        <v>0</v>
      </c>
      <c r="Z138" s="847">
        <f t="shared" si="148"/>
        <v>0</v>
      </c>
      <c r="AA138" s="848">
        <f t="shared" si="136"/>
        <v>0</v>
      </c>
      <c r="AB138" s="841"/>
      <c r="AC138" s="863">
        <f t="shared" si="137"/>
        <v>37</v>
      </c>
      <c r="AD138" s="847">
        <f t="shared" si="149"/>
        <v>0</v>
      </c>
      <c r="AE138" s="847">
        <f>IF(AD138=0,0,AE137)</f>
        <v>0</v>
      </c>
      <c r="AF138" s="847">
        <f>IF(AE138=0,0,AE138+AF137)</f>
        <v>0</v>
      </c>
      <c r="AG138" s="847">
        <f t="shared" si="163"/>
        <v>0</v>
      </c>
      <c r="AH138" s="847">
        <f t="shared" si="157"/>
        <v>0</v>
      </c>
      <c r="AI138" s="847">
        <f t="shared" si="166"/>
        <v>0</v>
      </c>
      <c r="AJ138" s="847">
        <f>IF(AD138=0,0,AI138+AJ137)</f>
        <v>0</v>
      </c>
      <c r="AK138" s="839">
        <f t="shared" si="124"/>
        <v>0</v>
      </c>
      <c r="AL138" s="839">
        <f t="shared" si="125"/>
        <v>0</v>
      </c>
      <c r="AM138" s="839">
        <f t="shared" si="160"/>
        <v>0</v>
      </c>
      <c r="AN138" s="847">
        <f t="shared" si="151"/>
        <v>0</v>
      </c>
      <c r="AO138" s="848">
        <f t="shared" si="141"/>
        <v>0</v>
      </c>
      <c r="AQ138" s="846">
        <f t="shared" si="142"/>
        <v>37</v>
      </c>
      <c r="AR138" s="847">
        <f t="shared" si="126"/>
        <v>0</v>
      </c>
      <c r="AS138" s="847">
        <f t="shared" si="107"/>
        <v>0</v>
      </c>
      <c r="AT138" s="847">
        <f t="shared" si="108"/>
        <v>0</v>
      </c>
      <c r="AU138" s="847">
        <f t="shared" si="109"/>
        <v>0</v>
      </c>
      <c r="AV138" s="847">
        <f t="shared" si="110"/>
        <v>0</v>
      </c>
      <c r="AW138" s="847">
        <f t="shared" si="111"/>
        <v>0</v>
      </c>
      <c r="AX138" s="847">
        <f t="shared" si="112"/>
        <v>0</v>
      </c>
      <c r="AY138" s="839">
        <f t="shared" si="113"/>
        <v>0</v>
      </c>
      <c r="AZ138" s="839">
        <f t="shared" si="114"/>
        <v>0</v>
      </c>
      <c r="BA138" s="839">
        <f t="shared" si="115"/>
        <v>0</v>
      </c>
      <c r="BB138" s="847">
        <f t="shared" si="116"/>
        <v>0</v>
      </c>
      <c r="BC138" s="848">
        <f t="shared" si="116"/>
        <v>0</v>
      </c>
    </row>
    <row r="139" spans="1:55" x14ac:dyDescent="0.25">
      <c r="A139" s="863">
        <f t="shared" si="127"/>
        <v>38</v>
      </c>
      <c r="B139" s="847">
        <f t="shared" si="143"/>
        <v>0</v>
      </c>
      <c r="C139" s="847">
        <f t="shared" ref="C139:C173" si="167">IF(AND(B139=0,G139=0),0,C138)</f>
        <v>0</v>
      </c>
      <c r="D139" s="847">
        <f t="shared" ref="D139:D173" si="168">IF(C139=0,0,C139+D138)</f>
        <v>0</v>
      </c>
      <c r="E139" s="847">
        <f t="shared" si="161"/>
        <v>0</v>
      </c>
      <c r="F139" s="847">
        <f t="shared" si="155"/>
        <v>0</v>
      </c>
      <c r="G139" s="847">
        <f t="shared" si="164"/>
        <v>0</v>
      </c>
      <c r="H139" s="847">
        <f t="shared" ref="H139:H173" si="169">IF(B139=0,0,G139+H138)</f>
        <v>0</v>
      </c>
      <c r="I139" s="839">
        <f t="shared" si="118"/>
        <v>0</v>
      </c>
      <c r="J139" s="839">
        <f t="shared" si="119"/>
        <v>0</v>
      </c>
      <c r="K139" s="839">
        <f t="shared" si="158"/>
        <v>0</v>
      </c>
      <c r="L139" s="847">
        <f t="shared" ref="L139:L173" si="170">IF(H139=0,0,C$94-H139)</f>
        <v>0</v>
      </c>
      <c r="M139" s="848">
        <f t="shared" si="131"/>
        <v>0</v>
      </c>
      <c r="N139" s="841"/>
      <c r="O139" s="863">
        <f t="shared" si="132"/>
        <v>38</v>
      </c>
      <c r="P139" s="847">
        <f t="shared" si="146"/>
        <v>0</v>
      </c>
      <c r="Q139" s="847">
        <f t="shared" ref="Q139:Q173" si="171">IF(AND(P139=0,U139=0),0,Q138)</f>
        <v>0</v>
      </c>
      <c r="R139" s="847">
        <f t="shared" ref="R139:R173" si="172">IF(Q139=0,0,Q139+R138)</f>
        <v>0</v>
      </c>
      <c r="S139" s="847">
        <f t="shared" si="162"/>
        <v>0</v>
      </c>
      <c r="T139" s="847">
        <f t="shared" si="156"/>
        <v>0</v>
      </c>
      <c r="U139" s="847">
        <f t="shared" si="165"/>
        <v>0</v>
      </c>
      <c r="V139" s="847">
        <f t="shared" ref="V139:V173" si="173">IF(P139=0,0,U139+V138)</f>
        <v>0</v>
      </c>
      <c r="W139" s="839">
        <f t="shared" si="121"/>
        <v>0</v>
      </c>
      <c r="X139" s="839">
        <f t="shared" si="122"/>
        <v>0</v>
      </c>
      <c r="Y139" s="839">
        <f t="shared" si="159"/>
        <v>0</v>
      </c>
      <c r="Z139" s="847">
        <f t="shared" ref="Z139:Z173" si="174">IF(V139=0,0,Q$94-V139)</f>
        <v>0</v>
      </c>
      <c r="AA139" s="848">
        <f t="shared" si="136"/>
        <v>0</v>
      </c>
      <c r="AB139" s="841"/>
      <c r="AC139" s="863">
        <f t="shared" si="137"/>
        <v>38</v>
      </c>
      <c r="AD139" s="847">
        <f t="shared" si="149"/>
        <v>0</v>
      </c>
      <c r="AE139" s="847">
        <f t="shared" ref="AE139:AE173" si="175">IF(AND(AD139=0,AI139=0),0,AE138)</f>
        <v>0</v>
      </c>
      <c r="AF139" s="847">
        <f t="shared" ref="AF139:AF173" si="176">IF(AE139=0,0,AE139+AF138)</f>
        <v>0</v>
      </c>
      <c r="AG139" s="847">
        <f t="shared" si="163"/>
        <v>0</v>
      </c>
      <c r="AH139" s="847">
        <f t="shared" si="157"/>
        <v>0</v>
      </c>
      <c r="AI139" s="847">
        <f t="shared" si="166"/>
        <v>0</v>
      </c>
      <c r="AJ139" s="847">
        <f t="shared" ref="AJ139:AJ173" si="177">IF(AD139=0,0,AI139+AJ138)</f>
        <v>0</v>
      </c>
      <c r="AK139" s="839">
        <f t="shared" si="124"/>
        <v>0</v>
      </c>
      <c r="AL139" s="839">
        <f t="shared" si="125"/>
        <v>0</v>
      </c>
      <c r="AM139" s="839">
        <f t="shared" si="160"/>
        <v>0</v>
      </c>
      <c r="AN139" s="847">
        <f t="shared" ref="AN139:AN173" si="178">IF(AJ139=0,0,AE$94-AJ139)</f>
        <v>0</v>
      </c>
      <c r="AO139" s="848">
        <f t="shared" si="141"/>
        <v>0</v>
      </c>
      <c r="AQ139" s="846">
        <f t="shared" si="142"/>
        <v>38</v>
      </c>
      <c r="AR139" s="847">
        <f t="shared" si="126"/>
        <v>0</v>
      </c>
      <c r="AS139" s="847">
        <f t="shared" si="107"/>
        <v>0</v>
      </c>
      <c r="AT139" s="847">
        <f t="shared" si="108"/>
        <v>0</v>
      </c>
      <c r="AU139" s="847">
        <f t="shared" si="109"/>
        <v>0</v>
      </c>
      <c r="AV139" s="847">
        <f t="shared" si="110"/>
        <v>0</v>
      </c>
      <c r="AW139" s="847">
        <f t="shared" si="111"/>
        <v>0</v>
      </c>
      <c r="AX139" s="847">
        <f t="shared" si="112"/>
        <v>0</v>
      </c>
      <c r="AY139" s="839">
        <f t="shared" si="113"/>
        <v>0</v>
      </c>
      <c r="AZ139" s="839">
        <f t="shared" si="114"/>
        <v>0</v>
      </c>
      <c r="BA139" s="839">
        <f t="shared" si="115"/>
        <v>0</v>
      </c>
      <c r="BB139" s="847">
        <f t="shared" si="116"/>
        <v>0</v>
      </c>
      <c r="BC139" s="848">
        <f t="shared" si="116"/>
        <v>0</v>
      </c>
    </row>
    <row r="140" spans="1:55" x14ac:dyDescent="0.25">
      <c r="A140" s="863">
        <f t="shared" si="127"/>
        <v>39</v>
      </c>
      <c r="B140" s="847">
        <f t="shared" si="143"/>
        <v>0</v>
      </c>
      <c r="C140" s="847">
        <f t="shared" si="167"/>
        <v>0</v>
      </c>
      <c r="D140" s="847">
        <f t="shared" si="168"/>
        <v>0</v>
      </c>
      <c r="E140" s="847">
        <f t="shared" si="161"/>
        <v>0</v>
      </c>
      <c r="F140" s="847">
        <f t="shared" si="155"/>
        <v>0</v>
      </c>
      <c r="G140" s="847">
        <f t="shared" si="164"/>
        <v>0</v>
      </c>
      <c r="H140" s="847">
        <f t="shared" si="169"/>
        <v>0</v>
      </c>
      <c r="I140" s="839">
        <f t="shared" si="118"/>
        <v>0</v>
      </c>
      <c r="J140" s="839">
        <f t="shared" si="119"/>
        <v>0</v>
      </c>
      <c r="K140" s="839">
        <f t="shared" si="158"/>
        <v>0</v>
      </c>
      <c r="L140" s="847">
        <f t="shared" si="170"/>
        <v>0</v>
      </c>
      <c r="M140" s="848">
        <f t="shared" si="131"/>
        <v>0</v>
      </c>
      <c r="N140" s="841"/>
      <c r="O140" s="863">
        <f t="shared" si="132"/>
        <v>39</v>
      </c>
      <c r="P140" s="847">
        <f t="shared" si="146"/>
        <v>0</v>
      </c>
      <c r="Q140" s="847">
        <f t="shared" si="171"/>
        <v>0</v>
      </c>
      <c r="R140" s="847">
        <f t="shared" si="172"/>
        <v>0</v>
      </c>
      <c r="S140" s="847">
        <f t="shared" si="162"/>
        <v>0</v>
      </c>
      <c r="T140" s="847">
        <f t="shared" si="156"/>
        <v>0</v>
      </c>
      <c r="U140" s="847">
        <f t="shared" si="165"/>
        <v>0</v>
      </c>
      <c r="V140" s="847">
        <f t="shared" si="173"/>
        <v>0</v>
      </c>
      <c r="W140" s="839">
        <f t="shared" si="121"/>
        <v>0</v>
      </c>
      <c r="X140" s="839">
        <f t="shared" si="122"/>
        <v>0</v>
      </c>
      <c r="Y140" s="839">
        <f t="shared" si="159"/>
        <v>0</v>
      </c>
      <c r="Z140" s="847">
        <f t="shared" si="174"/>
        <v>0</v>
      </c>
      <c r="AA140" s="848">
        <f t="shared" si="136"/>
        <v>0</v>
      </c>
      <c r="AB140" s="841"/>
      <c r="AC140" s="863">
        <f t="shared" si="137"/>
        <v>39</v>
      </c>
      <c r="AD140" s="847">
        <f t="shared" si="149"/>
        <v>0</v>
      </c>
      <c r="AE140" s="847">
        <f t="shared" si="175"/>
        <v>0</v>
      </c>
      <c r="AF140" s="847">
        <f t="shared" si="176"/>
        <v>0</v>
      </c>
      <c r="AG140" s="847">
        <f t="shared" si="163"/>
        <v>0</v>
      </c>
      <c r="AH140" s="847">
        <f t="shared" si="157"/>
        <v>0</v>
      </c>
      <c r="AI140" s="847">
        <f t="shared" si="166"/>
        <v>0</v>
      </c>
      <c r="AJ140" s="847">
        <f t="shared" si="177"/>
        <v>0</v>
      </c>
      <c r="AK140" s="839">
        <f t="shared" si="124"/>
        <v>0</v>
      </c>
      <c r="AL140" s="839">
        <f t="shared" si="125"/>
        <v>0</v>
      </c>
      <c r="AM140" s="839">
        <f t="shared" si="160"/>
        <v>0</v>
      </c>
      <c r="AN140" s="847">
        <f t="shared" si="178"/>
        <v>0</v>
      </c>
      <c r="AO140" s="848">
        <f t="shared" si="141"/>
        <v>0</v>
      </c>
      <c r="AQ140" s="846">
        <f t="shared" si="142"/>
        <v>39</v>
      </c>
      <c r="AR140" s="847">
        <f t="shared" si="126"/>
        <v>0</v>
      </c>
      <c r="AS140" s="847">
        <f t="shared" si="107"/>
        <v>0</v>
      </c>
      <c r="AT140" s="847">
        <f t="shared" si="108"/>
        <v>0</v>
      </c>
      <c r="AU140" s="847">
        <f t="shared" si="109"/>
        <v>0</v>
      </c>
      <c r="AV140" s="847">
        <f t="shared" si="110"/>
        <v>0</v>
      </c>
      <c r="AW140" s="847">
        <f t="shared" si="111"/>
        <v>0</v>
      </c>
      <c r="AX140" s="847">
        <f t="shared" si="112"/>
        <v>0</v>
      </c>
      <c r="AY140" s="839">
        <f t="shared" si="113"/>
        <v>0</v>
      </c>
      <c r="AZ140" s="839">
        <f t="shared" si="114"/>
        <v>0</v>
      </c>
      <c r="BA140" s="839">
        <f t="shared" si="115"/>
        <v>0</v>
      </c>
      <c r="BB140" s="847">
        <f t="shared" si="116"/>
        <v>0</v>
      </c>
      <c r="BC140" s="848">
        <f t="shared" si="116"/>
        <v>0</v>
      </c>
    </row>
    <row r="141" spans="1:55" x14ac:dyDescent="0.25">
      <c r="A141" s="863">
        <f t="shared" si="127"/>
        <v>40</v>
      </c>
      <c r="B141" s="847">
        <f t="shared" si="143"/>
        <v>0</v>
      </c>
      <c r="C141" s="847">
        <f t="shared" si="167"/>
        <v>0</v>
      </c>
      <c r="D141" s="847">
        <f t="shared" si="168"/>
        <v>0</v>
      </c>
      <c r="E141" s="847">
        <f t="shared" si="161"/>
        <v>0</v>
      </c>
      <c r="F141" s="847">
        <f t="shared" si="155"/>
        <v>0</v>
      </c>
      <c r="G141" s="847">
        <f t="shared" si="164"/>
        <v>0</v>
      </c>
      <c r="H141" s="847">
        <f t="shared" si="169"/>
        <v>0</v>
      </c>
      <c r="I141" s="839">
        <f t="shared" si="118"/>
        <v>0</v>
      </c>
      <c r="J141" s="839">
        <f t="shared" si="119"/>
        <v>0</v>
      </c>
      <c r="K141" s="839">
        <f t="shared" si="158"/>
        <v>0</v>
      </c>
      <c r="L141" s="847">
        <f t="shared" si="170"/>
        <v>0</v>
      </c>
      <c r="M141" s="848">
        <f t="shared" si="131"/>
        <v>0</v>
      </c>
      <c r="N141" s="841"/>
      <c r="O141" s="863">
        <f t="shared" si="132"/>
        <v>40</v>
      </c>
      <c r="P141" s="847">
        <f t="shared" si="146"/>
        <v>0</v>
      </c>
      <c r="Q141" s="847">
        <f t="shared" si="171"/>
        <v>0</v>
      </c>
      <c r="R141" s="847">
        <f t="shared" si="172"/>
        <v>0</v>
      </c>
      <c r="S141" s="847">
        <f t="shared" si="162"/>
        <v>0</v>
      </c>
      <c r="T141" s="847">
        <f t="shared" si="156"/>
        <v>0</v>
      </c>
      <c r="U141" s="847">
        <f t="shared" si="165"/>
        <v>0</v>
      </c>
      <c r="V141" s="847">
        <f t="shared" si="173"/>
        <v>0</v>
      </c>
      <c r="W141" s="839">
        <f t="shared" si="121"/>
        <v>0</v>
      </c>
      <c r="X141" s="839">
        <f t="shared" si="122"/>
        <v>0</v>
      </c>
      <c r="Y141" s="839">
        <f t="shared" si="159"/>
        <v>0</v>
      </c>
      <c r="Z141" s="847">
        <f t="shared" si="174"/>
        <v>0</v>
      </c>
      <c r="AA141" s="848">
        <f t="shared" si="136"/>
        <v>0</v>
      </c>
      <c r="AB141" s="841"/>
      <c r="AC141" s="863">
        <f t="shared" si="137"/>
        <v>40</v>
      </c>
      <c r="AD141" s="847">
        <f t="shared" si="149"/>
        <v>0</v>
      </c>
      <c r="AE141" s="847">
        <f t="shared" si="175"/>
        <v>0</v>
      </c>
      <c r="AF141" s="847">
        <f t="shared" si="176"/>
        <v>0</v>
      </c>
      <c r="AG141" s="847">
        <f t="shared" si="163"/>
        <v>0</v>
      </c>
      <c r="AH141" s="847">
        <f t="shared" si="157"/>
        <v>0</v>
      </c>
      <c r="AI141" s="847">
        <f t="shared" si="166"/>
        <v>0</v>
      </c>
      <c r="AJ141" s="847">
        <f t="shared" si="177"/>
        <v>0</v>
      </c>
      <c r="AK141" s="839">
        <f t="shared" si="124"/>
        <v>0</v>
      </c>
      <c r="AL141" s="839">
        <f t="shared" si="125"/>
        <v>0</v>
      </c>
      <c r="AM141" s="839">
        <f t="shared" si="160"/>
        <v>0</v>
      </c>
      <c r="AN141" s="847">
        <f t="shared" si="178"/>
        <v>0</v>
      </c>
      <c r="AO141" s="848">
        <f t="shared" si="141"/>
        <v>0</v>
      </c>
      <c r="AQ141" s="846">
        <f t="shared" si="142"/>
        <v>40</v>
      </c>
      <c r="AR141" s="847">
        <f t="shared" si="126"/>
        <v>0</v>
      </c>
      <c r="AS141" s="847">
        <f t="shared" si="107"/>
        <v>0</v>
      </c>
      <c r="AT141" s="847">
        <f t="shared" si="108"/>
        <v>0</v>
      </c>
      <c r="AU141" s="847">
        <f t="shared" si="109"/>
        <v>0</v>
      </c>
      <c r="AV141" s="847">
        <f t="shared" si="110"/>
        <v>0</v>
      </c>
      <c r="AW141" s="847">
        <f t="shared" si="111"/>
        <v>0</v>
      </c>
      <c r="AX141" s="847">
        <f t="shared" si="112"/>
        <v>0</v>
      </c>
      <c r="AY141" s="839">
        <f t="shared" si="113"/>
        <v>0</v>
      </c>
      <c r="AZ141" s="839">
        <f t="shared" si="114"/>
        <v>0</v>
      </c>
      <c r="BA141" s="839">
        <f t="shared" si="115"/>
        <v>0</v>
      </c>
      <c r="BB141" s="847">
        <f t="shared" si="116"/>
        <v>0</v>
      </c>
      <c r="BC141" s="848">
        <f t="shared" si="116"/>
        <v>0</v>
      </c>
    </row>
    <row r="142" spans="1:55" x14ac:dyDescent="0.25">
      <c r="A142" s="863">
        <f t="shared" si="127"/>
        <v>41</v>
      </c>
      <c r="B142" s="847">
        <f t="shared" si="143"/>
        <v>0</v>
      </c>
      <c r="C142" s="847">
        <f t="shared" si="167"/>
        <v>0</v>
      </c>
      <c r="D142" s="847">
        <f t="shared" si="168"/>
        <v>0</v>
      </c>
      <c r="E142" s="847">
        <f t="shared" si="161"/>
        <v>0</v>
      </c>
      <c r="F142" s="847">
        <f t="shared" si="155"/>
        <v>0</v>
      </c>
      <c r="G142" s="847">
        <f t="shared" si="164"/>
        <v>0</v>
      </c>
      <c r="H142" s="847">
        <f t="shared" si="169"/>
        <v>0</v>
      </c>
      <c r="I142" s="839">
        <f t="shared" si="118"/>
        <v>0</v>
      </c>
      <c r="J142" s="839">
        <f t="shared" si="119"/>
        <v>0</v>
      </c>
      <c r="K142" s="839">
        <f t="shared" si="158"/>
        <v>0</v>
      </c>
      <c r="L142" s="847">
        <f t="shared" si="170"/>
        <v>0</v>
      </c>
      <c r="M142" s="848">
        <f t="shared" si="131"/>
        <v>0</v>
      </c>
      <c r="N142" s="841"/>
      <c r="O142" s="863">
        <f t="shared" si="132"/>
        <v>41</v>
      </c>
      <c r="P142" s="847">
        <f t="shared" si="146"/>
        <v>0</v>
      </c>
      <c r="Q142" s="847">
        <f t="shared" si="171"/>
        <v>0</v>
      </c>
      <c r="R142" s="847">
        <f t="shared" si="172"/>
        <v>0</v>
      </c>
      <c r="S142" s="847">
        <f t="shared" si="162"/>
        <v>0</v>
      </c>
      <c r="T142" s="847">
        <f t="shared" si="156"/>
        <v>0</v>
      </c>
      <c r="U142" s="847">
        <f t="shared" si="165"/>
        <v>0</v>
      </c>
      <c r="V142" s="847">
        <f t="shared" si="173"/>
        <v>0</v>
      </c>
      <c r="W142" s="839">
        <f t="shared" si="121"/>
        <v>0</v>
      </c>
      <c r="X142" s="839">
        <f t="shared" si="122"/>
        <v>0</v>
      </c>
      <c r="Y142" s="839">
        <f t="shared" si="159"/>
        <v>0</v>
      </c>
      <c r="Z142" s="847">
        <f t="shared" si="174"/>
        <v>0</v>
      </c>
      <c r="AA142" s="848">
        <f t="shared" si="136"/>
        <v>0</v>
      </c>
      <c r="AB142" s="841"/>
      <c r="AC142" s="863">
        <f t="shared" si="137"/>
        <v>41</v>
      </c>
      <c r="AD142" s="847">
        <f t="shared" si="149"/>
        <v>0</v>
      </c>
      <c r="AE142" s="847">
        <f t="shared" si="175"/>
        <v>0</v>
      </c>
      <c r="AF142" s="847">
        <f t="shared" si="176"/>
        <v>0</v>
      </c>
      <c r="AG142" s="847">
        <f t="shared" si="163"/>
        <v>0</v>
      </c>
      <c r="AH142" s="847">
        <f t="shared" si="157"/>
        <v>0</v>
      </c>
      <c r="AI142" s="847">
        <f t="shared" si="166"/>
        <v>0</v>
      </c>
      <c r="AJ142" s="847">
        <f t="shared" si="177"/>
        <v>0</v>
      </c>
      <c r="AK142" s="839">
        <f t="shared" si="124"/>
        <v>0</v>
      </c>
      <c r="AL142" s="839">
        <f t="shared" si="125"/>
        <v>0</v>
      </c>
      <c r="AM142" s="839">
        <f t="shared" si="160"/>
        <v>0</v>
      </c>
      <c r="AN142" s="847">
        <f t="shared" si="178"/>
        <v>0</v>
      </c>
      <c r="AO142" s="848">
        <f t="shared" si="141"/>
        <v>0</v>
      </c>
      <c r="AQ142" s="846">
        <f t="shared" si="142"/>
        <v>41</v>
      </c>
      <c r="AR142" s="847">
        <f t="shared" si="126"/>
        <v>0</v>
      </c>
      <c r="AS142" s="847">
        <f t="shared" si="107"/>
        <v>0</v>
      </c>
      <c r="AT142" s="847">
        <f t="shared" si="108"/>
        <v>0</v>
      </c>
      <c r="AU142" s="847">
        <f t="shared" si="109"/>
        <v>0</v>
      </c>
      <c r="AV142" s="847">
        <f t="shared" si="110"/>
        <v>0</v>
      </c>
      <c r="AW142" s="847">
        <f t="shared" si="111"/>
        <v>0</v>
      </c>
      <c r="AX142" s="847">
        <f t="shared" si="112"/>
        <v>0</v>
      </c>
      <c r="AY142" s="839">
        <f t="shared" si="113"/>
        <v>0</v>
      </c>
      <c r="AZ142" s="839">
        <f t="shared" si="114"/>
        <v>0</v>
      </c>
      <c r="BA142" s="839">
        <f t="shared" si="115"/>
        <v>0</v>
      </c>
      <c r="BB142" s="847">
        <f t="shared" si="116"/>
        <v>0</v>
      </c>
      <c r="BC142" s="848">
        <f t="shared" si="116"/>
        <v>0</v>
      </c>
    </row>
    <row r="143" spans="1:55" x14ac:dyDescent="0.25">
      <c r="A143" s="863">
        <f t="shared" si="127"/>
        <v>42</v>
      </c>
      <c r="B143" s="847">
        <f t="shared" si="143"/>
        <v>0</v>
      </c>
      <c r="C143" s="847">
        <f t="shared" si="167"/>
        <v>0</v>
      </c>
      <c r="D143" s="847">
        <f t="shared" si="168"/>
        <v>0</v>
      </c>
      <c r="E143" s="847">
        <f t="shared" si="161"/>
        <v>0</v>
      </c>
      <c r="F143" s="847">
        <f t="shared" si="155"/>
        <v>0</v>
      </c>
      <c r="G143" s="847">
        <f t="shared" si="164"/>
        <v>0</v>
      </c>
      <c r="H143" s="847">
        <f t="shared" si="169"/>
        <v>0</v>
      </c>
      <c r="I143" s="839">
        <f t="shared" si="118"/>
        <v>0</v>
      </c>
      <c r="J143" s="839">
        <f t="shared" si="119"/>
        <v>0</v>
      </c>
      <c r="K143" s="839">
        <f t="shared" si="158"/>
        <v>0</v>
      </c>
      <c r="L143" s="847">
        <f t="shared" si="170"/>
        <v>0</v>
      </c>
      <c r="M143" s="848">
        <f t="shared" si="131"/>
        <v>0</v>
      </c>
      <c r="N143" s="841"/>
      <c r="O143" s="863">
        <f t="shared" si="132"/>
        <v>42</v>
      </c>
      <c r="P143" s="847">
        <f t="shared" si="146"/>
        <v>0</v>
      </c>
      <c r="Q143" s="847">
        <f t="shared" si="171"/>
        <v>0</v>
      </c>
      <c r="R143" s="847">
        <f t="shared" si="172"/>
        <v>0</v>
      </c>
      <c r="S143" s="847">
        <f t="shared" si="162"/>
        <v>0</v>
      </c>
      <c r="T143" s="847">
        <f t="shared" si="156"/>
        <v>0</v>
      </c>
      <c r="U143" s="847">
        <f t="shared" si="165"/>
        <v>0</v>
      </c>
      <c r="V143" s="847">
        <f t="shared" si="173"/>
        <v>0</v>
      </c>
      <c r="W143" s="839">
        <f t="shared" si="121"/>
        <v>0</v>
      </c>
      <c r="X143" s="839">
        <f t="shared" si="122"/>
        <v>0</v>
      </c>
      <c r="Y143" s="839">
        <f t="shared" si="159"/>
        <v>0</v>
      </c>
      <c r="Z143" s="847">
        <f t="shared" si="174"/>
        <v>0</v>
      </c>
      <c r="AA143" s="848">
        <f t="shared" si="136"/>
        <v>0</v>
      </c>
      <c r="AB143" s="841"/>
      <c r="AC143" s="863">
        <f t="shared" si="137"/>
        <v>42</v>
      </c>
      <c r="AD143" s="847">
        <f t="shared" si="149"/>
        <v>0</v>
      </c>
      <c r="AE143" s="847">
        <f t="shared" si="175"/>
        <v>0</v>
      </c>
      <c r="AF143" s="847">
        <f t="shared" si="176"/>
        <v>0</v>
      </c>
      <c r="AG143" s="847">
        <f t="shared" si="163"/>
        <v>0</v>
      </c>
      <c r="AH143" s="847">
        <f t="shared" si="157"/>
        <v>0</v>
      </c>
      <c r="AI143" s="847">
        <f t="shared" si="166"/>
        <v>0</v>
      </c>
      <c r="AJ143" s="847">
        <f t="shared" si="177"/>
        <v>0</v>
      </c>
      <c r="AK143" s="839">
        <f t="shared" si="124"/>
        <v>0</v>
      </c>
      <c r="AL143" s="839">
        <f t="shared" si="125"/>
        <v>0</v>
      </c>
      <c r="AM143" s="839">
        <f t="shared" si="160"/>
        <v>0</v>
      </c>
      <c r="AN143" s="847">
        <f t="shared" si="178"/>
        <v>0</v>
      </c>
      <c r="AO143" s="848">
        <f t="shared" si="141"/>
        <v>0</v>
      </c>
      <c r="AQ143" s="846">
        <f t="shared" si="142"/>
        <v>42</v>
      </c>
      <c r="AR143" s="847">
        <f t="shared" si="126"/>
        <v>0</v>
      </c>
      <c r="AS143" s="847">
        <f t="shared" si="107"/>
        <v>0</v>
      </c>
      <c r="AT143" s="847">
        <f t="shared" si="108"/>
        <v>0</v>
      </c>
      <c r="AU143" s="847">
        <f t="shared" si="109"/>
        <v>0</v>
      </c>
      <c r="AV143" s="847">
        <f t="shared" si="110"/>
        <v>0</v>
      </c>
      <c r="AW143" s="847">
        <f t="shared" si="111"/>
        <v>0</v>
      </c>
      <c r="AX143" s="847">
        <f t="shared" si="112"/>
        <v>0</v>
      </c>
      <c r="AY143" s="839">
        <f t="shared" si="113"/>
        <v>0</v>
      </c>
      <c r="AZ143" s="839">
        <f t="shared" si="114"/>
        <v>0</v>
      </c>
      <c r="BA143" s="839">
        <f t="shared" si="115"/>
        <v>0</v>
      </c>
      <c r="BB143" s="847">
        <f t="shared" si="116"/>
        <v>0</v>
      </c>
      <c r="BC143" s="848">
        <f t="shared" si="116"/>
        <v>0</v>
      </c>
    </row>
    <row r="144" spans="1:55" x14ac:dyDescent="0.25">
      <c r="A144" s="863">
        <f t="shared" si="127"/>
        <v>43</v>
      </c>
      <c r="B144" s="847">
        <f t="shared" si="143"/>
        <v>0</v>
      </c>
      <c r="C144" s="847">
        <f t="shared" si="167"/>
        <v>0</v>
      </c>
      <c r="D144" s="847">
        <f t="shared" si="168"/>
        <v>0</v>
      </c>
      <c r="E144" s="847">
        <f t="shared" si="161"/>
        <v>0</v>
      </c>
      <c r="F144" s="847">
        <f t="shared" si="155"/>
        <v>0</v>
      </c>
      <c r="G144" s="847">
        <f t="shared" si="164"/>
        <v>0</v>
      </c>
      <c r="H144" s="847">
        <f t="shared" si="169"/>
        <v>0</v>
      </c>
      <c r="I144" s="839">
        <f t="shared" si="118"/>
        <v>0</v>
      </c>
      <c r="J144" s="839">
        <f t="shared" si="119"/>
        <v>0</v>
      </c>
      <c r="K144" s="839">
        <f t="shared" si="158"/>
        <v>0</v>
      </c>
      <c r="L144" s="847">
        <f t="shared" si="170"/>
        <v>0</v>
      </c>
      <c r="M144" s="848">
        <f t="shared" si="131"/>
        <v>0</v>
      </c>
      <c r="N144" s="841"/>
      <c r="O144" s="863">
        <f t="shared" si="132"/>
        <v>43</v>
      </c>
      <c r="P144" s="847">
        <f t="shared" si="146"/>
        <v>0</v>
      </c>
      <c r="Q144" s="847">
        <f t="shared" si="171"/>
        <v>0</v>
      </c>
      <c r="R144" s="847">
        <f t="shared" si="172"/>
        <v>0</v>
      </c>
      <c r="S144" s="847">
        <f t="shared" si="162"/>
        <v>0</v>
      </c>
      <c r="T144" s="847">
        <f t="shared" si="156"/>
        <v>0</v>
      </c>
      <c r="U144" s="847">
        <f t="shared" si="165"/>
        <v>0</v>
      </c>
      <c r="V144" s="847">
        <f t="shared" si="173"/>
        <v>0</v>
      </c>
      <c r="W144" s="839">
        <f t="shared" si="121"/>
        <v>0</v>
      </c>
      <c r="X144" s="839">
        <f t="shared" si="122"/>
        <v>0</v>
      </c>
      <c r="Y144" s="839">
        <f t="shared" si="159"/>
        <v>0</v>
      </c>
      <c r="Z144" s="847">
        <f t="shared" si="174"/>
        <v>0</v>
      </c>
      <c r="AA144" s="848">
        <f t="shared" si="136"/>
        <v>0</v>
      </c>
      <c r="AB144" s="841"/>
      <c r="AC144" s="863">
        <f t="shared" si="137"/>
        <v>43</v>
      </c>
      <c r="AD144" s="847">
        <f t="shared" si="149"/>
        <v>0</v>
      </c>
      <c r="AE144" s="847">
        <f t="shared" si="175"/>
        <v>0</v>
      </c>
      <c r="AF144" s="847">
        <f t="shared" si="176"/>
        <v>0</v>
      </c>
      <c r="AG144" s="847">
        <f t="shared" si="163"/>
        <v>0</v>
      </c>
      <c r="AH144" s="847">
        <f t="shared" si="157"/>
        <v>0</v>
      </c>
      <c r="AI144" s="847">
        <f t="shared" si="166"/>
        <v>0</v>
      </c>
      <c r="AJ144" s="847">
        <f t="shared" si="177"/>
        <v>0</v>
      </c>
      <c r="AK144" s="839">
        <f t="shared" si="124"/>
        <v>0</v>
      </c>
      <c r="AL144" s="839">
        <f t="shared" si="125"/>
        <v>0</v>
      </c>
      <c r="AM144" s="839">
        <f t="shared" si="160"/>
        <v>0</v>
      </c>
      <c r="AN144" s="847">
        <f t="shared" si="178"/>
        <v>0</v>
      </c>
      <c r="AO144" s="848">
        <f t="shared" si="141"/>
        <v>0</v>
      </c>
      <c r="AQ144" s="846">
        <f t="shared" si="142"/>
        <v>43</v>
      </c>
      <c r="AR144" s="847">
        <f t="shared" si="126"/>
        <v>0</v>
      </c>
      <c r="AS144" s="847">
        <f t="shared" si="107"/>
        <v>0</v>
      </c>
      <c r="AT144" s="847">
        <f t="shared" si="108"/>
        <v>0</v>
      </c>
      <c r="AU144" s="847">
        <f t="shared" si="109"/>
        <v>0</v>
      </c>
      <c r="AV144" s="847">
        <f t="shared" si="110"/>
        <v>0</v>
      </c>
      <c r="AW144" s="847">
        <f t="shared" si="111"/>
        <v>0</v>
      </c>
      <c r="AX144" s="847">
        <f t="shared" si="112"/>
        <v>0</v>
      </c>
      <c r="AY144" s="839">
        <f t="shared" si="113"/>
        <v>0</v>
      </c>
      <c r="AZ144" s="839">
        <f t="shared" si="114"/>
        <v>0</v>
      </c>
      <c r="BA144" s="839">
        <f t="shared" si="115"/>
        <v>0</v>
      </c>
      <c r="BB144" s="847">
        <f t="shared" si="116"/>
        <v>0</v>
      </c>
      <c r="BC144" s="848">
        <f t="shared" si="116"/>
        <v>0</v>
      </c>
    </row>
    <row r="145" spans="1:55" x14ac:dyDescent="0.25">
      <c r="A145" s="863">
        <f t="shared" si="127"/>
        <v>44</v>
      </c>
      <c r="B145" s="847">
        <f t="shared" si="143"/>
        <v>0</v>
      </c>
      <c r="C145" s="847">
        <f t="shared" si="167"/>
        <v>0</v>
      </c>
      <c r="D145" s="847">
        <f t="shared" si="168"/>
        <v>0</v>
      </c>
      <c r="E145" s="847">
        <f t="shared" si="161"/>
        <v>0</v>
      </c>
      <c r="F145" s="847">
        <f t="shared" si="155"/>
        <v>0</v>
      </c>
      <c r="G145" s="847">
        <f t="shared" si="164"/>
        <v>0</v>
      </c>
      <c r="H145" s="847">
        <f t="shared" si="169"/>
        <v>0</v>
      </c>
      <c r="I145" s="839">
        <f t="shared" si="118"/>
        <v>0</v>
      </c>
      <c r="J145" s="839">
        <f t="shared" si="119"/>
        <v>0</v>
      </c>
      <c r="K145" s="839">
        <f t="shared" si="158"/>
        <v>0</v>
      </c>
      <c r="L145" s="847">
        <f t="shared" si="170"/>
        <v>0</v>
      </c>
      <c r="M145" s="848">
        <f t="shared" si="131"/>
        <v>0</v>
      </c>
      <c r="N145" s="841"/>
      <c r="O145" s="863">
        <f t="shared" si="132"/>
        <v>44</v>
      </c>
      <c r="P145" s="847">
        <f t="shared" si="146"/>
        <v>0</v>
      </c>
      <c r="Q145" s="847">
        <f t="shared" si="171"/>
        <v>0</v>
      </c>
      <c r="R145" s="847">
        <f t="shared" si="172"/>
        <v>0</v>
      </c>
      <c r="S145" s="847">
        <f t="shared" si="162"/>
        <v>0</v>
      </c>
      <c r="T145" s="847">
        <f t="shared" si="156"/>
        <v>0</v>
      </c>
      <c r="U145" s="847">
        <f t="shared" si="165"/>
        <v>0</v>
      </c>
      <c r="V145" s="847">
        <f t="shared" si="173"/>
        <v>0</v>
      </c>
      <c r="W145" s="839">
        <f t="shared" si="121"/>
        <v>0</v>
      </c>
      <c r="X145" s="839">
        <f t="shared" si="122"/>
        <v>0</v>
      </c>
      <c r="Y145" s="839">
        <f t="shared" si="159"/>
        <v>0</v>
      </c>
      <c r="Z145" s="847">
        <f t="shared" si="174"/>
        <v>0</v>
      </c>
      <c r="AA145" s="848">
        <f t="shared" si="136"/>
        <v>0</v>
      </c>
      <c r="AB145" s="841"/>
      <c r="AC145" s="863">
        <f t="shared" si="137"/>
        <v>44</v>
      </c>
      <c r="AD145" s="847">
        <f t="shared" si="149"/>
        <v>0</v>
      </c>
      <c r="AE145" s="847">
        <f t="shared" si="175"/>
        <v>0</v>
      </c>
      <c r="AF145" s="847">
        <f t="shared" si="176"/>
        <v>0</v>
      </c>
      <c r="AG145" s="847">
        <f t="shared" si="163"/>
        <v>0</v>
      </c>
      <c r="AH145" s="847">
        <f t="shared" si="157"/>
        <v>0</v>
      </c>
      <c r="AI145" s="847">
        <f t="shared" si="166"/>
        <v>0</v>
      </c>
      <c r="AJ145" s="847">
        <f t="shared" si="177"/>
        <v>0</v>
      </c>
      <c r="AK145" s="839">
        <f t="shared" si="124"/>
        <v>0</v>
      </c>
      <c r="AL145" s="839">
        <f t="shared" si="125"/>
        <v>0</v>
      </c>
      <c r="AM145" s="839">
        <f t="shared" si="160"/>
        <v>0</v>
      </c>
      <c r="AN145" s="847">
        <f t="shared" si="178"/>
        <v>0</v>
      </c>
      <c r="AO145" s="848">
        <f t="shared" si="141"/>
        <v>0</v>
      </c>
      <c r="AQ145" s="846">
        <f t="shared" si="142"/>
        <v>44</v>
      </c>
      <c r="AR145" s="847">
        <f t="shared" si="126"/>
        <v>0</v>
      </c>
      <c r="AS145" s="847">
        <f t="shared" si="107"/>
        <v>0</v>
      </c>
      <c r="AT145" s="847">
        <f t="shared" si="108"/>
        <v>0</v>
      </c>
      <c r="AU145" s="847">
        <f t="shared" si="109"/>
        <v>0</v>
      </c>
      <c r="AV145" s="847">
        <f t="shared" si="110"/>
        <v>0</v>
      </c>
      <c r="AW145" s="847">
        <f t="shared" si="111"/>
        <v>0</v>
      </c>
      <c r="AX145" s="847">
        <f t="shared" si="112"/>
        <v>0</v>
      </c>
      <c r="AY145" s="839">
        <f t="shared" si="113"/>
        <v>0</v>
      </c>
      <c r="AZ145" s="839">
        <f t="shared" si="114"/>
        <v>0</v>
      </c>
      <c r="BA145" s="839">
        <f t="shared" si="115"/>
        <v>0</v>
      </c>
      <c r="BB145" s="847">
        <f t="shared" si="116"/>
        <v>0</v>
      </c>
      <c r="BC145" s="848">
        <f t="shared" si="116"/>
        <v>0</v>
      </c>
    </row>
    <row r="146" spans="1:55" x14ac:dyDescent="0.25">
      <c r="A146" s="863">
        <f t="shared" si="127"/>
        <v>45</v>
      </c>
      <c r="B146" s="847">
        <f t="shared" si="143"/>
        <v>0</v>
      </c>
      <c r="C146" s="847">
        <f t="shared" si="167"/>
        <v>0</v>
      </c>
      <c r="D146" s="847">
        <f t="shared" si="168"/>
        <v>0</v>
      </c>
      <c r="E146" s="847">
        <f t="shared" si="161"/>
        <v>0</v>
      </c>
      <c r="F146" s="847">
        <f t="shared" si="155"/>
        <v>0</v>
      </c>
      <c r="G146" s="847">
        <f t="shared" si="164"/>
        <v>0</v>
      </c>
      <c r="H146" s="847">
        <f t="shared" si="169"/>
        <v>0</v>
      </c>
      <c r="I146" s="839">
        <f t="shared" si="118"/>
        <v>0</v>
      </c>
      <c r="J146" s="839">
        <f t="shared" si="119"/>
        <v>0</v>
      </c>
      <c r="K146" s="839">
        <f t="shared" si="158"/>
        <v>0</v>
      </c>
      <c r="L146" s="847">
        <f t="shared" si="170"/>
        <v>0</v>
      </c>
      <c r="M146" s="848">
        <f t="shared" si="131"/>
        <v>0</v>
      </c>
      <c r="N146" s="841"/>
      <c r="O146" s="863">
        <f t="shared" si="132"/>
        <v>45</v>
      </c>
      <c r="P146" s="847">
        <f t="shared" si="146"/>
        <v>0</v>
      </c>
      <c r="Q146" s="847">
        <f t="shared" si="171"/>
        <v>0</v>
      </c>
      <c r="R146" s="847">
        <f t="shared" si="172"/>
        <v>0</v>
      </c>
      <c r="S146" s="847">
        <f t="shared" si="162"/>
        <v>0</v>
      </c>
      <c r="T146" s="847">
        <f t="shared" si="156"/>
        <v>0</v>
      </c>
      <c r="U146" s="847">
        <f t="shared" si="165"/>
        <v>0</v>
      </c>
      <c r="V146" s="847">
        <f t="shared" si="173"/>
        <v>0</v>
      </c>
      <c r="W146" s="839">
        <f t="shared" si="121"/>
        <v>0</v>
      </c>
      <c r="X146" s="839">
        <f t="shared" si="122"/>
        <v>0</v>
      </c>
      <c r="Y146" s="839">
        <f t="shared" si="159"/>
        <v>0</v>
      </c>
      <c r="Z146" s="847">
        <f t="shared" si="174"/>
        <v>0</v>
      </c>
      <c r="AA146" s="848">
        <f t="shared" si="136"/>
        <v>0</v>
      </c>
      <c r="AB146" s="841"/>
      <c r="AC146" s="863">
        <f t="shared" si="137"/>
        <v>45</v>
      </c>
      <c r="AD146" s="847">
        <f t="shared" si="149"/>
        <v>0</v>
      </c>
      <c r="AE146" s="847">
        <f t="shared" si="175"/>
        <v>0</v>
      </c>
      <c r="AF146" s="847">
        <f t="shared" si="176"/>
        <v>0</v>
      </c>
      <c r="AG146" s="847">
        <f t="shared" si="163"/>
        <v>0</v>
      </c>
      <c r="AH146" s="847">
        <f t="shared" si="157"/>
        <v>0</v>
      </c>
      <c r="AI146" s="847">
        <f t="shared" si="166"/>
        <v>0</v>
      </c>
      <c r="AJ146" s="847">
        <f t="shared" si="177"/>
        <v>0</v>
      </c>
      <c r="AK146" s="839">
        <f t="shared" si="124"/>
        <v>0</v>
      </c>
      <c r="AL146" s="839">
        <f t="shared" si="125"/>
        <v>0</v>
      </c>
      <c r="AM146" s="839">
        <f t="shared" si="160"/>
        <v>0</v>
      </c>
      <c r="AN146" s="847">
        <f t="shared" si="178"/>
        <v>0</v>
      </c>
      <c r="AO146" s="848">
        <f t="shared" si="141"/>
        <v>0</v>
      </c>
      <c r="AQ146" s="846">
        <f t="shared" si="142"/>
        <v>45</v>
      </c>
      <c r="AR146" s="847">
        <f t="shared" si="126"/>
        <v>0</v>
      </c>
      <c r="AS146" s="847">
        <f t="shared" si="107"/>
        <v>0</v>
      </c>
      <c r="AT146" s="847">
        <f t="shared" si="108"/>
        <v>0</v>
      </c>
      <c r="AU146" s="847">
        <f t="shared" si="109"/>
        <v>0</v>
      </c>
      <c r="AV146" s="847">
        <f t="shared" si="110"/>
        <v>0</v>
      </c>
      <c r="AW146" s="847">
        <f t="shared" si="111"/>
        <v>0</v>
      </c>
      <c r="AX146" s="847">
        <f t="shared" si="112"/>
        <v>0</v>
      </c>
      <c r="AY146" s="839">
        <f t="shared" si="113"/>
        <v>0</v>
      </c>
      <c r="AZ146" s="839">
        <f t="shared" si="114"/>
        <v>0</v>
      </c>
      <c r="BA146" s="839">
        <f t="shared" si="115"/>
        <v>0</v>
      </c>
      <c r="BB146" s="847">
        <f t="shared" si="116"/>
        <v>0</v>
      </c>
      <c r="BC146" s="848">
        <f t="shared" si="116"/>
        <v>0</v>
      </c>
    </row>
    <row r="147" spans="1:55" x14ac:dyDescent="0.25">
      <c r="A147" s="863">
        <f t="shared" si="127"/>
        <v>46</v>
      </c>
      <c r="B147" s="847">
        <f t="shared" si="143"/>
        <v>0</v>
      </c>
      <c r="C147" s="847">
        <f t="shared" si="167"/>
        <v>0</v>
      </c>
      <c r="D147" s="847">
        <f t="shared" si="168"/>
        <v>0</v>
      </c>
      <c r="E147" s="847">
        <f t="shared" si="161"/>
        <v>0</v>
      </c>
      <c r="F147" s="847">
        <f t="shared" si="155"/>
        <v>0</v>
      </c>
      <c r="G147" s="847">
        <f t="shared" si="164"/>
        <v>0</v>
      </c>
      <c r="H147" s="847">
        <f t="shared" si="169"/>
        <v>0</v>
      </c>
      <c r="I147" s="839">
        <f t="shared" si="118"/>
        <v>0</v>
      </c>
      <c r="J147" s="839">
        <f t="shared" si="119"/>
        <v>0</v>
      </c>
      <c r="K147" s="839">
        <f t="shared" si="158"/>
        <v>0</v>
      </c>
      <c r="L147" s="847">
        <f t="shared" si="170"/>
        <v>0</v>
      </c>
      <c r="M147" s="848">
        <f t="shared" si="131"/>
        <v>0</v>
      </c>
      <c r="N147" s="841"/>
      <c r="O147" s="863">
        <f t="shared" si="132"/>
        <v>46</v>
      </c>
      <c r="P147" s="847">
        <f t="shared" si="146"/>
        <v>0</v>
      </c>
      <c r="Q147" s="847">
        <f t="shared" si="171"/>
        <v>0</v>
      </c>
      <c r="R147" s="847">
        <f t="shared" si="172"/>
        <v>0</v>
      </c>
      <c r="S147" s="847">
        <f t="shared" si="162"/>
        <v>0</v>
      </c>
      <c r="T147" s="847">
        <f t="shared" si="156"/>
        <v>0</v>
      </c>
      <c r="U147" s="847">
        <f t="shared" si="165"/>
        <v>0</v>
      </c>
      <c r="V147" s="847">
        <f t="shared" si="173"/>
        <v>0</v>
      </c>
      <c r="W147" s="839">
        <f t="shared" si="121"/>
        <v>0</v>
      </c>
      <c r="X147" s="839">
        <f t="shared" si="122"/>
        <v>0</v>
      </c>
      <c r="Y147" s="839">
        <f t="shared" si="159"/>
        <v>0</v>
      </c>
      <c r="Z147" s="847">
        <f t="shared" si="174"/>
        <v>0</v>
      </c>
      <c r="AA147" s="848">
        <f t="shared" si="136"/>
        <v>0</v>
      </c>
      <c r="AB147" s="841"/>
      <c r="AC147" s="863">
        <f t="shared" si="137"/>
        <v>46</v>
      </c>
      <c r="AD147" s="847">
        <f t="shared" si="149"/>
        <v>0</v>
      </c>
      <c r="AE147" s="847">
        <f t="shared" si="175"/>
        <v>0</v>
      </c>
      <c r="AF147" s="847">
        <f t="shared" si="176"/>
        <v>0</v>
      </c>
      <c r="AG147" s="847">
        <f t="shared" si="163"/>
        <v>0</v>
      </c>
      <c r="AH147" s="847">
        <f t="shared" si="157"/>
        <v>0</v>
      </c>
      <c r="AI147" s="847">
        <f t="shared" si="166"/>
        <v>0</v>
      </c>
      <c r="AJ147" s="847">
        <f t="shared" si="177"/>
        <v>0</v>
      </c>
      <c r="AK147" s="839">
        <f t="shared" si="124"/>
        <v>0</v>
      </c>
      <c r="AL147" s="839">
        <f t="shared" si="125"/>
        <v>0</v>
      </c>
      <c r="AM147" s="839">
        <f t="shared" si="160"/>
        <v>0</v>
      </c>
      <c r="AN147" s="847">
        <f t="shared" si="178"/>
        <v>0</v>
      </c>
      <c r="AO147" s="848">
        <f t="shared" si="141"/>
        <v>0</v>
      </c>
      <c r="AQ147" s="846">
        <f t="shared" si="142"/>
        <v>46</v>
      </c>
      <c r="AR147" s="847">
        <f t="shared" si="126"/>
        <v>0</v>
      </c>
      <c r="AS147" s="847">
        <f t="shared" si="107"/>
        <v>0</v>
      </c>
      <c r="AT147" s="847">
        <f t="shared" si="108"/>
        <v>0</v>
      </c>
      <c r="AU147" s="847">
        <f t="shared" si="109"/>
        <v>0</v>
      </c>
      <c r="AV147" s="847">
        <f t="shared" si="110"/>
        <v>0</v>
      </c>
      <c r="AW147" s="847">
        <f t="shared" si="111"/>
        <v>0</v>
      </c>
      <c r="AX147" s="847">
        <f t="shared" si="112"/>
        <v>0</v>
      </c>
      <c r="AY147" s="839">
        <f t="shared" si="113"/>
        <v>0</v>
      </c>
      <c r="AZ147" s="839">
        <f t="shared" si="114"/>
        <v>0</v>
      </c>
      <c r="BA147" s="839">
        <f t="shared" si="115"/>
        <v>0</v>
      </c>
      <c r="BB147" s="847">
        <f t="shared" si="116"/>
        <v>0</v>
      </c>
      <c r="BC147" s="848">
        <f t="shared" si="116"/>
        <v>0</v>
      </c>
    </row>
    <row r="148" spans="1:55" x14ac:dyDescent="0.25">
      <c r="A148" s="863">
        <f t="shared" si="127"/>
        <v>47</v>
      </c>
      <c r="B148" s="847">
        <f t="shared" si="143"/>
        <v>0</v>
      </c>
      <c r="C148" s="847">
        <f t="shared" si="167"/>
        <v>0</v>
      </c>
      <c r="D148" s="847">
        <f t="shared" si="168"/>
        <v>0</v>
      </c>
      <c r="E148" s="847">
        <f t="shared" si="161"/>
        <v>0</v>
      </c>
      <c r="F148" s="847">
        <f t="shared" si="155"/>
        <v>0</v>
      </c>
      <c r="G148" s="847">
        <f t="shared" si="164"/>
        <v>0</v>
      </c>
      <c r="H148" s="847">
        <f t="shared" si="169"/>
        <v>0</v>
      </c>
      <c r="I148" s="839">
        <f t="shared" si="118"/>
        <v>0</v>
      </c>
      <c r="J148" s="839">
        <f t="shared" si="119"/>
        <v>0</v>
      </c>
      <c r="K148" s="839">
        <f t="shared" si="158"/>
        <v>0</v>
      </c>
      <c r="L148" s="847">
        <f t="shared" si="170"/>
        <v>0</v>
      </c>
      <c r="M148" s="848">
        <f t="shared" si="131"/>
        <v>0</v>
      </c>
      <c r="N148" s="841"/>
      <c r="O148" s="863">
        <f t="shared" si="132"/>
        <v>47</v>
      </c>
      <c r="P148" s="847">
        <f t="shared" si="146"/>
        <v>0</v>
      </c>
      <c r="Q148" s="847">
        <f t="shared" si="171"/>
        <v>0</v>
      </c>
      <c r="R148" s="847">
        <f t="shared" si="172"/>
        <v>0</v>
      </c>
      <c r="S148" s="847">
        <f t="shared" si="162"/>
        <v>0</v>
      </c>
      <c r="T148" s="847">
        <f t="shared" si="156"/>
        <v>0</v>
      </c>
      <c r="U148" s="847">
        <f t="shared" si="165"/>
        <v>0</v>
      </c>
      <c r="V148" s="847">
        <f t="shared" si="173"/>
        <v>0</v>
      </c>
      <c r="W148" s="839">
        <f t="shared" si="121"/>
        <v>0</v>
      </c>
      <c r="X148" s="839">
        <f t="shared" si="122"/>
        <v>0</v>
      </c>
      <c r="Y148" s="839">
        <f t="shared" si="159"/>
        <v>0</v>
      </c>
      <c r="Z148" s="847">
        <f t="shared" si="174"/>
        <v>0</v>
      </c>
      <c r="AA148" s="848">
        <f t="shared" si="136"/>
        <v>0</v>
      </c>
      <c r="AB148" s="841"/>
      <c r="AC148" s="863">
        <f t="shared" si="137"/>
        <v>47</v>
      </c>
      <c r="AD148" s="847">
        <f t="shared" si="149"/>
        <v>0</v>
      </c>
      <c r="AE148" s="847">
        <f t="shared" si="175"/>
        <v>0</v>
      </c>
      <c r="AF148" s="847">
        <f t="shared" si="176"/>
        <v>0</v>
      </c>
      <c r="AG148" s="847">
        <f t="shared" si="163"/>
        <v>0</v>
      </c>
      <c r="AH148" s="847">
        <f t="shared" si="157"/>
        <v>0</v>
      </c>
      <c r="AI148" s="847">
        <f t="shared" si="166"/>
        <v>0</v>
      </c>
      <c r="AJ148" s="847">
        <f t="shared" si="177"/>
        <v>0</v>
      </c>
      <c r="AK148" s="839">
        <f t="shared" si="124"/>
        <v>0</v>
      </c>
      <c r="AL148" s="839">
        <f t="shared" si="125"/>
        <v>0</v>
      </c>
      <c r="AM148" s="839">
        <f t="shared" si="160"/>
        <v>0</v>
      </c>
      <c r="AN148" s="847">
        <f t="shared" si="178"/>
        <v>0</v>
      </c>
      <c r="AO148" s="848">
        <f t="shared" si="141"/>
        <v>0</v>
      </c>
      <c r="AQ148" s="846">
        <f t="shared" si="142"/>
        <v>47</v>
      </c>
      <c r="AR148" s="847">
        <f t="shared" si="126"/>
        <v>0</v>
      </c>
      <c r="AS148" s="847">
        <f t="shared" si="107"/>
        <v>0</v>
      </c>
      <c r="AT148" s="847">
        <f t="shared" si="108"/>
        <v>0</v>
      </c>
      <c r="AU148" s="847">
        <f t="shared" si="109"/>
        <v>0</v>
      </c>
      <c r="AV148" s="847">
        <f t="shared" si="110"/>
        <v>0</v>
      </c>
      <c r="AW148" s="847">
        <f t="shared" si="111"/>
        <v>0</v>
      </c>
      <c r="AX148" s="847">
        <f t="shared" si="112"/>
        <v>0</v>
      </c>
      <c r="AY148" s="839">
        <f t="shared" si="113"/>
        <v>0</v>
      </c>
      <c r="AZ148" s="839">
        <f t="shared" si="114"/>
        <v>0</v>
      </c>
      <c r="BA148" s="839">
        <f t="shared" si="115"/>
        <v>0</v>
      </c>
      <c r="BB148" s="847">
        <f t="shared" si="116"/>
        <v>0</v>
      </c>
      <c r="BC148" s="848">
        <f t="shared" si="116"/>
        <v>0</v>
      </c>
    </row>
    <row r="149" spans="1:55" x14ac:dyDescent="0.25">
      <c r="A149" s="863">
        <f t="shared" si="127"/>
        <v>48</v>
      </c>
      <c r="B149" s="847">
        <f t="shared" si="143"/>
        <v>0</v>
      </c>
      <c r="C149" s="847">
        <f t="shared" si="167"/>
        <v>0</v>
      </c>
      <c r="D149" s="847">
        <f t="shared" si="168"/>
        <v>0</v>
      </c>
      <c r="E149" s="847">
        <f t="shared" si="161"/>
        <v>0</v>
      </c>
      <c r="F149" s="847">
        <f t="shared" si="155"/>
        <v>0</v>
      </c>
      <c r="G149" s="847">
        <f t="shared" si="164"/>
        <v>0</v>
      </c>
      <c r="H149" s="847">
        <f t="shared" si="169"/>
        <v>0</v>
      </c>
      <c r="I149" s="839">
        <f t="shared" si="118"/>
        <v>0</v>
      </c>
      <c r="J149" s="839">
        <f t="shared" si="119"/>
        <v>0</v>
      </c>
      <c r="K149" s="839">
        <f t="shared" si="158"/>
        <v>0</v>
      </c>
      <c r="L149" s="847">
        <f t="shared" si="170"/>
        <v>0</v>
      </c>
      <c r="M149" s="848">
        <f t="shared" si="131"/>
        <v>0</v>
      </c>
      <c r="N149" s="841"/>
      <c r="O149" s="863">
        <f t="shared" si="132"/>
        <v>48</v>
      </c>
      <c r="P149" s="847">
        <f t="shared" si="146"/>
        <v>0</v>
      </c>
      <c r="Q149" s="847">
        <f t="shared" si="171"/>
        <v>0</v>
      </c>
      <c r="R149" s="847">
        <f t="shared" si="172"/>
        <v>0</v>
      </c>
      <c r="S149" s="847">
        <f t="shared" si="162"/>
        <v>0</v>
      </c>
      <c r="T149" s="847">
        <f t="shared" si="156"/>
        <v>0</v>
      </c>
      <c r="U149" s="847">
        <f t="shared" si="165"/>
        <v>0</v>
      </c>
      <c r="V149" s="847">
        <f t="shared" si="173"/>
        <v>0</v>
      </c>
      <c r="W149" s="839">
        <f t="shared" si="121"/>
        <v>0</v>
      </c>
      <c r="X149" s="839">
        <f t="shared" si="122"/>
        <v>0</v>
      </c>
      <c r="Y149" s="839">
        <f t="shared" si="159"/>
        <v>0</v>
      </c>
      <c r="Z149" s="847">
        <f t="shared" si="174"/>
        <v>0</v>
      </c>
      <c r="AA149" s="848">
        <f t="shared" si="136"/>
        <v>0</v>
      </c>
      <c r="AB149" s="841"/>
      <c r="AC149" s="863">
        <f t="shared" si="137"/>
        <v>48</v>
      </c>
      <c r="AD149" s="847">
        <f t="shared" si="149"/>
        <v>0</v>
      </c>
      <c r="AE149" s="847">
        <f t="shared" si="175"/>
        <v>0</v>
      </c>
      <c r="AF149" s="847">
        <f t="shared" si="176"/>
        <v>0</v>
      </c>
      <c r="AG149" s="847">
        <f t="shared" si="163"/>
        <v>0</v>
      </c>
      <c r="AH149" s="847">
        <f t="shared" si="157"/>
        <v>0</v>
      </c>
      <c r="AI149" s="847">
        <f t="shared" si="166"/>
        <v>0</v>
      </c>
      <c r="AJ149" s="847">
        <f t="shared" si="177"/>
        <v>0</v>
      </c>
      <c r="AK149" s="839">
        <f t="shared" si="124"/>
        <v>0</v>
      </c>
      <c r="AL149" s="839">
        <f t="shared" si="125"/>
        <v>0</v>
      </c>
      <c r="AM149" s="839">
        <f t="shared" si="160"/>
        <v>0</v>
      </c>
      <c r="AN149" s="847">
        <f t="shared" si="178"/>
        <v>0</v>
      </c>
      <c r="AO149" s="848">
        <f t="shared" si="141"/>
        <v>0</v>
      </c>
      <c r="AQ149" s="846">
        <f t="shared" si="142"/>
        <v>48</v>
      </c>
      <c r="AR149" s="847">
        <f t="shared" si="126"/>
        <v>0</v>
      </c>
      <c r="AS149" s="847">
        <f t="shared" si="107"/>
        <v>0</v>
      </c>
      <c r="AT149" s="847">
        <f t="shared" si="108"/>
        <v>0</v>
      </c>
      <c r="AU149" s="847">
        <f t="shared" si="109"/>
        <v>0</v>
      </c>
      <c r="AV149" s="847">
        <f t="shared" si="110"/>
        <v>0</v>
      </c>
      <c r="AW149" s="847">
        <f t="shared" si="111"/>
        <v>0</v>
      </c>
      <c r="AX149" s="847">
        <f t="shared" si="112"/>
        <v>0</v>
      </c>
      <c r="AY149" s="839">
        <f t="shared" si="113"/>
        <v>0</v>
      </c>
      <c r="AZ149" s="839">
        <f t="shared" si="114"/>
        <v>0</v>
      </c>
      <c r="BA149" s="839">
        <f t="shared" si="115"/>
        <v>0</v>
      </c>
      <c r="BB149" s="847">
        <f t="shared" si="116"/>
        <v>0</v>
      </c>
      <c r="BC149" s="848">
        <f t="shared" si="116"/>
        <v>0</v>
      </c>
    </row>
    <row r="150" spans="1:55" x14ac:dyDescent="0.25">
      <c r="A150" s="863">
        <f t="shared" si="127"/>
        <v>49</v>
      </c>
      <c r="B150" s="847">
        <f t="shared" si="143"/>
        <v>0</v>
      </c>
      <c r="C150" s="847">
        <f t="shared" si="167"/>
        <v>0</v>
      </c>
      <c r="D150" s="847">
        <f t="shared" si="168"/>
        <v>0</v>
      </c>
      <c r="E150" s="847">
        <f t="shared" si="161"/>
        <v>0</v>
      </c>
      <c r="F150" s="847">
        <f t="shared" si="155"/>
        <v>0</v>
      </c>
      <c r="G150" s="847">
        <f t="shared" si="164"/>
        <v>0</v>
      </c>
      <c r="H150" s="847">
        <f t="shared" si="169"/>
        <v>0</v>
      </c>
      <c r="I150" s="839">
        <f t="shared" si="118"/>
        <v>0</v>
      </c>
      <c r="J150" s="839">
        <f t="shared" si="119"/>
        <v>0</v>
      </c>
      <c r="K150" s="839">
        <f t="shared" si="158"/>
        <v>0</v>
      </c>
      <c r="L150" s="847">
        <f t="shared" si="170"/>
        <v>0</v>
      </c>
      <c r="M150" s="848">
        <f t="shared" si="131"/>
        <v>0</v>
      </c>
      <c r="N150" s="841"/>
      <c r="O150" s="863">
        <f t="shared" si="132"/>
        <v>49</v>
      </c>
      <c r="P150" s="847">
        <f t="shared" si="146"/>
        <v>0</v>
      </c>
      <c r="Q150" s="847">
        <f t="shared" si="171"/>
        <v>0</v>
      </c>
      <c r="R150" s="847">
        <f t="shared" si="172"/>
        <v>0</v>
      </c>
      <c r="S150" s="847">
        <f t="shared" si="162"/>
        <v>0</v>
      </c>
      <c r="T150" s="847">
        <f t="shared" si="156"/>
        <v>0</v>
      </c>
      <c r="U150" s="847">
        <f t="shared" si="165"/>
        <v>0</v>
      </c>
      <c r="V150" s="847">
        <f t="shared" si="173"/>
        <v>0</v>
      </c>
      <c r="W150" s="839">
        <f t="shared" si="121"/>
        <v>0</v>
      </c>
      <c r="X150" s="839">
        <f t="shared" si="122"/>
        <v>0</v>
      </c>
      <c r="Y150" s="839">
        <f t="shared" si="159"/>
        <v>0</v>
      </c>
      <c r="Z150" s="847">
        <f t="shared" si="174"/>
        <v>0</v>
      </c>
      <c r="AA150" s="848">
        <f t="shared" si="136"/>
        <v>0</v>
      </c>
      <c r="AB150" s="841"/>
      <c r="AC150" s="863">
        <f t="shared" si="137"/>
        <v>49</v>
      </c>
      <c r="AD150" s="847">
        <f t="shared" si="149"/>
        <v>0</v>
      </c>
      <c r="AE150" s="847">
        <f t="shared" si="175"/>
        <v>0</v>
      </c>
      <c r="AF150" s="847">
        <f t="shared" si="176"/>
        <v>0</v>
      </c>
      <c r="AG150" s="847">
        <f t="shared" si="163"/>
        <v>0</v>
      </c>
      <c r="AH150" s="847">
        <f t="shared" si="157"/>
        <v>0</v>
      </c>
      <c r="AI150" s="847">
        <f t="shared" si="166"/>
        <v>0</v>
      </c>
      <c r="AJ150" s="847">
        <f t="shared" si="177"/>
        <v>0</v>
      </c>
      <c r="AK150" s="839">
        <f t="shared" si="124"/>
        <v>0</v>
      </c>
      <c r="AL150" s="839">
        <f t="shared" si="125"/>
        <v>0</v>
      </c>
      <c r="AM150" s="839">
        <f t="shared" si="160"/>
        <v>0</v>
      </c>
      <c r="AN150" s="847">
        <f t="shared" si="178"/>
        <v>0</v>
      </c>
      <c r="AO150" s="848">
        <f t="shared" si="141"/>
        <v>0</v>
      </c>
      <c r="AQ150" s="846">
        <f t="shared" si="142"/>
        <v>49</v>
      </c>
      <c r="AR150" s="847">
        <f t="shared" si="126"/>
        <v>0</v>
      </c>
      <c r="AS150" s="847">
        <f t="shared" si="107"/>
        <v>0</v>
      </c>
      <c r="AT150" s="847">
        <f t="shared" si="108"/>
        <v>0</v>
      </c>
      <c r="AU150" s="847">
        <f t="shared" si="109"/>
        <v>0</v>
      </c>
      <c r="AV150" s="847">
        <f t="shared" si="110"/>
        <v>0</v>
      </c>
      <c r="AW150" s="847">
        <f t="shared" si="111"/>
        <v>0</v>
      </c>
      <c r="AX150" s="847">
        <f t="shared" si="112"/>
        <v>0</v>
      </c>
      <c r="AY150" s="839">
        <f t="shared" si="113"/>
        <v>0</v>
      </c>
      <c r="AZ150" s="839">
        <f t="shared" si="114"/>
        <v>0</v>
      </c>
      <c r="BA150" s="839">
        <f t="shared" si="115"/>
        <v>0</v>
      </c>
      <c r="BB150" s="847">
        <f t="shared" si="116"/>
        <v>0</v>
      </c>
      <c r="BC150" s="848">
        <f t="shared" si="116"/>
        <v>0</v>
      </c>
    </row>
    <row r="151" spans="1:55" x14ac:dyDescent="0.25">
      <c r="A151" s="863">
        <f t="shared" si="127"/>
        <v>50</v>
      </c>
      <c r="B151" s="847">
        <f t="shared" si="143"/>
        <v>0</v>
      </c>
      <c r="C151" s="847">
        <f t="shared" si="167"/>
        <v>0</v>
      </c>
      <c r="D151" s="847">
        <f t="shared" si="168"/>
        <v>0</v>
      </c>
      <c r="E151" s="847">
        <f t="shared" si="161"/>
        <v>0</v>
      </c>
      <c r="F151" s="847">
        <f t="shared" si="155"/>
        <v>0</v>
      </c>
      <c r="G151" s="847">
        <f t="shared" si="164"/>
        <v>0</v>
      </c>
      <c r="H151" s="847">
        <f t="shared" si="169"/>
        <v>0</v>
      </c>
      <c r="I151" s="839">
        <f t="shared" si="118"/>
        <v>0</v>
      </c>
      <c r="J151" s="839">
        <f t="shared" si="119"/>
        <v>0</v>
      </c>
      <c r="K151" s="839">
        <f t="shared" si="158"/>
        <v>0</v>
      </c>
      <c r="L151" s="847">
        <f t="shared" si="170"/>
        <v>0</v>
      </c>
      <c r="M151" s="848">
        <f t="shared" si="131"/>
        <v>0</v>
      </c>
      <c r="N151" s="841"/>
      <c r="O151" s="863">
        <f t="shared" si="132"/>
        <v>50</v>
      </c>
      <c r="P151" s="847">
        <f t="shared" si="146"/>
        <v>0</v>
      </c>
      <c r="Q151" s="847">
        <f t="shared" si="171"/>
        <v>0</v>
      </c>
      <c r="R151" s="847">
        <f t="shared" si="172"/>
        <v>0</v>
      </c>
      <c r="S151" s="847">
        <f t="shared" si="162"/>
        <v>0</v>
      </c>
      <c r="T151" s="847">
        <f t="shared" si="156"/>
        <v>0</v>
      </c>
      <c r="U151" s="847">
        <f t="shared" si="165"/>
        <v>0</v>
      </c>
      <c r="V151" s="847">
        <f t="shared" si="173"/>
        <v>0</v>
      </c>
      <c r="W151" s="839">
        <f t="shared" si="121"/>
        <v>0</v>
      </c>
      <c r="X151" s="839">
        <f t="shared" si="122"/>
        <v>0</v>
      </c>
      <c r="Y151" s="839">
        <f t="shared" si="159"/>
        <v>0</v>
      </c>
      <c r="Z151" s="847">
        <f t="shared" si="174"/>
        <v>0</v>
      </c>
      <c r="AA151" s="848">
        <f t="shared" si="136"/>
        <v>0</v>
      </c>
      <c r="AB151" s="841"/>
      <c r="AC151" s="863">
        <f t="shared" si="137"/>
        <v>50</v>
      </c>
      <c r="AD151" s="847">
        <f t="shared" si="149"/>
        <v>0</v>
      </c>
      <c r="AE151" s="847">
        <f t="shared" si="175"/>
        <v>0</v>
      </c>
      <c r="AF151" s="847">
        <f t="shared" si="176"/>
        <v>0</v>
      </c>
      <c r="AG151" s="847">
        <f t="shared" si="163"/>
        <v>0</v>
      </c>
      <c r="AH151" s="847">
        <f t="shared" si="157"/>
        <v>0</v>
      </c>
      <c r="AI151" s="847">
        <f t="shared" si="166"/>
        <v>0</v>
      </c>
      <c r="AJ151" s="847">
        <f t="shared" si="177"/>
        <v>0</v>
      </c>
      <c r="AK151" s="839">
        <f t="shared" si="124"/>
        <v>0</v>
      </c>
      <c r="AL151" s="839">
        <f t="shared" si="125"/>
        <v>0</v>
      </c>
      <c r="AM151" s="839">
        <f t="shared" si="160"/>
        <v>0</v>
      </c>
      <c r="AN151" s="847">
        <f t="shared" si="178"/>
        <v>0</v>
      </c>
      <c r="AO151" s="848">
        <f t="shared" si="141"/>
        <v>0</v>
      </c>
      <c r="AQ151" s="846">
        <f t="shared" si="142"/>
        <v>50</v>
      </c>
      <c r="AR151" s="847">
        <f t="shared" si="126"/>
        <v>0</v>
      </c>
      <c r="AS151" s="847">
        <f t="shared" si="107"/>
        <v>0</v>
      </c>
      <c r="AT151" s="847">
        <f t="shared" si="108"/>
        <v>0</v>
      </c>
      <c r="AU151" s="847">
        <f t="shared" si="109"/>
        <v>0</v>
      </c>
      <c r="AV151" s="847">
        <f t="shared" si="110"/>
        <v>0</v>
      </c>
      <c r="AW151" s="847">
        <f t="shared" si="111"/>
        <v>0</v>
      </c>
      <c r="AX151" s="847">
        <f t="shared" si="112"/>
        <v>0</v>
      </c>
      <c r="AY151" s="839">
        <f t="shared" si="113"/>
        <v>0</v>
      </c>
      <c r="AZ151" s="839">
        <f t="shared" si="114"/>
        <v>0</v>
      </c>
      <c r="BA151" s="839">
        <f t="shared" si="115"/>
        <v>0</v>
      </c>
      <c r="BB151" s="847">
        <f t="shared" si="116"/>
        <v>0</v>
      </c>
      <c r="BC151" s="848">
        <f t="shared" si="116"/>
        <v>0</v>
      </c>
    </row>
    <row r="152" spans="1:55" x14ac:dyDescent="0.25">
      <c r="A152" s="863">
        <f t="shared" si="127"/>
        <v>51</v>
      </c>
      <c r="B152" s="847">
        <f t="shared" si="143"/>
        <v>0</v>
      </c>
      <c r="C152" s="847">
        <f t="shared" si="167"/>
        <v>0</v>
      </c>
      <c r="D152" s="847">
        <f t="shared" si="168"/>
        <v>0</v>
      </c>
      <c r="E152" s="847">
        <f t="shared" si="161"/>
        <v>0</v>
      </c>
      <c r="F152" s="847">
        <f t="shared" si="155"/>
        <v>0</v>
      </c>
      <c r="G152" s="847">
        <f t="shared" si="164"/>
        <v>0</v>
      </c>
      <c r="H152" s="847">
        <f t="shared" si="169"/>
        <v>0</v>
      </c>
      <c r="I152" s="839">
        <f t="shared" si="118"/>
        <v>0</v>
      </c>
      <c r="J152" s="839">
        <f t="shared" si="119"/>
        <v>0</v>
      </c>
      <c r="K152" s="839">
        <f t="shared" si="158"/>
        <v>0</v>
      </c>
      <c r="L152" s="847">
        <f t="shared" si="170"/>
        <v>0</v>
      </c>
      <c r="M152" s="848">
        <f t="shared" si="131"/>
        <v>0</v>
      </c>
      <c r="N152" s="841"/>
      <c r="O152" s="863">
        <f t="shared" si="132"/>
        <v>51</v>
      </c>
      <c r="P152" s="847">
        <f t="shared" si="146"/>
        <v>0</v>
      </c>
      <c r="Q152" s="847">
        <f t="shared" si="171"/>
        <v>0</v>
      </c>
      <c r="R152" s="847">
        <f t="shared" si="172"/>
        <v>0</v>
      </c>
      <c r="S152" s="847">
        <f t="shared" si="162"/>
        <v>0</v>
      </c>
      <c r="T152" s="847">
        <f t="shared" si="156"/>
        <v>0</v>
      </c>
      <c r="U152" s="847">
        <f t="shared" si="165"/>
        <v>0</v>
      </c>
      <c r="V152" s="847">
        <f t="shared" si="173"/>
        <v>0</v>
      </c>
      <c r="W152" s="839">
        <f t="shared" si="121"/>
        <v>0</v>
      </c>
      <c r="X152" s="839">
        <f t="shared" si="122"/>
        <v>0</v>
      </c>
      <c r="Y152" s="839">
        <f t="shared" si="159"/>
        <v>0</v>
      </c>
      <c r="Z152" s="847">
        <f t="shared" si="174"/>
        <v>0</v>
      </c>
      <c r="AA152" s="848">
        <f t="shared" si="136"/>
        <v>0</v>
      </c>
      <c r="AB152" s="841"/>
      <c r="AC152" s="863">
        <f t="shared" si="137"/>
        <v>51</v>
      </c>
      <c r="AD152" s="847">
        <f t="shared" si="149"/>
        <v>0</v>
      </c>
      <c r="AE152" s="847">
        <f t="shared" si="175"/>
        <v>0</v>
      </c>
      <c r="AF152" s="847">
        <f t="shared" si="176"/>
        <v>0</v>
      </c>
      <c r="AG152" s="847">
        <f t="shared" si="163"/>
        <v>0</v>
      </c>
      <c r="AH152" s="847">
        <f t="shared" si="157"/>
        <v>0</v>
      </c>
      <c r="AI152" s="847">
        <f t="shared" si="166"/>
        <v>0</v>
      </c>
      <c r="AJ152" s="847">
        <f t="shared" si="177"/>
        <v>0</v>
      </c>
      <c r="AK152" s="839">
        <f t="shared" si="124"/>
        <v>0</v>
      </c>
      <c r="AL152" s="839">
        <f t="shared" si="125"/>
        <v>0</v>
      </c>
      <c r="AM152" s="839">
        <f t="shared" si="160"/>
        <v>0</v>
      </c>
      <c r="AN152" s="847">
        <f t="shared" si="178"/>
        <v>0</v>
      </c>
      <c r="AO152" s="848">
        <f t="shared" si="141"/>
        <v>0</v>
      </c>
      <c r="AQ152" s="846">
        <f t="shared" si="142"/>
        <v>51</v>
      </c>
      <c r="AR152" s="847">
        <f t="shared" si="126"/>
        <v>0</v>
      </c>
      <c r="AS152" s="847">
        <f t="shared" si="107"/>
        <v>0</v>
      </c>
      <c r="AT152" s="847">
        <f t="shared" si="108"/>
        <v>0</v>
      </c>
      <c r="AU152" s="847">
        <f t="shared" si="109"/>
        <v>0</v>
      </c>
      <c r="AV152" s="847">
        <f t="shared" si="110"/>
        <v>0</v>
      </c>
      <c r="AW152" s="847">
        <f t="shared" si="111"/>
        <v>0</v>
      </c>
      <c r="AX152" s="847">
        <f t="shared" si="112"/>
        <v>0</v>
      </c>
      <c r="AY152" s="839">
        <f t="shared" si="113"/>
        <v>0</v>
      </c>
      <c r="AZ152" s="839">
        <f t="shared" si="114"/>
        <v>0</v>
      </c>
      <c r="BA152" s="839">
        <f t="shared" si="115"/>
        <v>0</v>
      </c>
      <c r="BB152" s="847">
        <f t="shared" si="116"/>
        <v>0</v>
      </c>
      <c r="BC152" s="848">
        <f t="shared" si="116"/>
        <v>0</v>
      </c>
    </row>
    <row r="153" spans="1:55" x14ac:dyDescent="0.25">
      <c r="A153" s="863">
        <f t="shared" si="127"/>
        <v>52</v>
      </c>
      <c r="B153" s="847">
        <f t="shared" si="143"/>
        <v>0</v>
      </c>
      <c r="C153" s="847">
        <f t="shared" si="167"/>
        <v>0</v>
      </c>
      <c r="D153" s="847">
        <f t="shared" si="168"/>
        <v>0</v>
      </c>
      <c r="E153" s="847">
        <f t="shared" si="161"/>
        <v>0</v>
      </c>
      <c r="F153" s="847">
        <f t="shared" si="155"/>
        <v>0</v>
      </c>
      <c r="G153" s="847">
        <f t="shared" si="164"/>
        <v>0</v>
      </c>
      <c r="H153" s="847">
        <f t="shared" si="169"/>
        <v>0</v>
      </c>
      <c r="I153" s="839">
        <f t="shared" si="118"/>
        <v>0</v>
      </c>
      <c r="J153" s="839">
        <f t="shared" si="119"/>
        <v>0</v>
      </c>
      <c r="K153" s="839">
        <f t="shared" si="158"/>
        <v>0</v>
      </c>
      <c r="L153" s="847">
        <f t="shared" si="170"/>
        <v>0</v>
      </c>
      <c r="M153" s="848">
        <f t="shared" si="131"/>
        <v>0</v>
      </c>
      <c r="N153" s="841"/>
      <c r="O153" s="863">
        <f t="shared" si="132"/>
        <v>52</v>
      </c>
      <c r="P153" s="847">
        <f t="shared" si="146"/>
        <v>0</v>
      </c>
      <c r="Q153" s="847">
        <f t="shared" si="171"/>
        <v>0</v>
      </c>
      <c r="R153" s="847">
        <f t="shared" si="172"/>
        <v>0</v>
      </c>
      <c r="S153" s="847">
        <f t="shared" si="162"/>
        <v>0</v>
      </c>
      <c r="T153" s="847">
        <f t="shared" si="156"/>
        <v>0</v>
      </c>
      <c r="U153" s="847">
        <f t="shared" si="165"/>
        <v>0</v>
      </c>
      <c r="V153" s="847">
        <f t="shared" si="173"/>
        <v>0</v>
      </c>
      <c r="W153" s="839">
        <f t="shared" si="121"/>
        <v>0</v>
      </c>
      <c r="X153" s="839">
        <f t="shared" si="122"/>
        <v>0</v>
      </c>
      <c r="Y153" s="839">
        <f t="shared" si="159"/>
        <v>0</v>
      </c>
      <c r="Z153" s="847">
        <f t="shared" si="174"/>
        <v>0</v>
      </c>
      <c r="AA153" s="848">
        <f t="shared" si="136"/>
        <v>0</v>
      </c>
      <c r="AB153" s="841"/>
      <c r="AC153" s="863">
        <f t="shared" si="137"/>
        <v>52</v>
      </c>
      <c r="AD153" s="847">
        <f t="shared" si="149"/>
        <v>0</v>
      </c>
      <c r="AE153" s="847">
        <f t="shared" si="175"/>
        <v>0</v>
      </c>
      <c r="AF153" s="847">
        <f t="shared" si="176"/>
        <v>0</v>
      </c>
      <c r="AG153" s="847">
        <f t="shared" si="163"/>
        <v>0</v>
      </c>
      <c r="AH153" s="847">
        <f t="shared" si="157"/>
        <v>0</v>
      </c>
      <c r="AI153" s="847">
        <f t="shared" si="166"/>
        <v>0</v>
      </c>
      <c r="AJ153" s="847">
        <f t="shared" si="177"/>
        <v>0</v>
      </c>
      <c r="AK153" s="839">
        <f t="shared" si="124"/>
        <v>0</v>
      </c>
      <c r="AL153" s="839">
        <f t="shared" si="125"/>
        <v>0</v>
      </c>
      <c r="AM153" s="839">
        <f t="shared" si="160"/>
        <v>0</v>
      </c>
      <c r="AN153" s="847">
        <f t="shared" si="178"/>
        <v>0</v>
      </c>
      <c r="AO153" s="848">
        <f t="shared" si="141"/>
        <v>0</v>
      </c>
      <c r="AQ153" s="846">
        <f t="shared" si="142"/>
        <v>52</v>
      </c>
      <c r="AR153" s="847">
        <f t="shared" si="126"/>
        <v>0</v>
      </c>
      <c r="AS153" s="847">
        <f t="shared" si="107"/>
        <v>0</v>
      </c>
      <c r="AT153" s="847">
        <f t="shared" si="108"/>
        <v>0</v>
      </c>
      <c r="AU153" s="847">
        <f t="shared" si="109"/>
        <v>0</v>
      </c>
      <c r="AV153" s="847">
        <f t="shared" si="110"/>
        <v>0</v>
      </c>
      <c r="AW153" s="847">
        <f t="shared" si="111"/>
        <v>0</v>
      </c>
      <c r="AX153" s="847">
        <f t="shared" si="112"/>
        <v>0</v>
      </c>
      <c r="AY153" s="839">
        <f t="shared" si="113"/>
        <v>0</v>
      </c>
      <c r="AZ153" s="839">
        <f t="shared" si="114"/>
        <v>0</v>
      </c>
      <c r="BA153" s="839">
        <f t="shared" si="115"/>
        <v>0</v>
      </c>
      <c r="BB153" s="847">
        <f t="shared" si="116"/>
        <v>0</v>
      </c>
      <c r="BC153" s="848">
        <f t="shared" si="116"/>
        <v>0</v>
      </c>
    </row>
    <row r="154" spans="1:55" x14ac:dyDescent="0.25">
      <c r="A154" s="863">
        <f t="shared" si="127"/>
        <v>53</v>
      </c>
      <c r="B154" s="847">
        <f t="shared" si="143"/>
        <v>0</v>
      </c>
      <c r="C154" s="847">
        <f t="shared" si="167"/>
        <v>0</v>
      </c>
      <c r="D154" s="847">
        <f t="shared" si="168"/>
        <v>0</v>
      </c>
      <c r="E154" s="847">
        <f t="shared" si="161"/>
        <v>0</v>
      </c>
      <c r="F154" s="847">
        <f t="shared" si="155"/>
        <v>0</v>
      </c>
      <c r="G154" s="847">
        <f t="shared" si="164"/>
        <v>0</v>
      </c>
      <c r="H154" s="847">
        <f t="shared" si="169"/>
        <v>0</v>
      </c>
      <c r="I154" s="839">
        <f t="shared" si="118"/>
        <v>0</v>
      </c>
      <c r="J154" s="839">
        <f t="shared" si="119"/>
        <v>0</v>
      </c>
      <c r="K154" s="839">
        <f t="shared" si="158"/>
        <v>0</v>
      </c>
      <c r="L154" s="847">
        <f t="shared" si="170"/>
        <v>0</v>
      </c>
      <c r="M154" s="848">
        <f t="shared" si="131"/>
        <v>0</v>
      </c>
      <c r="N154" s="841"/>
      <c r="O154" s="863">
        <f t="shared" si="132"/>
        <v>53</v>
      </c>
      <c r="P154" s="847">
        <f t="shared" si="146"/>
        <v>0</v>
      </c>
      <c r="Q154" s="847">
        <f t="shared" si="171"/>
        <v>0</v>
      </c>
      <c r="R154" s="847">
        <f t="shared" si="172"/>
        <v>0</v>
      </c>
      <c r="S154" s="847">
        <f t="shared" si="162"/>
        <v>0</v>
      </c>
      <c r="T154" s="847">
        <f t="shared" si="156"/>
        <v>0</v>
      </c>
      <c r="U154" s="847">
        <f t="shared" si="165"/>
        <v>0</v>
      </c>
      <c r="V154" s="847">
        <f t="shared" si="173"/>
        <v>0</v>
      </c>
      <c r="W154" s="839">
        <f t="shared" si="121"/>
        <v>0</v>
      </c>
      <c r="X154" s="839">
        <f t="shared" si="122"/>
        <v>0</v>
      </c>
      <c r="Y154" s="839">
        <f t="shared" si="159"/>
        <v>0</v>
      </c>
      <c r="Z154" s="847">
        <f t="shared" si="174"/>
        <v>0</v>
      </c>
      <c r="AA154" s="848">
        <f t="shared" si="136"/>
        <v>0</v>
      </c>
      <c r="AB154" s="841"/>
      <c r="AC154" s="863">
        <f t="shared" si="137"/>
        <v>53</v>
      </c>
      <c r="AD154" s="847">
        <f t="shared" si="149"/>
        <v>0</v>
      </c>
      <c r="AE154" s="847">
        <f t="shared" si="175"/>
        <v>0</v>
      </c>
      <c r="AF154" s="847">
        <f t="shared" si="176"/>
        <v>0</v>
      </c>
      <c r="AG154" s="847">
        <f t="shared" si="163"/>
        <v>0</v>
      </c>
      <c r="AH154" s="847">
        <f t="shared" si="157"/>
        <v>0</v>
      </c>
      <c r="AI154" s="847">
        <f t="shared" si="166"/>
        <v>0</v>
      </c>
      <c r="AJ154" s="847">
        <f t="shared" si="177"/>
        <v>0</v>
      </c>
      <c r="AK154" s="839">
        <f t="shared" si="124"/>
        <v>0</v>
      </c>
      <c r="AL154" s="839">
        <f t="shared" si="125"/>
        <v>0</v>
      </c>
      <c r="AM154" s="839">
        <f t="shared" si="160"/>
        <v>0</v>
      </c>
      <c r="AN154" s="847">
        <f t="shared" si="178"/>
        <v>0</v>
      </c>
      <c r="AO154" s="848">
        <f t="shared" si="141"/>
        <v>0</v>
      </c>
      <c r="AQ154" s="846">
        <f t="shared" si="142"/>
        <v>53</v>
      </c>
      <c r="AR154" s="847">
        <f t="shared" si="126"/>
        <v>0</v>
      </c>
      <c r="AS154" s="847">
        <f t="shared" si="107"/>
        <v>0</v>
      </c>
      <c r="AT154" s="847">
        <f t="shared" si="108"/>
        <v>0</v>
      </c>
      <c r="AU154" s="847">
        <f t="shared" si="109"/>
        <v>0</v>
      </c>
      <c r="AV154" s="847">
        <f t="shared" si="110"/>
        <v>0</v>
      </c>
      <c r="AW154" s="847">
        <f t="shared" si="111"/>
        <v>0</v>
      </c>
      <c r="AX154" s="847">
        <f t="shared" si="112"/>
        <v>0</v>
      </c>
      <c r="AY154" s="839">
        <f t="shared" si="113"/>
        <v>0</v>
      </c>
      <c r="AZ154" s="839">
        <f t="shared" si="114"/>
        <v>0</v>
      </c>
      <c r="BA154" s="839">
        <f t="shared" si="115"/>
        <v>0</v>
      </c>
      <c r="BB154" s="847">
        <f t="shared" si="116"/>
        <v>0</v>
      </c>
      <c r="BC154" s="848">
        <f t="shared" si="116"/>
        <v>0</v>
      </c>
    </row>
    <row r="155" spans="1:55" x14ac:dyDescent="0.25">
      <c r="A155" s="863">
        <f t="shared" si="127"/>
        <v>54</v>
      </c>
      <c r="B155" s="847">
        <f t="shared" si="143"/>
        <v>0</v>
      </c>
      <c r="C155" s="847">
        <f t="shared" si="167"/>
        <v>0</v>
      </c>
      <c r="D155" s="847">
        <f t="shared" si="168"/>
        <v>0</v>
      </c>
      <c r="E155" s="847">
        <f t="shared" si="161"/>
        <v>0</v>
      </c>
      <c r="F155" s="847">
        <f t="shared" si="155"/>
        <v>0</v>
      </c>
      <c r="G155" s="847">
        <f t="shared" si="164"/>
        <v>0</v>
      </c>
      <c r="H155" s="847">
        <f t="shared" si="169"/>
        <v>0</v>
      </c>
      <c r="I155" s="839">
        <f t="shared" si="118"/>
        <v>0</v>
      </c>
      <c r="J155" s="839">
        <f t="shared" si="119"/>
        <v>0</v>
      </c>
      <c r="K155" s="839">
        <f t="shared" si="158"/>
        <v>0</v>
      </c>
      <c r="L155" s="847">
        <f t="shared" si="170"/>
        <v>0</v>
      </c>
      <c r="M155" s="848">
        <f>M154-E155</f>
        <v>0</v>
      </c>
      <c r="N155" s="841"/>
      <c r="O155" s="863">
        <f t="shared" si="132"/>
        <v>54</v>
      </c>
      <c r="P155" s="847">
        <f t="shared" si="146"/>
        <v>0</v>
      </c>
      <c r="Q155" s="847">
        <f t="shared" si="171"/>
        <v>0</v>
      </c>
      <c r="R155" s="847">
        <f t="shared" si="172"/>
        <v>0</v>
      </c>
      <c r="S155" s="847">
        <f t="shared" si="162"/>
        <v>0</v>
      </c>
      <c r="T155" s="847">
        <f t="shared" si="156"/>
        <v>0</v>
      </c>
      <c r="U155" s="847">
        <f t="shared" si="165"/>
        <v>0</v>
      </c>
      <c r="V155" s="847">
        <f t="shared" si="173"/>
        <v>0</v>
      </c>
      <c r="W155" s="839">
        <f t="shared" si="121"/>
        <v>0</v>
      </c>
      <c r="X155" s="839">
        <f t="shared" si="122"/>
        <v>0</v>
      </c>
      <c r="Y155" s="839">
        <f t="shared" si="159"/>
        <v>0</v>
      </c>
      <c r="Z155" s="847">
        <f t="shared" si="174"/>
        <v>0</v>
      </c>
      <c r="AA155" s="848">
        <f>AA154-S155</f>
        <v>0</v>
      </c>
      <c r="AB155" s="841"/>
      <c r="AC155" s="863">
        <f t="shared" si="137"/>
        <v>54</v>
      </c>
      <c r="AD155" s="847">
        <f t="shared" si="149"/>
        <v>0</v>
      </c>
      <c r="AE155" s="847">
        <f t="shared" si="175"/>
        <v>0</v>
      </c>
      <c r="AF155" s="847">
        <f t="shared" si="176"/>
        <v>0</v>
      </c>
      <c r="AG155" s="847">
        <f t="shared" si="163"/>
        <v>0</v>
      </c>
      <c r="AH155" s="847">
        <f t="shared" si="157"/>
        <v>0</v>
      </c>
      <c r="AI155" s="847">
        <f t="shared" si="166"/>
        <v>0</v>
      </c>
      <c r="AJ155" s="847">
        <f t="shared" si="177"/>
        <v>0</v>
      </c>
      <c r="AK155" s="839">
        <f t="shared" si="124"/>
        <v>0</v>
      </c>
      <c r="AL155" s="839">
        <f t="shared" si="125"/>
        <v>0</v>
      </c>
      <c r="AM155" s="839">
        <f t="shared" si="160"/>
        <v>0</v>
      </c>
      <c r="AN155" s="847">
        <f t="shared" si="178"/>
        <v>0</v>
      </c>
      <c r="AO155" s="848">
        <f>AO154-AG155</f>
        <v>0</v>
      </c>
      <c r="AQ155" s="846">
        <f t="shared" si="142"/>
        <v>54</v>
      </c>
      <c r="AR155" s="847">
        <f t="shared" si="126"/>
        <v>0</v>
      </c>
      <c r="AS155" s="847">
        <f t="shared" si="107"/>
        <v>0</v>
      </c>
      <c r="AT155" s="847">
        <f t="shared" si="108"/>
        <v>0</v>
      </c>
      <c r="AU155" s="847">
        <f t="shared" si="109"/>
        <v>0</v>
      </c>
      <c r="AV155" s="847">
        <f t="shared" si="110"/>
        <v>0</v>
      </c>
      <c r="AW155" s="847">
        <f t="shared" si="111"/>
        <v>0</v>
      </c>
      <c r="AX155" s="847">
        <f t="shared" si="112"/>
        <v>0</v>
      </c>
      <c r="AY155" s="839">
        <f t="shared" si="113"/>
        <v>0</v>
      </c>
      <c r="AZ155" s="839">
        <f t="shared" si="114"/>
        <v>0</v>
      </c>
      <c r="BA155" s="839">
        <f t="shared" si="115"/>
        <v>0</v>
      </c>
      <c r="BB155" s="847">
        <f t="shared" si="116"/>
        <v>0</v>
      </c>
      <c r="BC155" s="848">
        <f t="shared" si="116"/>
        <v>0</v>
      </c>
    </row>
    <row r="156" spans="1:55" x14ac:dyDescent="0.25">
      <c r="A156" s="863">
        <f t="shared" si="127"/>
        <v>55</v>
      </c>
      <c r="B156" s="847">
        <f t="shared" si="143"/>
        <v>0</v>
      </c>
      <c r="C156" s="847">
        <f t="shared" si="167"/>
        <v>0</v>
      </c>
      <c r="D156" s="847">
        <f t="shared" si="168"/>
        <v>0</v>
      </c>
      <c r="E156" s="847">
        <f t="shared" si="161"/>
        <v>0</v>
      </c>
      <c r="F156" s="847">
        <f t="shared" si="155"/>
        <v>0</v>
      </c>
      <c r="G156" s="847">
        <f t="shared" si="164"/>
        <v>0</v>
      </c>
      <c r="H156" s="847">
        <f t="shared" si="169"/>
        <v>0</v>
      </c>
      <c r="I156" s="839">
        <f t="shared" si="118"/>
        <v>0</v>
      </c>
      <c r="J156" s="839">
        <f t="shared" si="119"/>
        <v>0</v>
      </c>
      <c r="K156" s="839">
        <f t="shared" si="158"/>
        <v>0</v>
      </c>
      <c r="L156" s="847">
        <f t="shared" si="170"/>
        <v>0</v>
      </c>
      <c r="M156" s="848">
        <f t="shared" ref="M156:M173" si="179">M155-E156</f>
        <v>0</v>
      </c>
      <c r="N156" s="841"/>
      <c r="O156" s="863">
        <f t="shared" si="132"/>
        <v>55</v>
      </c>
      <c r="P156" s="847">
        <f t="shared" si="146"/>
        <v>0</v>
      </c>
      <c r="Q156" s="847">
        <f t="shared" si="171"/>
        <v>0</v>
      </c>
      <c r="R156" s="847">
        <f t="shared" si="172"/>
        <v>0</v>
      </c>
      <c r="S156" s="847">
        <f t="shared" si="162"/>
        <v>0</v>
      </c>
      <c r="T156" s="847">
        <f t="shared" si="156"/>
        <v>0</v>
      </c>
      <c r="U156" s="847">
        <f t="shared" si="165"/>
        <v>0</v>
      </c>
      <c r="V156" s="847">
        <f t="shared" si="173"/>
        <v>0</v>
      </c>
      <c r="W156" s="839">
        <f t="shared" si="121"/>
        <v>0</v>
      </c>
      <c r="X156" s="839">
        <f t="shared" si="122"/>
        <v>0</v>
      </c>
      <c r="Y156" s="839">
        <f t="shared" si="159"/>
        <v>0</v>
      </c>
      <c r="Z156" s="847">
        <f t="shared" si="174"/>
        <v>0</v>
      </c>
      <c r="AA156" s="848">
        <f t="shared" ref="AA156:AA173" si="180">AA155-S156</f>
        <v>0</v>
      </c>
      <c r="AB156" s="841"/>
      <c r="AC156" s="863">
        <f t="shared" si="137"/>
        <v>55</v>
      </c>
      <c r="AD156" s="847">
        <f t="shared" si="149"/>
        <v>0</v>
      </c>
      <c r="AE156" s="847">
        <f t="shared" si="175"/>
        <v>0</v>
      </c>
      <c r="AF156" s="847">
        <f t="shared" si="176"/>
        <v>0</v>
      </c>
      <c r="AG156" s="847">
        <f t="shared" si="163"/>
        <v>0</v>
      </c>
      <c r="AH156" s="847">
        <f t="shared" si="157"/>
        <v>0</v>
      </c>
      <c r="AI156" s="847">
        <f t="shared" si="166"/>
        <v>0</v>
      </c>
      <c r="AJ156" s="847">
        <f t="shared" si="177"/>
        <v>0</v>
      </c>
      <c r="AK156" s="839">
        <f t="shared" si="124"/>
        <v>0</v>
      </c>
      <c r="AL156" s="839">
        <f t="shared" si="125"/>
        <v>0</v>
      </c>
      <c r="AM156" s="839">
        <f t="shared" si="160"/>
        <v>0</v>
      </c>
      <c r="AN156" s="847">
        <f t="shared" si="178"/>
        <v>0</v>
      </c>
      <c r="AO156" s="848">
        <f t="shared" ref="AO156:AO173" si="181">AO155-AG156</f>
        <v>0</v>
      </c>
      <c r="AQ156" s="846">
        <f t="shared" si="142"/>
        <v>55</v>
      </c>
      <c r="AR156" s="847">
        <f t="shared" si="126"/>
        <v>0</v>
      </c>
      <c r="AS156" s="847">
        <f t="shared" si="107"/>
        <v>0</v>
      </c>
      <c r="AT156" s="847">
        <f t="shared" si="108"/>
        <v>0</v>
      </c>
      <c r="AU156" s="847">
        <f t="shared" si="109"/>
        <v>0</v>
      </c>
      <c r="AV156" s="847">
        <f t="shared" si="110"/>
        <v>0</v>
      </c>
      <c r="AW156" s="847">
        <f t="shared" si="111"/>
        <v>0</v>
      </c>
      <c r="AX156" s="847">
        <f t="shared" si="112"/>
        <v>0</v>
      </c>
      <c r="AY156" s="839">
        <f t="shared" si="113"/>
        <v>0</v>
      </c>
      <c r="AZ156" s="839">
        <f t="shared" si="114"/>
        <v>0</v>
      </c>
      <c r="BA156" s="839">
        <f t="shared" si="115"/>
        <v>0</v>
      </c>
      <c r="BB156" s="847">
        <f t="shared" si="116"/>
        <v>0</v>
      </c>
      <c r="BC156" s="848">
        <f t="shared" si="116"/>
        <v>0</v>
      </c>
    </row>
    <row r="157" spans="1:55" x14ac:dyDescent="0.25">
      <c r="A157" s="863">
        <f t="shared" si="127"/>
        <v>56</v>
      </c>
      <c r="B157" s="847">
        <f t="shared" si="143"/>
        <v>0</v>
      </c>
      <c r="C157" s="847">
        <f t="shared" si="167"/>
        <v>0</v>
      </c>
      <c r="D157" s="847">
        <f t="shared" si="168"/>
        <v>0</v>
      </c>
      <c r="E157" s="847">
        <f t="shared" si="161"/>
        <v>0</v>
      </c>
      <c r="F157" s="847">
        <f t="shared" si="155"/>
        <v>0</v>
      </c>
      <c r="G157" s="847">
        <f t="shared" si="164"/>
        <v>0</v>
      </c>
      <c r="H157" s="847">
        <f t="shared" si="169"/>
        <v>0</v>
      </c>
      <c r="I157" s="839">
        <f t="shared" si="118"/>
        <v>0</v>
      </c>
      <c r="J157" s="839">
        <f t="shared" si="119"/>
        <v>0</v>
      </c>
      <c r="K157" s="839">
        <f t="shared" si="158"/>
        <v>0</v>
      </c>
      <c r="L157" s="847">
        <f t="shared" si="170"/>
        <v>0</v>
      </c>
      <c r="M157" s="848">
        <f t="shared" si="179"/>
        <v>0</v>
      </c>
      <c r="N157" s="841"/>
      <c r="O157" s="863">
        <f t="shared" si="132"/>
        <v>56</v>
      </c>
      <c r="P157" s="847">
        <f t="shared" si="146"/>
        <v>0</v>
      </c>
      <c r="Q157" s="847">
        <f t="shared" si="171"/>
        <v>0</v>
      </c>
      <c r="R157" s="847">
        <f t="shared" si="172"/>
        <v>0</v>
      </c>
      <c r="S157" s="847">
        <f t="shared" si="162"/>
        <v>0</v>
      </c>
      <c r="T157" s="847">
        <f t="shared" si="156"/>
        <v>0</v>
      </c>
      <c r="U157" s="847">
        <f t="shared" si="165"/>
        <v>0</v>
      </c>
      <c r="V157" s="847">
        <f t="shared" si="173"/>
        <v>0</v>
      </c>
      <c r="W157" s="839">
        <f t="shared" si="121"/>
        <v>0</v>
      </c>
      <c r="X157" s="839">
        <f t="shared" si="122"/>
        <v>0</v>
      </c>
      <c r="Y157" s="839">
        <f t="shared" si="159"/>
        <v>0</v>
      </c>
      <c r="Z157" s="847">
        <f t="shared" si="174"/>
        <v>0</v>
      </c>
      <c r="AA157" s="848">
        <f t="shared" si="180"/>
        <v>0</v>
      </c>
      <c r="AB157" s="841"/>
      <c r="AC157" s="863">
        <f t="shared" si="137"/>
        <v>56</v>
      </c>
      <c r="AD157" s="847">
        <f t="shared" si="149"/>
        <v>0</v>
      </c>
      <c r="AE157" s="847">
        <f t="shared" si="175"/>
        <v>0</v>
      </c>
      <c r="AF157" s="847">
        <f t="shared" si="176"/>
        <v>0</v>
      </c>
      <c r="AG157" s="847">
        <f t="shared" si="163"/>
        <v>0</v>
      </c>
      <c r="AH157" s="847">
        <f t="shared" si="157"/>
        <v>0</v>
      </c>
      <c r="AI157" s="847">
        <f t="shared" si="166"/>
        <v>0</v>
      </c>
      <c r="AJ157" s="847">
        <f t="shared" si="177"/>
        <v>0</v>
      </c>
      <c r="AK157" s="839">
        <f t="shared" si="124"/>
        <v>0</v>
      </c>
      <c r="AL157" s="839">
        <f t="shared" si="125"/>
        <v>0</v>
      </c>
      <c r="AM157" s="839">
        <f t="shared" si="160"/>
        <v>0</v>
      </c>
      <c r="AN157" s="847">
        <f t="shared" si="178"/>
        <v>0</v>
      </c>
      <c r="AO157" s="848">
        <f t="shared" si="181"/>
        <v>0</v>
      </c>
      <c r="AQ157" s="846">
        <f t="shared" si="142"/>
        <v>56</v>
      </c>
      <c r="AR157" s="847">
        <f t="shared" si="126"/>
        <v>0</v>
      </c>
      <c r="AS157" s="847">
        <f t="shared" si="107"/>
        <v>0</v>
      </c>
      <c r="AT157" s="847">
        <f t="shared" si="108"/>
        <v>0</v>
      </c>
      <c r="AU157" s="847">
        <f t="shared" si="109"/>
        <v>0</v>
      </c>
      <c r="AV157" s="847">
        <f t="shared" si="110"/>
        <v>0</v>
      </c>
      <c r="AW157" s="847">
        <f t="shared" si="111"/>
        <v>0</v>
      </c>
      <c r="AX157" s="847">
        <f t="shared" si="112"/>
        <v>0</v>
      </c>
      <c r="AY157" s="839">
        <f t="shared" si="113"/>
        <v>0</v>
      </c>
      <c r="AZ157" s="839">
        <f t="shared" si="114"/>
        <v>0</v>
      </c>
      <c r="BA157" s="839">
        <f t="shared" si="115"/>
        <v>0</v>
      </c>
      <c r="BB157" s="847">
        <f t="shared" si="116"/>
        <v>0</v>
      </c>
      <c r="BC157" s="848">
        <f t="shared" si="116"/>
        <v>0</v>
      </c>
    </row>
    <row r="158" spans="1:55" x14ac:dyDescent="0.25">
      <c r="A158" s="863">
        <f t="shared" si="127"/>
        <v>57</v>
      </c>
      <c r="B158" s="847">
        <f t="shared" si="143"/>
        <v>0</v>
      </c>
      <c r="C158" s="847">
        <f t="shared" si="167"/>
        <v>0</v>
      </c>
      <c r="D158" s="847">
        <f t="shared" si="168"/>
        <v>0</v>
      </c>
      <c r="E158" s="847">
        <f t="shared" si="161"/>
        <v>0</v>
      </c>
      <c r="F158" s="847">
        <f t="shared" si="155"/>
        <v>0</v>
      </c>
      <c r="G158" s="847">
        <f t="shared" si="164"/>
        <v>0</v>
      </c>
      <c r="H158" s="847">
        <f t="shared" si="169"/>
        <v>0</v>
      </c>
      <c r="I158" s="839">
        <f t="shared" si="118"/>
        <v>0</v>
      </c>
      <c r="J158" s="839">
        <f t="shared" si="119"/>
        <v>0</v>
      </c>
      <c r="K158" s="839">
        <f t="shared" si="158"/>
        <v>0</v>
      </c>
      <c r="L158" s="847">
        <f t="shared" si="170"/>
        <v>0</v>
      </c>
      <c r="M158" s="848">
        <f t="shared" si="179"/>
        <v>0</v>
      </c>
      <c r="N158" s="841"/>
      <c r="O158" s="863">
        <f t="shared" si="132"/>
        <v>57</v>
      </c>
      <c r="P158" s="847">
        <f t="shared" si="146"/>
        <v>0</v>
      </c>
      <c r="Q158" s="847">
        <f t="shared" si="171"/>
        <v>0</v>
      </c>
      <c r="R158" s="847">
        <f t="shared" si="172"/>
        <v>0</v>
      </c>
      <c r="S158" s="847">
        <f t="shared" si="162"/>
        <v>0</v>
      </c>
      <c r="T158" s="847">
        <f t="shared" si="156"/>
        <v>0</v>
      </c>
      <c r="U158" s="847">
        <f t="shared" si="165"/>
        <v>0</v>
      </c>
      <c r="V158" s="847">
        <f t="shared" si="173"/>
        <v>0</v>
      </c>
      <c r="W158" s="839">
        <f t="shared" si="121"/>
        <v>0</v>
      </c>
      <c r="X158" s="839">
        <f t="shared" si="122"/>
        <v>0</v>
      </c>
      <c r="Y158" s="839">
        <f t="shared" si="159"/>
        <v>0</v>
      </c>
      <c r="Z158" s="847">
        <f t="shared" si="174"/>
        <v>0</v>
      </c>
      <c r="AA158" s="848">
        <f t="shared" si="180"/>
        <v>0</v>
      </c>
      <c r="AB158" s="841"/>
      <c r="AC158" s="863">
        <f t="shared" si="137"/>
        <v>57</v>
      </c>
      <c r="AD158" s="847">
        <f t="shared" si="149"/>
        <v>0</v>
      </c>
      <c r="AE158" s="847">
        <f t="shared" si="175"/>
        <v>0</v>
      </c>
      <c r="AF158" s="847">
        <f t="shared" si="176"/>
        <v>0</v>
      </c>
      <c r="AG158" s="847">
        <f t="shared" si="163"/>
        <v>0</v>
      </c>
      <c r="AH158" s="847">
        <f t="shared" si="157"/>
        <v>0</v>
      </c>
      <c r="AI158" s="847">
        <f t="shared" si="166"/>
        <v>0</v>
      </c>
      <c r="AJ158" s="847">
        <f t="shared" si="177"/>
        <v>0</v>
      </c>
      <c r="AK158" s="839">
        <f t="shared" si="124"/>
        <v>0</v>
      </c>
      <c r="AL158" s="839">
        <f t="shared" si="125"/>
        <v>0</v>
      </c>
      <c r="AM158" s="839">
        <f t="shared" si="160"/>
        <v>0</v>
      </c>
      <c r="AN158" s="847">
        <f t="shared" si="178"/>
        <v>0</v>
      </c>
      <c r="AO158" s="848">
        <f t="shared" si="181"/>
        <v>0</v>
      </c>
      <c r="AQ158" s="846">
        <f t="shared" si="142"/>
        <v>57</v>
      </c>
      <c r="AR158" s="847">
        <f t="shared" si="126"/>
        <v>0</v>
      </c>
      <c r="AS158" s="847">
        <f t="shared" si="107"/>
        <v>0</v>
      </c>
      <c r="AT158" s="847">
        <f t="shared" si="108"/>
        <v>0</v>
      </c>
      <c r="AU158" s="847">
        <f t="shared" si="109"/>
        <v>0</v>
      </c>
      <c r="AV158" s="847">
        <f t="shared" si="110"/>
        <v>0</v>
      </c>
      <c r="AW158" s="847">
        <f t="shared" si="111"/>
        <v>0</v>
      </c>
      <c r="AX158" s="847">
        <f t="shared" si="112"/>
        <v>0</v>
      </c>
      <c r="AY158" s="839">
        <f t="shared" si="113"/>
        <v>0</v>
      </c>
      <c r="AZ158" s="839">
        <f t="shared" si="114"/>
        <v>0</v>
      </c>
      <c r="BA158" s="839">
        <f t="shared" si="115"/>
        <v>0</v>
      </c>
      <c r="BB158" s="847">
        <f t="shared" si="116"/>
        <v>0</v>
      </c>
      <c r="BC158" s="848">
        <f t="shared" si="116"/>
        <v>0</v>
      </c>
    </row>
    <row r="159" spans="1:55" x14ac:dyDescent="0.25">
      <c r="A159" s="863">
        <f t="shared" si="127"/>
        <v>58</v>
      </c>
      <c r="B159" s="847">
        <f t="shared" si="143"/>
        <v>0</v>
      </c>
      <c r="C159" s="847">
        <f t="shared" si="167"/>
        <v>0</v>
      </c>
      <c r="D159" s="847">
        <f t="shared" si="168"/>
        <v>0</v>
      </c>
      <c r="E159" s="847">
        <f t="shared" si="161"/>
        <v>0</v>
      </c>
      <c r="F159" s="847">
        <f t="shared" si="155"/>
        <v>0</v>
      </c>
      <c r="G159" s="847">
        <f t="shared" si="164"/>
        <v>0</v>
      </c>
      <c r="H159" s="847">
        <f t="shared" si="169"/>
        <v>0</v>
      </c>
      <c r="I159" s="839">
        <f t="shared" si="118"/>
        <v>0</v>
      </c>
      <c r="J159" s="839">
        <f t="shared" si="119"/>
        <v>0</v>
      </c>
      <c r="K159" s="839">
        <f t="shared" si="158"/>
        <v>0</v>
      </c>
      <c r="L159" s="847">
        <f t="shared" si="170"/>
        <v>0</v>
      </c>
      <c r="M159" s="848">
        <f t="shared" si="179"/>
        <v>0</v>
      </c>
      <c r="N159" s="841"/>
      <c r="O159" s="863">
        <f t="shared" si="132"/>
        <v>58</v>
      </c>
      <c r="P159" s="847">
        <f t="shared" si="146"/>
        <v>0</v>
      </c>
      <c r="Q159" s="847">
        <f t="shared" si="171"/>
        <v>0</v>
      </c>
      <c r="R159" s="847">
        <f t="shared" si="172"/>
        <v>0</v>
      </c>
      <c r="S159" s="847">
        <f t="shared" si="162"/>
        <v>0</v>
      </c>
      <c r="T159" s="847">
        <f t="shared" si="156"/>
        <v>0</v>
      </c>
      <c r="U159" s="847">
        <f t="shared" si="165"/>
        <v>0</v>
      </c>
      <c r="V159" s="847">
        <f t="shared" si="173"/>
        <v>0</v>
      </c>
      <c r="W159" s="839">
        <f t="shared" si="121"/>
        <v>0</v>
      </c>
      <c r="X159" s="839">
        <f t="shared" si="122"/>
        <v>0</v>
      </c>
      <c r="Y159" s="839">
        <f t="shared" si="159"/>
        <v>0</v>
      </c>
      <c r="Z159" s="847">
        <f t="shared" si="174"/>
        <v>0</v>
      </c>
      <c r="AA159" s="848">
        <f t="shared" si="180"/>
        <v>0</v>
      </c>
      <c r="AB159" s="841"/>
      <c r="AC159" s="863">
        <f t="shared" si="137"/>
        <v>58</v>
      </c>
      <c r="AD159" s="847">
        <f t="shared" si="149"/>
        <v>0</v>
      </c>
      <c r="AE159" s="847">
        <f t="shared" si="175"/>
        <v>0</v>
      </c>
      <c r="AF159" s="847">
        <f t="shared" si="176"/>
        <v>0</v>
      </c>
      <c r="AG159" s="847">
        <f t="shared" si="163"/>
        <v>0</v>
      </c>
      <c r="AH159" s="847">
        <f t="shared" si="157"/>
        <v>0</v>
      </c>
      <c r="AI159" s="847">
        <f t="shared" si="166"/>
        <v>0</v>
      </c>
      <c r="AJ159" s="847">
        <f t="shared" si="177"/>
        <v>0</v>
      </c>
      <c r="AK159" s="839">
        <f t="shared" si="124"/>
        <v>0</v>
      </c>
      <c r="AL159" s="839">
        <f t="shared" si="125"/>
        <v>0</v>
      </c>
      <c r="AM159" s="839">
        <f t="shared" si="160"/>
        <v>0</v>
      </c>
      <c r="AN159" s="847">
        <f t="shared" si="178"/>
        <v>0</v>
      </c>
      <c r="AO159" s="848">
        <f t="shared" si="181"/>
        <v>0</v>
      </c>
      <c r="AQ159" s="846">
        <f t="shared" si="142"/>
        <v>58</v>
      </c>
      <c r="AR159" s="847">
        <f t="shared" si="126"/>
        <v>0</v>
      </c>
      <c r="AS159" s="847">
        <f t="shared" si="107"/>
        <v>0</v>
      </c>
      <c r="AT159" s="847">
        <f t="shared" si="108"/>
        <v>0</v>
      </c>
      <c r="AU159" s="847">
        <f t="shared" si="109"/>
        <v>0</v>
      </c>
      <c r="AV159" s="847">
        <f t="shared" si="110"/>
        <v>0</v>
      </c>
      <c r="AW159" s="847">
        <f t="shared" si="111"/>
        <v>0</v>
      </c>
      <c r="AX159" s="847">
        <f t="shared" si="112"/>
        <v>0</v>
      </c>
      <c r="AY159" s="839">
        <f t="shared" si="113"/>
        <v>0</v>
      </c>
      <c r="AZ159" s="839">
        <f t="shared" si="114"/>
        <v>0</v>
      </c>
      <c r="BA159" s="839">
        <f t="shared" si="115"/>
        <v>0</v>
      </c>
      <c r="BB159" s="847">
        <f t="shared" si="116"/>
        <v>0</v>
      </c>
      <c r="BC159" s="848">
        <f t="shared" si="116"/>
        <v>0</v>
      </c>
    </row>
    <row r="160" spans="1:55" x14ac:dyDescent="0.25">
      <c r="A160" s="863">
        <f t="shared" si="127"/>
        <v>59</v>
      </c>
      <c r="B160" s="847">
        <f t="shared" si="143"/>
        <v>0</v>
      </c>
      <c r="C160" s="847">
        <f t="shared" si="167"/>
        <v>0</v>
      </c>
      <c r="D160" s="847">
        <f t="shared" si="168"/>
        <v>0</v>
      </c>
      <c r="E160" s="847">
        <f t="shared" si="161"/>
        <v>0</v>
      </c>
      <c r="F160" s="847">
        <f t="shared" si="155"/>
        <v>0</v>
      </c>
      <c r="G160" s="847">
        <f t="shared" si="164"/>
        <v>0</v>
      </c>
      <c r="H160" s="847">
        <f t="shared" si="169"/>
        <v>0</v>
      </c>
      <c r="I160" s="839">
        <f t="shared" si="118"/>
        <v>0</v>
      </c>
      <c r="J160" s="839">
        <f t="shared" si="119"/>
        <v>0</v>
      </c>
      <c r="K160" s="839">
        <f t="shared" si="158"/>
        <v>0</v>
      </c>
      <c r="L160" s="847">
        <f t="shared" si="170"/>
        <v>0</v>
      </c>
      <c r="M160" s="848">
        <f t="shared" si="179"/>
        <v>0</v>
      </c>
      <c r="N160" s="841"/>
      <c r="O160" s="863">
        <f t="shared" si="132"/>
        <v>59</v>
      </c>
      <c r="P160" s="847">
        <f t="shared" si="146"/>
        <v>0</v>
      </c>
      <c r="Q160" s="847">
        <f t="shared" si="171"/>
        <v>0</v>
      </c>
      <c r="R160" s="847">
        <f t="shared" si="172"/>
        <v>0</v>
      </c>
      <c r="S160" s="847">
        <f t="shared" si="162"/>
        <v>0</v>
      </c>
      <c r="T160" s="847">
        <f t="shared" si="156"/>
        <v>0</v>
      </c>
      <c r="U160" s="847">
        <f t="shared" si="165"/>
        <v>0</v>
      </c>
      <c r="V160" s="847">
        <f t="shared" si="173"/>
        <v>0</v>
      </c>
      <c r="W160" s="839">
        <f t="shared" si="121"/>
        <v>0</v>
      </c>
      <c r="X160" s="839">
        <f t="shared" si="122"/>
        <v>0</v>
      </c>
      <c r="Y160" s="839">
        <f t="shared" si="159"/>
        <v>0</v>
      </c>
      <c r="Z160" s="847">
        <f t="shared" si="174"/>
        <v>0</v>
      </c>
      <c r="AA160" s="848">
        <f t="shared" si="180"/>
        <v>0</v>
      </c>
      <c r="AB160" s="841"/>
      <c r="AC160" s="863">
        <f t="shared" si="137"/>
        <v>59</v>
      </c>
      <c r="AD160" s="847">
        <f t="shared" si="149"/>
        <v>0</v>
      </c>
      <c r="AE160" s="847">
        <f t="shared" si="175"/>
        <v>0</v>
      </c>
      <c r="AF160" s="847">
        <f t="shared" si="176"/>
        <v>0</v>
      </c>
      <c r="AG160" s="847">
        <f t="shared" si="163"/>
        <v>0</v>
      </c>
      <c r="AH160" s="847">
        <f t="shared" si="157"/>
        <v>0</v>
      </c>
      <c r="AI160" s="847">
        <f t="shared" si="166"/>
        <v>0</v>
      </c>
      <c r="AJ160" s="847">
        <f t="shared" si="177"/>
        <v>0</v>
      </c>
      <c r="AK160" s="839">
        <f t="shared" si="124"/>
        <v>0</v>
      </c>
      <c r="AL160" s="839">
        <f t="shared" si="125"/>
        <v>0</v>
      </c>
      <c r="AM160" s="839">
        <f t="shared" si="160"/>
        <v>0</v>
      </c>
      <c r="AN160" s="847">
        <f t="shared" si="178"/>
        <v>0</v>
      </c>
      <c r="AO160" s="848">
        <f t="shared" si="181"/>
        <v>0</v>
      </c>
      <c r="AQ160" s="846">
        <f t="shared" si="142"/>
        <v>59</v>
      </c>
      <c r="AR160" s="847">
        <f t="shared" si="126"/>
        <v>0</v>
      </c>
      <c r="AS160" s="847">
        <f t="shared" si="107"/>
        <v>0</v>
      </c>
      <c r="AT160" s="847">
        <f t="shared" si="108"/>
        <v>0</v>
      </c>
      <c r="AU160" s="847">
        <f t="shared" si="109"/>
        <v>0</v>
      </c>
      <c r="AV160" s="847">
        <f t="shared" si="110"/>
        <v>0</v>
      </c>
      <c r="AW160" s="847">
        <f t="shared" si="111"/>
        <v>0</v>
      </c>
      <c r="AX160" s="847">
        <f t="shared" si="112"/>
        <v>0</v>
      </c>
      <c r="AY160" s="839">
        <f t="shared" si="113"/>
        <v>0</v>
      </c>
      <c r="AZ160" s="839">
        <f t="shared" si="114"/>
        <v>0</v>
      </c>
      <c r="BA160" s="839">
        <f t="shared" si="115"/>
        <v>0</v>
      </c>
      <c r="BB160" s="847">
        <f t="shared" si="116"/>
        <v>0</v>
      </c>
      <c r="BC160" s="848">
        <f t="shared" si="116"/>
        <v>0</v>
      </c>
    </row>
    <row r="161" spans="1:55" x14ac:dyDescent="0.25">
      <c r="A161" s="863">
        <f t="shared" si="127"/>
        <v>60</v>
      </c>
      <c r="B161" s="847">
        <f t="shared" si="143"/>
        <v>0</v>
      </c>
      <c r="C161" s="847">
        <f t="shared" si="167"/>
        <v>0</v>
      </c>
      <c r="D161" s="847">
        <f t="shared" si="168"/>
        <v>0</v>
      </c>
      <c r="E161" s="847">
        <f t="shared" si="161"/>
        <v>0</v>
      </c>
      <c r="F161" s="847">
        <f t="shared" si="155"/>
        <v>0</v>
      </c>
      <c r="G161" s="847">
        <f t="shared" si="164"/>
        <v>0</v>
      </c>
      <c r="H161" s="847">
        <f t="shared" si="169"/>
        <v>0</v>
      </c>
      <c r="I161" s="839">
        <f t="shared" si="118"/>
        <v>0</v>
      </c>
      <c r="J161" s="839">
        <f t="shared" si="119"/>
        <v>0</v>
      </c>
      <c r="K161" s="839">
        <f t="shared" si="158"/>
        <v>0</v>
      </c>
      <c r="L161" s="847">
        <f t="shared" si="170"/>
        <v>0</v>
      </c>
      <c r="M161" s="848">
        <f t="shared" si="179"/>
        <v>0</v>
      </c>
      <c r="N161" s="841"/>
      <c r="O161" s="863">
        <f t="shared" si="132"/>
        <v>60</v>
      </c>
      <c r="P161" s="847">
        <f t="shared" si="146"/>
        <v>0</v>
      </c>
      <c r="Q161" s="847">
        <f t="shared" si="171"/>
        <v>0</v>
      </c>
      <c r="R161" s="847">
        <f t="shared" si="172"/>
        <v>0</v>
      </c>
      <c r="S161" s="847">
        <f t="shared" si="162"/>
        <v>0</v>
      </c>
      <c r="T161" s="847">
        <f t="shared" si="156"/>
        <v>0</v>
      </c>
      <c r="U161" s="847">
        <f t="shared" si="165"/>
        <v>0</v>
      </c>
      <c r="V161" s="847">
        <f t="shared" si="173"/>
        <v>0</v>
      </c>
      <c r="W161" s="839">
        <f t="shared" si="121"/>
        <v>0</v>
      </c>
      <c r="X161" s="839">
        <f t="shared" si="122"/>
        <v>0</v>
      </c>
      <c r="Y161" s="839">
        <f t="shared" si="159"/>
        <v>0</v>
      </c>
      <c r="Z161" s="847">
        <f t="shared" si="174"/>
        <v>0</v>
      </c>
      <c r="AA161" s="848">
        <f t="shared" si="180"/>
        <v>0</v>
      </c>
      <c r="AB161" s="841"/>
      <c r="AC161" s="863">
        <f t="shared" si="137"/>
        <v>60</v>
      </c>
      <c r="AD161" s="847">
        <f t="shared" si="149"/>
        <v>0</v>
      </c>
      <c r="AE161" s="847">
        <f t="shared" si="175"/>
        <v>0</v>
      </c>
      <c r="AF161" s="847">
        <f t="shared" si="176"/>
        <v>0</v>
      </c>
      <c r="AG161" s="847">
        <f t="shared" si="163"/>
        <v>0</v>
      </c>
      <c r="AH161" s="847">
        <f t="shared" si="157"/>
        <v>0</v>
      </c>
      <c r="AI161" s="847">
        <f t="shared" si="166"/>
        <v>0</v>
      </c>
      <c r="AJ161" s="847">
        <f t="shared" si="177"/>
        <v>0</v>
      </c>
      <c r="AK161" s="839">
        <f t="shared" si="124"/>
        <v>0</v>
      </c>
      <c r="AL161" s="839">
        <f t="shared" si="125"/>
        <v>0</v>
      </c>
      <c r="AM161" s="839">
        <f t="shared" si="160"/>
        <v>0</v>
      </c>
      <c r="AN161" s="847">
        <f t="shared" si="178"/>
        <v>0</v>
      </c>
      <c r="AO161" s="848">
        <f t="shared" si="181"/>
        <v>0</v>
      </c>
      <c r="AQ161" s="846">
        <f t="shared" si="142"/>
        <v>60</v>
      </c>
      <c r="AR161" s="847">
        <f t="shared" si="126"/>
        <v>0</v>
      </c>
      <c r="AS161" s="847">
        <f t="shared" si="107"/>
        <v>0</v>
      </c>
      <c r="AT161" s="847">
        <f t="shared" si="108"/>
        <v>0</v>
      </c>
      <c r="AU161" s="847">
        <f t="shared" si="109"/>
        <v>0</v>
      </c>
      <c r="AV161" s="847">
        <f t="shared" si="110"/>
        <v>0</v>
      </c>
      <c r="AW161" s="847">
        <f t="shared" si="111"/>
        <v>0</v>
      </c>
      <c r="AX161" s="847">
        <f t="shared" si="112"/>
        <v>0</v>
      </c>
      <c r="AY161" s="839">
        <f t="shared" si="113"/>
        <v>0</v>
      </c>
      <c r="AZ161" s="839">
        <f t="shared" si="114"/>
        <v>0</v>
      </c>
      <c r="BA161" s="839">
        <f t="shared" si="115"/>
        <v>0</v>
      </c>
      <c r="BB161" s="847">
        <f t="shared" si="116"/>
        <v>0</v>
      </c>
      <c r="BC161" s="848">
        <f t="shared" si="116"/>
        <v>0</v>
      </c>
    </row>
    <row r="162" spans="1:55" x14ac:dyDescent="0.25">
      <c r="A162" s="863">
        <f t="shared" si="127"/>
        <v>61</v>
      </c>
      <c r="B162" s="847">
        <f t="shared" si="143"/>
        <v>0</v>
      </c>
      <c r="C162" s="847">
        <f t="shared" si="167"/>
        <v>0</v>
      </c>
      <c r="D162" s="847">
        <f t="shared" si="168"/>
        <v>0</v>
      </c>
      <c r="E162" s="847">
        <f t="shared" si="161"/>
        <v>0</v>
      </c>
      <c r="F162" s="847">
        <f t="shared" si="155"/>
        <v>0</v>
      </c>
      <c r="G162" s="847">
        <f t="shared" si="164"/>
        <v>0</v>
      </c>
      <c r="H162" s="847">
        <f t="shared" si="169"/>
        <v>0</v>
      </c>
      <c r="I162" s="839">
        <f t="shared" si="118"/>
        <v>0</v>
      </c>
      <c r="J162" s="839">
        <f t="shared" si="119"/>
        <v>0</v>
      </c>
      <c r="K162" s="839">
        <f t="shared" si="158"/>
        <v>0</v>
      </c>
      <c r="L162" s="847">
        <f t="shared" si="170"/>
        <v>0</v>
      </c>
      <c r="M162" s="848">
        <f t="shared" si="179"/>
        <v>0</v>
      </c>
      <c r="N162" s="841"/>
      <c r="O162" s="863">
        <f t="shared" si="132"/>
        <v>61</v>
      </c>
      <c r="P162" s="847">
        <f t="shared" si="146"/>
        <v>0</v>
      </c>
      <c r="Q162" s="847">
        <f t="shared" si="171"/>
        <v>0</v>
      </c>
      <c r="R162" s="847">
        <f t="shared" si="172"/>
        <v>0</v>
      </c>
      <c r="S162" s="847">
        <f t="shared" si="162"/>
        <v>0</v>
      </c>
      <c r="T162" s="847">
        <f t="shared" si="156"/>
        <v>0</v>
      </c>
      <c r="U162" s="847">
        <f t="shared" si="165"/>
        <v>0</v>
      </c>
      <c r="V162" s="847">
        <f t="shared" si="173"/>
        <v>0</v>
      </c>
      <c r="W162" s="839">
        <f t="shared" si="121"/>
        <v>0</v>
      </c>
      <c r="X162" s="839">
        <f t="shared" si="122"/>
        <v>0</v>
      </c>
      <c r="Y162" s="839">
        <f t="shared" si="159"/>
        <v>0</v>
      </c>
      <c r="Z162" s="847">
        <f t="shared" si="174"/>
        <v>0</v>
      </c>
      <c r="AA162" s="848">
        <f t="shared" si="180"/>
        <v>0</v>
      </c>
      <c r="AB162" s="841"/>
      <c r="AC162" s="863">
        <f t="shared" si="137"/>
        <v>61</v>
      </c>
      <c r="AD162" s="847">
        <f t="shared" si="149"/>
        <v>0</v>
      </c>
      <c r="AE162" s="847">
        <f t="shared" si="175"/>
        <v>0</v>
      </c>
      <c r="AF162" s="847">
        <f t="shared" si="176"/>
        <v>0</v>
      </c>
      <c r="AG162" s="847">
        <f t="shared" si="163"/>
        <v>0</v>
      </c>
      <c r="AH162" s="847">
        <f t="shared" si="157"/>
        <v>0</v>
      </c>
      <c r="AI162" s="847">
        <f t="shared" si="166"/>
        <v>0</v>
      </c>
      <c r="AJ162" s="847">
        <f t="shared" si="177"/>
        <v>0</v>
      </c>
      <c r="AK162" s="839">
        <f t="shared" si="124"/>
        <v>0</v>
      </c>
      <c r="AL162" s="839">
        <f t="shared" si="125"/>
        <v>0</v>
      </c>
      <c r="AM162" s="839">
        <f t="shared" si="160"/>
        <v>0</v>
      </c>
      <c r="AN162" s="847">
        <f t="shared" si="178"/>
        <v>0</v>
      </c>
      <c r="AO162" s="848">
        <f t="shared" si="181"/>
        <v>0</v>
      </c>
      <c r="AQ162" s="846">
        <f t="shared" si="142"/>
        <v>61</v>
      </c>
      <c r="AR162" s="847">
        <f t="shared" si="126"/>
        <v>0</v>
      </c>
      <c r="AS162" s="847">
        <f t="shared" si="107"/>
        <v>0</v>
      </c>
      <c r="AT162" s="847">
        <f t="shared" si="108"/>
        <v>0</v>
      </c>
      <c r="AU162" s="847">
        <f t="shared" si="109"/>
        <v>0</v>
      </c>
      <c r="AV162" s="847">
        <f t="shared" si="110"/>
        <v>0</v>
      </c>
      <c r="AW162" s="847">
        <f t="shared" si="111"/>
        <v>0</v>
      </c>
      <c r="AX162" s="847">
        <f t="shared" si="112"/>
        <v>0</v>
      </c>
      <c r="AY162" s="839">
        <f t="shared" si="113"/>
        <v>0</v>
      </c>
      <c r="AZ162" s="839">
        <f t="shared" si="114"/>
        <v>0</v>
      </c>
      <c r="BA162" s="839">
        <f t="shared" si="115"/>
        <v>0</v>
      </c>
      <c r="BB162" s="847">
        <f t="shared" si="116"/>
        <v>0</v>
      </c>
      <c r="BC162" s="848">
        <f t="shared" si="116"/>
        <v>0</v>
      </c>
    </row>
    <row r="163" spans="1:55" x14ac:dyDescent="0.25">
      <c r="A163" s="863">
        <f t="shared" si="127"/>
        <v>62</v>
      </c>
      <c r="B163" s="847">
        <f t="shared" si="143"/>
        <v>0</v>
      </c>
      <c r="C163" s="847">
        <f t="shared" si="167"/>
        <v>0</v>
      </c>
      <c r="D163" s="847">
        <f t="shared" si="168"/>
        <v>0</v>
      </c>
      <c r="E163" s="847">
        <f t="shared" si="161"/>
        <v>0</v>
      </c>
      <c r="F163" s="847">
        <f t="shared" si="155"/>
        <v>0</v>
      </c>
      <c r="G163" s="847">
        <f t="shared" si="164"/>
        <v>0</v>
      </c>
      <c r="H163" s="847">
        <f t="shared" si="169"/>
        <v>0</v>
      </c>
      <c r="I163" s="839">
        <f t="shared" si="118"/>
        <v>0</v>
      </c>
      <c r="J163" s="839">
        <f t="shared" si="119"/>
        <v>0</v>
      </c>
      <c r="K163" s="839">
        <f t="shared" si="158"/>
        <v>0</v>
      </c>
      <c r="L163" s="847">
        <f t="shared" si="170"/>
        <v>0</v>
      </c>
      <c r="M163" s="848">
        <f t="shared" si="179"/>
        <v>0</v>
      </c>
      <c r="N163" s="841"/>
      <c r="O163" s="863">
        <f t="shared" si="132"/>
        <v>62</v>
      </c>
      <c r="P163" s="847">
        <f t="shared" si="146"/>
        <v>0</v>
      </c>
      <c r="Q163" s="847">
        <f t="shared" si="171"/>
        <v>0</v>
      </c>
      <c r="R163" s="847">
        <f t="shared" si="172"/>
        <v>0</v>
      </c>
      <c r="S163" s="847">
        <f t="shared" si="162"/>
        <v>0</v>
      </c>
      <c r="T163" s="847">
        <f t="shared" si="156"/>
        <v>0</v>
      </c>
      <c r="U163" s="847">
        <f t="shared" si="165"/>
        <v>0</v>
      </c>
      <c r="V163" s="847">
        <f t="shared" si="173"/>
        <v>0</v>
      </c>
      <c r="W163" s="839">
        <f t="shared" si="121"/>
        <v>0</v>
      </c>
      <c r="X163" s="839">
        <f t="shared" si="122"/>
        <v>0</v>
      </c>
      <c r="Y163" s="839">
        <f t="shared" si="159"/>
        <v>0</v>
      </c>
      <c r="Z163" s="847">
        <f t="shared" si="174"/>
        <v>0</v>
      </c>
      <c r="AA163" s="848">
        <f t="shared" si="180"/>
        <v>0</v>
      </c>
      <c r="AB163" s="841"/>
      <c r="AC163" s="863">
        <f t="shared" si="137"/>
        <v>62</v>
      </c>
      <c r="AD163" s="847">
        <f t="shared" si="149"/>
        <v>0</v>
      </c>
      <c r="AE163" s="847">
        <f t="shared" si="175"/>
        <v>0</v>
      </c>
      <c r="AF163" s="847">
        <f t="shared" si="176"/>
        <v>0</v>
      </c>
      <c r="AG163" s="847">
        <f t="shared" si="163"/>
        <v>0</v>
      </c>
      <c r="AH163" s="847">
        <f t="shared" si="157"/>
        <v>0</v>
      </c>
      <c r="AI163" s="847">
        <f t="shared" si="166"/>
        <v>0</v>
      </c>
      <c r="AJ163" s="847">
        <f t="shared" si="177"/>
        <v>0</v>
      </c>
      <c r="AK163" s="839">
        <f t="shared" si="124"/>
        <v>0</v>
      </c>
      <c r="AL163" s="839">
        <f t="shared" si="125"/>
        <v>0</v>
      </c>
      <c r="AM163" s="839">
        <f t="shared" si="160"/>
        <v>0</v>
      </c>
      <c r="AN163" s="847">
        <f t="shared" si="178"/>
        <v>0</v>
      </c>
      <c r="AO163" s="848">
        <f t="shared" si="181"/>
        <v>0</v>
      </c>
      <c r="AQ163" s="846">
        <f t="shared" si="142"/>
        <v>62</v>
      </c>
      <c r="AR163" s="847">
        <f t="shared" si="126"/>
        <v>0</v>
      </c>
      <c r="AS163" s="847">
        <f t="shared" si="107"/>
        <v>0</v>
      </c>
      <c r="AT163" s="847">
        <f t="shared" si="108"/>
        <v>0</v>
      </c>
      <c r="AU163" s="847">
        <f t="shared" si="109"/>
        <v>0</v>
      </c>
      <c r="AV163" s="847">
        <f t="shared" si="110"/>
        <v>0</v>
      </c>
      <c r="AW163" s="847">
        <f t="shared" si="111"/>
        <v>0</v>
      </c>
      <c r="AX163" s="847">
        <f t="shared" si="112"/>
        <v>0</v>
      </c>
      <c r="AY163" s="839">
        <f t="shared" si="113"/>
        <v>0</v>
      </c>
      <c r="AZ163" s="839">
        <f t="shared" si="114"/>
        <v>0</v>
      </c>
      <c r="BA163" s="839">
        <f t="shared" si="115"/>
        <v>0</v>
      </c>
      <c r="BB163" s="847">
        <f t="shared" si="116"/>
        <v>0</v>
      </c>
      <c r="BC163" s="848">
        <f t="shared" si="116"/>
        <v>0</v>
      </c>
    </row>
    <row r="164" spans="1:55" x14ac:dyDescent="0.25">
      <c r="A164" s="863">
        <f t="shared" si="127"/>
        <v>63</v>
      </c>
      <c r="B164" s="847">
        <f t="shared" si="143"/>
        <v>0</v>
      </c>
      <c r="C164" s="847">
        <f t="shared" si="167"/>
        <v>0</v>
      </c>
      <c r="D164" s="847">
        <f t="shared" si="168"/>
        <v>0</v>
      </c>
      <c r="E164" s="847">
        <f t="shared" si="161"/>
        <v>0</v>
      </c>
      <c r="F164" s="847">
        <f t="shared" si="155"/>
        <v>0</v>
      </c>
      <c r="G164" s="847">
        <f t="shared" si="164"/>
        <v>0</v>
      </c>
      <c r="H164" s="847">
        <f t="shared" si="169"/>
        <v>0</v>
      </c>
      <c r="I164" s="839">
        <f t="shared" si="118"/>
        <v>0</v>
      </c>
      <c r="J164" s="839">
        <f t="shared" si="119"/>
        <v>0</v>
      </c>
      <c r="K164" s="839">
        <f t="shared" si="158"/>
        <v>0</v>
      </c>
      <c r="L164" s="847">
        <f t="shared" si="170"/>
        <v>0</v>
      </c>
      <c r="M164" s="848">
        <f t="shared" si="179"/>
        <v>0</v>
      </c>
      <c r="N164" s="841"/>
      <c r="O164" s="863">
        <f t="shared" si="132"/>
        <v>63</v>
      </c>
      <c r="P164" s="847">
        <f t="shared" si="146"/>
        <v>0</v>
      </c>
      <c r="Q164" s="847">
        <f t="shared" si="171"/>
        <v>0</v>
      </c>
      <c r="R164" s="847">
        <f t="shared" si="172"/>
        <v>0</v>
      </c>
      <c r="S164" s="847">
        <f t="shared" si="162"/>
        <v>0</v>
      </c>
      <c r="T164" s="847">
        <f t="shared" si="156"/>
        <v>0</v>
      </c>
      <c r="U164" s="847">
        <f t="shared" si="165"/>
        <v>0</v>
      </c>
      <c r="V164" s="847">
        <f t="shared" si="173"/>
        <v>0</v>
      </c>
      <c r="W164" s="839">
        <f t="shared" si="121"/>
        <v>0</v>
      </c>
      <c r="X164" s="839">
        <f t="shared" si="122"/>
        <v>0</v>
      </c>
      <c r="Y164" s="839">
        <f t="shared" si="159"/>
        <v>0</v>
      </c>
      <c r="Z164" s="847">
        <f t="shared" si="174"/>
        <v>0</v>
      </c>
      <c r="AA164" s="848">
        <f t="shared" si="180"/>
        <v>0</v>
      </c>
      <c r="AB164" s="841"/>
      <c r="AC164" s="863">
        <f t="shared" si="137"/>
        <v>63</v>
      </c>
      <c r="AD164" s="847">
        <f t="shared" si="149"/>
        <v>0</v>
      </c>
      <c r="AE164" s="847">
        <f t="shared" si="175"/>
        <v>0</v>
      </c>
      <c r="AF164" s="847">
        <f t="shared" si="176"/>
        <v>0</v>
      </c>
      <c r="AG164" s="847">
        <f t="shared" si="163"/>
        <v>0</v>
      </c>
      <c r="AH164" s="847">
        <f t="shared" si="157"/>
        <v>0</v>
      </c>
      <c r="AI164" s="847">
        <f t="shared" si="166"/>
        <v>0</v>
      </c>
      <c r="AJ164" s="847">
        <f t="shared" si="177"/>
        <v>0</v>
      </c>
      <c r="AK164" s="839">
        <f t="shared" si="124"/>
        <v>0</v>
      </c>
      <c r="AL164" s="839">
        <f t="shared" si="125"/>
        <v>0</v>
      </c>
      <c r="AM164" s="839">
        <f t="shared" si="160"/>
        <v>0</v>
      </c>
      <c r="AN164" s="847">
        <f t="shared" si="178"/>
        <v>0</v>
      </c>
      <c r="AO164" s="848">
        <f t="shared" si="181"/>
        <v>0</v>
      </c>
      <c r="AQ164" s="846">
        <f t="shared" si="142"/>
        <v>63</v>
      </c>
      <c r="AR164" s="847">
        <f t="shared" si="126"/>
        <v>0</v>
      </c>
      <c r="AS164" s="847">
        <f t="shared" si="107"/>
        <v>0</v>
      </c>
      <c r="AT164" s="847">
        <f t="shared" si="108"/>
        <v>0</v>
      </c>
      <c r="AU164" s="847">
        <f t="shared" si="109"/>
        <v>0</v>
      </c>
      <c r="AV164" s="847">
        <f t="shared" si="110"/>
        <v>0</v>
      </c>
      <c r="AW164" s="847">
        <f t="shared" si="111"/>
        <v>0</v>
      </c>
      <c r="AX164" s="847">
        <f t="shared" si="112"/>
        <v>0</v>
      </c>
      <c r="AY164" s="839">
        <f t="shared" si="113"/>
        <v>0</v>
      </c>
      <c r="AZ164" s="839">
        <f t="shared" si="114"/>
        <v>0</v>
      </c>
      <c r="BA164" s="839">
        <f t="shared" si="115"/>
        <v>0</v>
      </c>
      <c r="BB164" s="847">
        <f t="shared" si="116"/>
        <v>0</v>
      </c>
      <c r="BC164" s="848">
        <f t="shared" si="116"/>
        <v>0</v>
      </c>
    </row>
    <row r="165" spans="1:55" x14ac:dyDescent="0.25">
      <c r="A165" s="863">
        <f t="shared" si="127"/>
        <v>64</v>
      </c>
      <c r="B165" s="847">
        <f t="shared" si="143"/>
        <v>0</v>
      </c>
      <c r="C165" s="847">
        <f t="shared" si="167"/>
        <v>0</v>
      </c>
      <c r="D165" s="847">
        <f t="shared" si="168"/>
        <v>0</v>
      </c>
      <c r="E165" s="847">
        <f t="shared" si="161"/>
        <v>0</v>
      </c>
      <c r="F165" s="847">
        <f t="shared" si="155"/>
        <v>0</v>
      </c>
      <c r="G165" s="847">
        <f t="shared" si="164"/>
        <v>0</v>
      </c>
      <c r="H165" s="847">
        <f t="shared" si="169"/>
        <v>0</v>
      </c>
      <c r="I165" s="839">
        <f t="shared" si="118"/>
        <v>0</v>
      </c>
      <c r="J165" s="839">
        <f t="shared" si="119"/>
        <v>0</v>
      </c>
      <c r="K165" s="839">
        <f t="shared" si="158"/>
        <v>0</v>
      </c>
      <c r="L165" s="847">
        <f t="shared" si="170"/>
        <v>0</v>
      </c>
      <c r="M165" s="848">
        <f t="shared" si="179"/>
        <v>0</v>
      </c>
      <c r="N165" s="841"/>
      <c r="O165" s="863">
        <f t="shared" si="132"/>
        <v>64</v>
      </c>
      <c r="P165" s="847">
        <f t="shared" si="146"/>
        <v>0</v>
      </c>
      <c r="Q165" s="847">
        <f t="shared" si="171"/>
        <v>0</v>
      </c>
      <c r="R165" s="847">
        <f t="shared" si="172"/>
        <v>0</v>
      </c>
      <c r="S165" s="847">
        <f t="shared" si="162"/>
        <v>0</v>
      </c>
      <c r="T165" s="847">
        <f t="shared" si="156"/>
        <v>0</v>
      </c>
      <c r="U165" s="847">
        <f t="shared" si="165"/>
        <v>0</v>
      </c>
      <c r="V165" s="847">
        <f t="shared" si="173"/>
        <v>0</v>
      </c>
      <c r="W165" s="839">
        <f t="shared" si="121"/>
        <v>0</v>
      </c>
      <c r="X165" s="839">
        <f t="shared" si="122"/>
        <v>0</v>
      </c>
      <c r="Y165" s="839">
        <f t="shared" si="159"/>
        <v>0</v>
      </c>
      <c r="Z165" s="847">
        <f t="shared" si="174"/>
        <v>0</v>
      </c>
      <c r="AA165" s="848">
        <f t="shared" si="180"/>
        <v>0</v>
      </c>
      <c r="AB165" s="841"/>
      <c r="AC165" s="863">
        <f t="shared" si="137"/>
        <v>64</v>
      </c>
      <c r="AD165" s="847">
        <f t="shared" si="149"/>
        <v>0</v>
      </c>
      <c r="AE165" s="847">
        <f t="shared" si="175"/>
        <v>0</v>
      </c>
      <c r="AF165" s="847">
        <f t="shared" si="176"/>
        <v>0</v>
      </c>
      <c r="AG165" s="847">
        <f t="shared" si="163"/>
        <v>0</v>
      </c>
      <c r="AH165" s="847">
        <f t="shared" si="157"/>
        <v>0</v>
      </c>
      <c r="AI165" s="847">
        <f t="shared" si="166"/>
        <v>0</v>
      </c>
      <c r="AJ165" s="847">
        <f t="shared" si="177"/>
        <v>0</v>
      </c>
      <c r="AK165" s="839">
        <f t="shared" si="124"/>
        <v>0</v>
      </c>
      <c r="AL165" s="839">
        <f t="shared" si="125"/>
        <v>0</v>
      </c>
      <c r="AM165" s="839">
        <f t="shared" si="160"/>
        <v>0</v>
      </c>
      <c r="AN165" s="847">
        <f t="shared" si="178"/>
        <v>0</v>
      </c>
      <c r="AO165" s="848">
        <f t="shared" si="181"/>
        <v>0</v>
      </c>
      <c r="AQ165" s="846">
        <f t="shared" si="142"/>
        <v>64</v>
      </c>
      <c r="AR165" s="847">
        <f t="shared" si="126"/>
        <v>0</v>
      </c>
      <c r="AS165" s="847">
        <f t="shared" si="107"/>
        <v>0</v>
      </c>
      <c r="AT165" s="847">
        <f t="shared" si="108"/>
        <v>0</v>
      </c>
      <c r="AU165" s="847">
        <f t="shared" si="109"/>
        <v>0</v>
      </c>
      <c r="AV165" s="847">
        <f t="shared" si="110"/>
        <v>0</v>
      </c>
      <c r="AW165" s="847">
        <f t="shared" si="111"/>
        <v>0</v>
      </c>
      <c r="AX165" s="847">
        <f t="shared" si="112"/>
        <v>0</v>
      </c>
      <c r="AY165" s="839">
        <f t="shared" si="113"/>
        <v>0</v>
      </c>
      <c r="AZ165" s="839">
        <f t="shared" si="114"/>
        <v>0</v>
      </c>
      <c r="BA165" s="839">
        <f t="shared" si="115"/>
        <v>0</v>
      </c>
      <c r="BB165" s="847">
        <f t="shared" si="116"/>
        <v>0</v>
      </c>
      <c r="BC165" s="848">
        <f t="shared" si="116"/>
        <v>0</v>
      </c>
    </row>
    <row r="166" spans="1:55" x14ac:dyDescent="0.25">
      <c r="A166" s="863">
        <f t="shared" si="127"/>
        <v>65</v>
      </c>
      <c r="B166" s="847">
        <f t="shared" si="143"/>
        <v>0</v>
      </c>
      <c r="C166" s="847">
        <f t="shared" si="167"/>
        <v>0</v>
      </c>
      <c r="D166" s="847">
        <f t="shared" si="168"/>
        <v>0</v>
      </c>
      <c r="E166" s="847">
        <f t="shared" si="161"/>
        <v>0</v>
      </c>
      <c r="F166" s="847">
        <f t="shared" si="155"/>
        <v>0</v>
      </c>
      <c r="G166" s="847">
        <f t="shared" si="164"/>
        <v>0</v>
      </c>
      <c r="H166" s="847">
        <f t="shared" si="169"/>
        <v>0</v>
      </c>
      <c r="I166" s="839">
        <f t="shared" si="118"/>
        <v>0</v>
      </c>
      <c r="J166" s="839">
        <f t="shared" si="119"/>
        <v>0</v>
      </c>
      <c r="K166" s="839">
        <f t="shared" ref="K166:K173" si="182">IF(C$97*12&gt;A166,(C$97*12-A166)*C$98,0)</f>
        <v>0</v>
      </c>
      <c r="L166" s="847">
        <f t="shared" si="170"/>
        <v>0</v>
      </c>
      <c r="M166" s="848">
        <f t="shared" si="179"/>
        <v>0</v>
      </c>
      <c r="N166" s="841"/>
      <c r="O166" s="863">
        <f t="shared" si="132"/>
        <v>65</v>
      </c>
      <c r="P166" s="847">
        <f t="shared" si="146"/>
        <v>0</v>
      </c>
      <c r="Q166" s="847">
        <f t="shared" si="171"/>
        <v>0</v>
      </c>
      <c r="R166" s="847">
        <f t="shared" si="172"/>
        <v>0</v>
      </c>
      <c r="S166" s="847">
        <f t="shared" si="162"/>
        <v>0</v>
      </c>
      <c r="T166" s="847">
        <f t="shared" si="156"/>
        <v>0</v>
      </c>
      <c r="U166" s="847">
        <f t="shared" si="165"/>
        <v>0</v>
      </c>
      <c r="V166" s="847">
        <f t="shared" si="173"/>
        <v>0</v>
      </c>
      <c r="W166" s="839">
        <f t="shared" si="121"/>
        <v>0</v>
      </c>
      <c r="X166" s="839">
        <f t="shared" si="122"/>
        <v>0</v>
      </c>
      <c r="Y166" s="839">
        <f t="shared" ref="Y166:Y173" si="183">IF(Q$11*12&gt;O166,(Q$11*12-O166)*Q$98,0)</f>
        <v>0</v>
      </c>
      <c r="Z166" s="847">
        <f t="shared" si="174"/>
        <v>0</v>
      </c>
      <c r="AA166" s="848">
        <f t="shared" si="180"/>
        <v>0</v>
      </c>
      <c r="AB166" s="841"/>
      <c r="AC166" s="863">
        <f t="shared" si="137"/>
        <v>65</v>
      </c>
      <c r="AD166" s="847">
        <f t="shared" si="149"/>
        <v>0</v>
      </c>
      <c r="AE166" s="847">
        <f t="shared" si="175"/>
        <v>0</v>
      </c>
      <c r="AF166" s="847">
        <f t="shared" si="176"/>
        <v>0</v>
      </c>
      <c r="AG166" s="847">
        <f t="shared" si="163"/>
        <v>0</v>
      </c>
      <c r="AH166" s="847">
        <f t="shared" si="157"/>
        <v>0</v>
      </c>
      <c r="AI166" s="847">
        <f t="shared" si="166"/>
        <v>0</v>
      </c>
      <c r="AJ166" s="847">
        <f t="shared" si="177"/>
        <v>0</v>
      </c>
      <c r="AK166" s="839">
        <f t="shared" si="124"/>
        <v>0</v>
      </c>
      <c r="AL166" s="839">
        <f t="shared" si="125"/>
        <v>0</v>
      </c>
      <c r="AM166" s="839">
        <f t="shared" ref="AM166:AM173" si="184">IF(AE$11*12&gt;AC166,(AE$11*12-AC166)*AE$98,0)</f>
        <v>0</v>
      </c>
      <c r="AN166" s="847">
        <f t="shared" si="178"/>
        <v>0</v>
      </c>
      <c r="AO166" s="848">
        <f t="shared" si="181"/>
        <v>0</v>
      </c>
      <c r="AQ166" s="846">
        <f t="shared" si="142"/>
        <v>65</v>
      </c>
      <c r="AR166" s="847">
        <f t="shared" si="126"/>
        <v>0</v>
      </c>
      <c r="AS166" s="847">
        <f t="shared" ref="AS166:AS173" si="185">C166+Q166+AE166</f>
        <v>0</v>
      </c>
      <c r="AT166" s="847">
        <f t="shared" ref="AT166:AT173" si="186">D166+R166+AF166</f>
        <v>0</v>
      </c>
      <c r="AU166" s="847">
        <f t="shared" ref="AU166:AU173" si="187">E166+S166+AG166</f>
        <v>0</v>
      </c>
      <c r="AV166" s="847">
        <f t="shared" ref="AV166:AV173" si="188">F166+T166+AH166</f>
        <v>0</v>
      </c>
      <c r="AW166" s="847">
        <f t="shared" ref="AW166:AW173" si="189">G166+U166+AI166</f>
        <v>0</v>
      </c>
      <c r="AX166" s="847">
        <f t="shared" ref="AX166:AX173" si="190">H166+V166+AJ166</f>
        <v>0</v>
      </c>
      <c r="AY166" s="839">
        <f t="shared" ref="AY166:AY173" si="191">I166+W166+AK166</f>
        <v>0</v>
      </c>
      <c r="AZ166" s="839">
        <f t="shared" ref="AZ166:AZ173" si="192">J166+X166+AL166</f>
        <v>0</v>
      </c>
      <c r="BA166" s="839">
        <f t="shared" ref="BA166:BA173" si="193">K166+Y166+AM166</f>
        <v>0</v>
      </c>
      <c r="BB166" s="847">
        <f t="shared" ref="BB166:BC173" si="194">L166+Z166+AN166</f>
        <v>0</v>
      </c>
      <c r="BC166" s="848">
        <f t="shared" si="194"/>
        <v>0</v>
      </c>
    </row>
    <row r="167" spans="1:55" x14ac:dyDescent="0.25">
      <c r="A167" s="863">
        <f t="shared" si="127"/>
        <v>66</v>
      </c>
      <c r="B167" s="847">
        <f t="shared" si="143"/>
        <v>0</v>
      </c>
      <c r="C167" s="847">
        <f t="shared" si="167"/>
        <v>0</v>
      </c>
      <c r="D167" s="847">
        <f t="shared" si="168"/>
        <v>0</v>
      </c>
      <c r="E167" s="847">
        <f t="shared" ref="E167:E173" si="195">L166*C$95/12</f>
        <v>0</v>
      </c>
      <c r="F167" s="847">
        <f t="shared" si="155"/>
        <v>0</v>
      </c>
      <c r="G167" s="847">
        <f t="shared" si="164"/>
        <v>0</v>
      </c>
      <c r="H167" s="847">
        <f t="shared" si="169"/>
        <v>0</v>
      </c>
      <c r="I167" s="839">
        <f>IF(H167=0,0,SUM(G168:G179)+SUM(E168:E179))</f>
        <v>0</v>
      </c>
      <c r="J167" s="839">
        <f t="shared" ref="J167:J173" si="196">IF(K167&gt;I167,K167-I167,0)</f>
        <v>0</v>
      </c>
      <c r="K167" s="839">
        <f t="shared" si="182"/>
        <v>0</v>
      </c>
      <c r="L167" s="847">
        <f t="shared" si="170"/>
        <v>0</v>
      </c>
      <c r="M167" s="848">
        <f t="shared" si="179"/>
        <v>0</v>
      </c>
      <c r="N167" s="841"/>
      <c r="O167" s="863">
        <f t="shared" si="132"/>
        <v>66</v>
      </c>
      <c r="P167" s="847">
        <f t="shared" si="146"/>
        <v>0</v>
      </c>
      <c r="Q167" s="847">
        <f t="shared" si="171"/>
        <v>0</v>
      </c>
      <c r="R167" s="847">
        <f t="shared" si="172"/>
        <v>0</v>
      </c>
      <c r="S167" s="847">
        <f t="shared" ref="S167:S173" si="197">Z166*Q$95/12</f>
        <v>0</v>
      </c>
      <c r="T167" s="847">
        <f t="shared" si="156"/>
        <v>0</v>
      </c>
      <c r="U167" s="847">
        <f t="shared" si="165"/>
        <v>0</v>
      </c>
      <c r="V167" s="847">
        <f t="shared" si="173"/>
        <v>0</v>
      </c>
      <c r="W167" s="839">
        <f>IF(V167=0,0,SUM(U168:U179)+SUM(S168:S179))</f>
        <v>0</v>
      </c>
      <c r="X167" s="839">
        <f t="shared" ref="X167:X173" si="198">IF(Y167&gt;W167,Y167-W167,0)</f>
        <v>0</v>
      </c>
      <c r="Y167" s="839">
        <f t="shared" si="183"/>
        <v>0</v>
      </c>
      <c r="Z167" s="847">
        <f t="shared" si="174"/>
        <v>0</v>
      </c>
      <c r="AA167" s="848">
        <f t="shared" si="180"/>
        <v>0</v>
      </c>
      <c r="AB167" s="841"/>
      <c r="AC167" s="863">
        <f t="shared" si="137"/>
        <v>66</v>
      </c>
      <c r="AD167" s="847">
        <f t="shared" si="149"/>
        <v>0</v>
      </c>
      <c r="AE167" s="847">
        <f t="shared" si="175"/>
        <v>0</v>
      </c>
      <c r="AF167" s="847">
        <f t="shared" si="176"/>
        <v>0</v>
      </c>
      <c r="AG167" s="847">
        <f t="shared" ref="AG167:AG173" si="199">AN166*AE$95/12</f>
        <v>0</v>
      </c>
      <c r="AH167" s="847">
        <f t="shared" si="157"/>
        <v>0</v>
      </c>
      <c r="AI167" s="847">
        <f t="shared" si="166"/>
        <v>0</v>
      </c>
      <c r="AJ167" s="847">
        <f t="shared" si="177"/>
        <v>0</v>
      </c>
      <c r="AK167" s="839">
        <f>IF(AJ167=0,0,SUM(AI168:AI179)+SUM(AG168:AG179))</f>
        <v>0</v>
      </c>
      <c r="AL167" s="839">
        <f t="shared" ref="AL167:AL173" si="200">IF(AM167&gt;AK167,AM167-AK167,0)</f>
        <v>0</v>
      </c>
      <c r="AM167" s="839">
        <f t="shared" si="184"/>
        <v>0</v>
      </c>
      <c r="AN167" s="847">
        <f t="shared" si="178"/>
        <v>0</v>
      </c>
      <c r="AO167" s="848">
        <f t="shared" si="181"/>
        <v>0</v>
      </c>
      <c r="AQ167" s="846">
        <f t="shared" si="142"/>
        <v>66</v>
      </c>
      <c r="AR167" s="847">
        <f t="shared" ref="AR167:AR173" si="201">B167+P167+AD167</f>
        <v>0</v>
      </c>
      <c r="AS167" s="847">
        <f t="shared" si="185"/>
        <v>0</v>
      </c>
      <c r="AT167" s="847">
        <f t="shared" si="186"/>
        <v>0</v>
      </c>
      <c r="AU167" s="847">
        <f t="shared" si="187"/>
        <v>0</v>
      </c>
      <c r="AV167" s="847">
        <f t="shared" si="188"/>
        <v>0</v>
      </c>
      <c r="AW167" s="847">
        <f t="shared" si="189"/>
        <v>0</v>
      </c>
      <c r="AX167" s="847">
        <f t="shared" si="190"/>
        <v>0</v>
      </c>
      <c r="AY167" s="839">
        <f t="shared" si="191"/>
        <v>0</v>
      </c>
      <c r="AZ167" s="839">
        <f t="shared" si="192"/>
        <v>0</v>
      </c>
      <c r="BA167" s="839">
        <f t="shared" si="193"/>
        <v>0</v>
      </c>
      <c r="BB167" s="847">
        <f t="shared" si="194"/>
        <v>0</v>
      </c>
      <c r="BC167" s="848">
        <f t="shared" si="194"/>
        <v>0</v>
      </c>
    </row>
    <row r="168" spans="1:55" x14ac:dyDescent="0.25">
      <c r="A168" s="863">
        <f t="shared" ref="A168:A173" si="202">A167+1</f>
        <v>67</v>
      </c>
      <c r="B168" s="847">
        <f t="shared" si="143"/>
        <v>0</v>
      </c>
      <c r="C168" s="847">
        <f t="shared" si="167"/>
        <v>0</v>
      </c>
      <c r="D168" s="847">
        <f t="shared" si="168"/>
        <v>0</v>
      </c>
      <c r="E168" s="847">
        <f t="shared" si="195"/>
        <v>0</v>
      </c>
      <c r="F168" s="847">
        <f t="shared" si="155"/>
        <v>0</v>
      </c>
      <c r="G168" s="847">
        <f t="shared" ref="G168:G173" si="203">IF(ABS(C$94-H167)&lt;1,0,G167*(1+C$95/12))</f>
        <v>0</v>
      </c>
      <c r="H168" s="847">
        <f t="shared" si="169"/>
        <v>0</v>
      </c>
      <c r="I168" s="839">
        <f>IF(H168=0,0,SUM(G169:G180)+SUM(E169:E180))</f>
        <v>0</v>
      </c>
      <c r="J168" s="839">
        <f t="shared" si="196"/>
        <v>0</v>
      </c>
      <c r="K168" s="839">
        <f t="shared" si="182"/>
        <v>0</v>
      </c>
      <c r="L168" s="847">
        <f t="shared" si="170"/>
        <v>0</v>
      </c>
      <c r="M168" s="848">
        <f t="shared" si="179"/>
        <v>0</v>
      </c>
      <c r="N168" s="841"/>
      <c r="O168" s="863">
        <f t="shared" ref="O168:O173" si="204">O167+1</f>
        <v>67</v>
      </c>
      <c r="P168" s="847">
        <f t="shared" si="146"/>
        <v>0</v>
      </c>
      <c r="Q168" s="847">
        <f t="shared" si="171"/>
        <v>0</v>
      </c>
      <c r="R168" s="847">
        <f t="shared" si="172"/>
        <v>0</v>
      </c>
      <c r="S168" s="847">
        <f t="shared" si="197"/>
        <v>0</v>
      </c>
      <c r="T168" s="847">
        <f t="shared" si="156"/>
        <v>0</v>
      </c>
      <c r="U168" s="847">
        <f t="shared" ref="U168:U173" si="205">IF(ABS(Q$94-V167)&lt;1,0,U167*(1+Q$95/12))</f>
        <v>0</v>
      </c>
      <c r="V168" s="847">
        <f t="shared" si="173"/>
        <v>0</v>
      </c>
      <c r="W168" s="839">
        <f>IF(V168=0,0,SUM(U169:U180)+SUM(S169:S180))</f>
        <v>0</v>
      </c>
      <c r="X168" s="839">
        <f t="shared" si="198"/>
        <v>0</v>
      </c>
      <c r="Y168" s="839">
        <f t="shared" si="183"/>
        <v>0</v>
      </c>
      <c r="Z168" s="847">
        <f t="shared" si="174"/>
        <v>0</v>
      </c>
      <c r="AA168" s="848">
        <f t="shared" si="180"/>
        <v>0</v>
      </c>
      <c r="AB168" s="841"/>
      <c r="AC168" s="863">
        <f t="shared" ref="AC168:AC173" si="206">AC167+1</f>
        <v>67</v>
      </c>
      <c r="AD168" s="847">
        <f t="shared" si="149"/>
        <v>0</v>
      </c>
      <c r="AE168" s="847">
        <f t="shared" si="175"/>
        <v>0</v>
      </c>
      <c r="AF168" s="847">
        <f t="shared" si="176"/>
        <v>0</v>
      </c>
      <c r="AG168" s="847">
        <f t="shared" si="199"/>
        <v>0</v>
      </c>
      <c r="AH168" s="847">
        <f t="shared" si="157"/>
        <v>0</v>
      </c>
      <c r="AI168" s="847">
        <f t="shared" ref="AI168:AI173" si="207">IF(ABS(AE$94-AJ167)&lt;1,0,AI167*(1+AE$95/12))</f>
        <v>0</v>
      </c>
      <c r="AJ168" s="847">
        <f t="shared" si="177"/>
        <v>0</v>
      </c>
      <c r="AK168" s="839">
        <f>IF(AJ168=0,0,SUM(AI169:AI180)+SUM(AG169:AG180))</f>
        <v>0</v>
      </c>
      <c r="AL168" s="839">
        <f t="shared" si="200"/>
        <v>0</v>
      </c>
      <c r="AM168" s="839">
        <f t="shared" si="184"/>
        <v>0</v>
      </c>
      <c r="AN168" s="847">
        <f t="shared" si="178"/>
        <v>0</v>
      </c>
      <c r="AO168" s="848">
        <f t="shared" si="181"/>
        <v>0</v>
      </c>
      <c r="AQ168" s="846">
        <f t="shared" ref="AQ168:AQ173" si="208">AQ167+1</f>
        <v>67</v>
      </c>
      <c r="AR168" s="847">
        <f t="shared" si="201"/>
        <v>0</v>
      </c>
      <c r="AS168" s="847">
        <f t="shared" si="185"/>
        <v>0</v>
      </c>
      <c r="AT168" s="847">
        <f t="shared" si="186"/>
        <v>0</v>
      </c>
      <c r="AU168" s="847">
        <f t="shared" si="187"/>
        <v>0</v>
      </c>
      <c r="AV168" s="847">
        <f t="shared" si="188"/>
        <v>0</v>
      </c>
      <c r="AW168" s="847">
        <f t="shared" si="189"/>
        <v>0</v>
      </c>
      <c r="AX168" s="847">
        <f t="shared" si="190"/>
        <v>0</v>
      </c>
      <c r="AY168" s="839">
        <f t="shared" si="191"/>
        <v>0</v>
      </c>
      <c r="AZ168" s="839">
        <f t="shared" si="192"/>
        <v>0</v>
      </c>
      <c r="BA168" s="839">
        <f t="shared" si="193"/>
        <v>0</v>
      </c>
      <c r="BB168" s="847">
        <f t="shared" si="194"/>
        <v>0</v>
      </c>
      <c r="BC168" s="848">
        <f t="shared" si="194"/>
        <v>0</v>
      </c>
    </row>
    <row r="169" spans="1:55" x14ac:dyDescent="0.25">
      <c r="A169" s="863">
        <f t="shared" si="202"/>
        <v>68</v>
      </c>
      <c r="B169" s="847">
        <f t="shared" si="143"/>
        <v>0</v>
      </c>
      <c r="C169" s="847">
        <f t="shared" si="167"/>
        <v>0</v>
      </c>
      <c r="D169" s="847">
        <f t="shared" si="168"/>
        <v>0</v>
      </c>
      <c r="E169" s="847">
        <f t="shared" si="195"/>
        <v>0</v>
      </c>
      <c r="F169" s="847">
        <f t="shared" si="155"/>
        <v>0</v>
      </c>
      <c r="G169" s="847">
        <f t="shared" si="203"/>
        <v>0</v>
      </c>
      <c r="H169" s="847">
        <f t="shared" si="169"/>
        <v>0</v>
      </c>
      <c r="I169" s="839">
        <f>IF(H169=0,0,SUM(G170:G180)+SUM(E170:E180))</f>
        <v>0</v>
      </c>
      <c r="J169" s="839">
        <f t="shared" si="196"/>
        <v>0</v>
      </c>
      <c r="K169" s="839">
        <f t="shared" si="182"/>
        <v>0</v>
      </c>
      <c r="L169" s="847">
        <f t="shared" si="170"/>
        <v>0</v>
      </c>
      <c r="M169" s="848">
        <f t="shared" si="179"/>
        <v>0</v>
      </c>
      <c r="N169" s="841"/>
      <c r="O169" s="863">
        <f t="shared" si="204"/>
        <v>68</v>
      </c>
      <c r="P169" s="847">
        <f t="shared" si="146"/>
        <v>0</v>
      </c>
      <c r="Q169" s="847">
        <f t="shared" si="171"/>
        <v>0</v>
      </c>
      <c r="R169" s="847">
        <f t="shared" si="172"/>
        <v>0</v>
      </c>
      <c r="S169" s="847">
        <f t="shared" si="197"/>
        <v>0</v>
      </c>
      <c r="T169" s="847">
        <f t="shared" si="156"/>
        <v>0</v>
      </c>
      <c r="U169" s="847">
        <f t="shared" si="205"/>
        <v>0</v>
      </c>
      <c r="V169" s="847">
        <f t="shared" si="173"/>
        <v>0</v>
      </c>
      <c r="W169" s="839">
        <f>IF(V169=0,0,SUM(U170:U180)+SUM(S170:S180))</f>
        <v>0</v>
      </c>
      <c r="X169" s="839">
        <f t="shared" si="198"/>
        <v>0</v>
      </c>
      <c r="Y169" s="839">
        <f t="shared" si="183"/>
        <v>0</v>
      </c>
      <c r="Z169" s="847">
        <f t="shared" si="174"/>
        <v>0</v>
      </c>
      <c r="AA169" s="848">
        <f t="shared" si="180"/>
        <v>0</v>
      </c>
      <c r="AB169" s="841"/>
      <c r="AC169" s="863">
        <f t="shared" si="206"/>
        <v>68</v>
      </c>
      <c r="AD169" s="847">
        <f t="shared" si="149"/>
        <v>0</v>
      </c>
      <c r="AE169" s="847">
        <f t="shared" si="175"/>
        <v>0</v>
      </c>
      <c r="AF169" s="847">
        <f t="shared" si="176"/>
        <v>0</v>
      </c>
      <c r="AG169" s="847">
        <f t="shared" si="199"/>
        <v>0</v>
      </c>
      <c r="AH169" s="847">
        <f t="shared" si="157"/>
        <v>0</v>
      </c>
      <c r="AI169" s="847">
        <f t="shared" si="207"/>
        <v>0</v>
      </c>
      <c r="AJ169" s="847">
        <f t="shared" si="177"/>
        <v>0</v>
      </c>
      <c r="AK169" s="839">
        <f>IF(AJ169=0,0,SUM(AI170:AI180)+SUM(AG170:AG180))</f>
        <v>0</v>
      </c>
      <c r="AL169" s="839">
        <f t="shared" si="200"/>
        <v>0</v>
      </c>
      <c r="AM169" s="839">
        <f t="shared" si="184"/>
        <v>0</v>
      </c>
      <c r="AN169" s="847">
        <f t="shared" si="178"/>
        <v>0</v>
      </c>
      <c r="AO169" s="848">
        <f t="shared" si="181"/>
        <v>0</v>
      </c>
      <c r="AQ169" s="846">
        <f t="shared" si="208"/>
        <v>68</v>
      </c>
      <c r="AR169" s="847">
        <f t="shared" si="201"/>
        <v>0</v>
      </c>
      <c r="AS169" s="847">
        <f t="shared" si="185"/>
        <v>0</v>
      </c>
      <c r="AT169" s="847">
        <f t="shared" si="186"/>
        <v>0</v>
      </c>
      <c r="AU169" s="847">
        <f t="shared" si="187"/>
        <v>0</v>
      </c>
      <c r="AV169" s="847">
        <f t="shared" si="188"/>
        <v>0</v>
      </c>
      <c r="AW169" s="847">
        <f t="shared" si="189"/>
        <v>0</v>
      </c>
      <c r="AX169" s="847">
        <f t="shared" si="190"/>
        <v>0</v>
      </c>
      <c r="AY169" s="839">
        <f t="shared" si="191"/>
        <v>0</v>
      </c>
      <c r="AZ169" s="839">
        <f t="shared" si="192"/>
        <v>0</v>
      </c>
      <c r="BA169" s="839">
        <f t="shared" si="193"/>
        <v>0</v>
      </c>
      <c r="BB169" s="847">
        <f t="shared" si="194"/>
        <v>0</v>
      </c>
      <c r="BC169" s="848">
        <f t="shared" si="194"/>
        <v>0</v>
      </c>
    </row>
    <row r="170" spans="1:55" x14ac:dyDescent="0.25">
      <c r="A170" s="863">
        <f t="shared" si="202"/>
        <v>69</v>
      </c>
      <c r="B170" s="847">
        <f t="shared" si="143"/>
        <v>0</v>
      </c>
      <c r="C170" s="847">
        <f t="shared" si="167"/>
        <v>0</v>
      </c>
      <c r="D170" s="847">
        <f t="shared" si="168"/>
        <v>0</v>
      </c>
      <c r="E170" s="847">
        <f t="shared" si="195"/>
        <v>0</v>
      </c>
      <c r="F170" s="847">
        <f t="shared" si="155"/>
        <v>0</v>
      </c>
      <c r="G170" s="847">
        <f t="shared" si="203"/>
        <v>0</v>
      </c>
      <c r="H170" s="847">
        <f t="shared" si="169"/>
        <v>0</v>
      </c>
      <c r="I170" s="839">
        <f>IF(H170=0,0,SUM(G171:G181)+SUM(E171:E181))</f>
        <v>0</v>
      </c>
      <c r="J170" s="839">
        <f t="shared" si="196"/>
        <v>0</v>
      </c>
      <c r="K170" s="839">
        <f t="shared" si="182"/>
        <v>0</v>
      </c>
      <c r="L170" s="847">
        <f t="shared" si="170"/>
        <v>0</v>
      </c>
      <c r="M170" s="848">
        <f t="shared" si="179"/>
        <v>0</v>
      </c>
      <c r="N170" s="841"/>
      <c r="O170" s="863">
        <f t="shared" si="204"/>
        <v>69</v>
      </c>
      <c r="P170" s="847">
        <f t="shared" si="146"/>
        <v>0</v>
      </c>
      <c r="Q170" s="847">
        <f t="shared" si="171"/>
        <v>0</v>
      </c>
      <c r="R170" s="847">
        <f t="shared" si="172"/>
        <v>0</v>
      </c>
      <c r="S170" s="847">
        <f t="shared" si="197"/>
        <v>0</v>
      </c>
      <c r="T170" s="847">
        <f t="shared" si="156"/>
        <v>0</v>
      </c>
      <c r="U170" s="847">
        <f t="shared" si="205"/>
        <v>0</v>
      </c>
      <c r="V170" s="847">
        <f t="shared" si="173"/>
        <v>0</v>
      </c>
      <c r="W170" s="839">
        <f>IF(V170=0,0,SUM(U171:U181)+SUM(S171:S181))</f>
        <v>0</v>
      </c>
      <c r="X170" s="839">
        <f t="shared" si="198"/>
        <v>0</v>
      </c>
      <c r="Y170" s="839">
        <f t="shared" si="183"/>
        <v>0</v>
      </c>
      <c r="Z170" s="847">
        <f t="shared" si="174"/>
        <v>0</v>
      </c>
      <c r="AA170" s="848">
        <f t="shared" si="180"/>
        <v>0</v>
      </c>
      <c r="AB170" s="841"/>
      <c r="AC170" s="863">
        <f t="shared" si="206"/>
        <v>69</v>
      </c>
      <c r="AD170" s="847">
        <f t="shared" si="149"/>
        <v>0</v>
      </c>
      <c r="AE170" s="847">
        <f t="shared" si="175"/>
        <v>0</v>
      </c>
      <c r="AF170" s="847">
        <f t="shared" si="176"/>
        <v>0</v>
      </c>
      <c r="AG170" s="847">
        <f t="shared" si="199"/>
        <v>0</v>
      </c>
      <c r="AH170" s="847">
        <f t="shared" si="157"/>
        <v>0</v>
      </c>
      <c r="AI170" s="847">
        <f t="shared" si="207"/>
        <v>0</v>
      </c>
      <c r="AJ170" s="847">
        <f t="shared" si="177"/>
        <v>0</v>
      </c>
      <c r="AK170" s="839">
        <f>IF(AJ170=0,0,SUM(AI171:AI181)+SUM(AG171:AG181))</f>
        <v>0</v>
      </c>
      <c r="AL170" s="839">
        <f t="shared" si="200"/>
        <v>0</v>
      </c>
      <c r="AM170" s="839">
        <f t="shared" si="184"/>
        <v>0</v>
      </c>
      <c r="AN170" s="847">
        <f t="shared" si="178"/>
        <v>0</v>
      </c>
      <c r="AO170" s="848">
        <f t="shared" si="181"/>
        <v>0</v>
      </c>
      <c r="AQ170" s="846">
        <f t="shared" si="208"/>
        <v>69</v>
      </c>
      <c r="AR170" s="847">
        <f t="shared" si="201"/>
        <v>0</v>
      </c>
      <c r="AS170" s="847">
        <f t="shared" si="185"/>
        <v>0</v>
      </c>
      <c r="AT170" s="847">
        <f t="shared" si="186"/>
        <v>0</v>
      </c>
      <c r="AU170" s="847">
        <f t="shared" si="187"/>
        <v>0</v>
      </c>
      <c r="AV170" s="847">
        <f t="shared" si="188"/>
        <v>0</v>
      </c>
      <c r="AW170" s="847">
        <f t="shared" si="189"/>
        <v>0</v>
      </c>
      <c r="AX170" s="847">
        <f t="shared" si="190"/>
        <v>0</v>
      </c>
      <c r="AY170" s="839">
        <f t="shared" si="191"/>
        <v>0</v>
      </c>
      <c r="AZ170" s="839">
        <f t="shared" si="192"/>
        <v>0</v>
      </c>
      <c r="BA170" s="839">
        <f t="shared" si="193"/>
        <v>0</v>
      </c>
      <c r="BB170" s="847">
        <f t="shared" si="194"/>
        <v>0</v>
      </c>
      <c r="BC170" s="848">
        <f t="shared" si="194"/>
        <v>0</v>
      </c>
    </row>
    <row r="171" spans="1:55" x14ac:dyDescent="0.25">
      <c r="A171" s="863">
        <f t="shared" si="202"/>
        <v>70</v>
      </c>
      <c r="B171" s="847">
        <f>IF(E171&lt;0.05,0,B170+G171+E171)</f>
        <v>0</v>
      </c>
      <c r="C171" s="847">
        <f t="shared" si="167"/>
        <v>0</v>
      </c>
      <c r="D171" s="847">
        <f t="shared" si="168"/>
        <v>0</v>
      </c>
      <c r="E171" s="847">
        <f t="shared" si="195"/>
        <v>0</v>
      </c>
      <c r="F171" s="847">
        <f t="shared" si="155"/>
        <v>0</v>
      </c>
      <c r="G171" s="847">
        <f t="shared" si="203"/>
        <v>0</v>
      </c>
      <c r="H171" s="847">
        <f t="shared" si="169"/>
        <v>0</v>
      </c>
      <c r="I171" s="839">
        <f>IF(H171=0,0,SUM(G172:G182)+SUM(E172:E182))</f>
        <v>0</v>
      </c>
      <c r="J171" s="839">
        <f t="shared" si="196"/>
        <v>0</v>
      </c>
      <c r="K171" s="839">
        <f t="shared" si="182"/>
        <v>0</v>
      </c>
      <c r="L171" s="847">
        <f t="shared" si="170"/>
        <v>0</v>
      </c>
      <c r="M171" s="848">
        <f t="shared" si="179"/>
        <v>0</v>
      </c>
      <c r="N171" s="841"/>
      <c r="O171" s="863">
        <f t="shared" si="204"/>
        <v>70</v>
      </c>
      <c r="P171" s="847">
        <f>IF(S171&lt;0.05,0,P170+U171+S171)</f>
        <v>0</v>
      </c>
      <c r="Q171" s="847">
        <f t="shared" si="171"/>
        <v>0</v>
      </c>
      <c r="R171" s="847">
        <f t="shared" si="172"/>
        <v>0</v>
      </c>
      <c r="S171" s="847">
        <f t="shared" si="197"/>
        <v>0</v>
      </c>
      <c r="T171" s="847">
        <f t="shared" si="156"/>
        <v>0</v>
      </c>
      <c r="U171" s="847">
        <f t="shared" si="205"/>
        <v>0</v>
      </c>
      <c r="V171" s="847">
        <f t="shared" si="173"/>
        <v>0</v>
      </c>
      <c r="W171" s="839">
        <f>IF(V171=0,0,SUM(U172:U182)+SUM(S172:S182))</f>
        <v>0</v>
      </c>
      <c r="X171" s="839">
        <f t="shared" si="198"/>
        <v>0</v>
      </c>
      <c r="Y171" s="839">
        <f t="shared" si="183"/>
        <v>0</v>
      </c>
      <c r="Z171" s="847">
        <f t="shared" si="174"/>
        <v>0</v>
      </c>
      <c r="AA171" s="848">
        <f t="shared" si="180"/>
        <v>0</v>
      </c>
      <c r="AB171" s="841"/>
      <c r="AC171" s="863">
        <f t="shared" si="206"/>
        <v>70</v>
      </c>
      <c r="AD171" s="847">
        <f>IF(AG171&lt;0.05,0,AD170+AI171+AG171)</f>
        <v>0</v>
      </c>
      <c r="AE171" s="847">
        <f t="shared" si="175"/>
        <v>0</v>
      </c>
      <c r="AF171" s="847">
        <f t="shared" si="176"/>
        <v>0</v>
      </c>
      <c r="AG171" s="847">
        <f t="shared" si="199"/>
        <v>0</v>
      </c>
      <c r="AH171" s="847">
        <f t="shared" si="157"/>
        <v>0</v>
      </c>
      <c r="AI171" s="847">
        <f t="shared" si="207"/>
        <v>0</v>
      </c>
      <c r="AJ171" s="847">
        <f t="shared" si="177"/>
        <v>0</v>
      </c>
      <c r="AK171" s="839">
        <f>IF(AJ171=0,0,SUM(AI172:AI182)+SUM(AG172:AG182))</f>
        <v>0</v>
      </c>
      <c r="AL171" s="839">
        <f t="shared" si="200"/>
        <v>0</v>
      </c>
      <c r="AM171" s="839">
        <f t="shared" si="184"/>
        <v>0</v>
      </c>
      <c r="AN171" s="847">
        <f t="shared" si="178"/>
        <v>0</v>
      </c>
      <c r="AO171" s="848">
        <f t="shared" si="181"/>
        <v>0</v>
      </c>
      <c r="AQ171" s="846">
        <f t="shared" si="208"/>
        <v>70</v>
      </c>
      <c r="AR171" s="847">
        <f t="shared" si="201"/>
        <v>0</v>
      </c>
      <c r="AS171" s="847">
        <f t="shared" si="185"/>
        <v>0</v>
      </c>
      <c r="AT171" s="847">
        <f t="shared" si="186"/>
        <v>0</v>
      </c>
      <c r="AU171" s="847">
        <f t="shared" si="187"/>
        <v>0</v>
      </c>
      <c r="AV171" s="847">
        <f t="shared" si="188"/>
        <v>0</v>
      </c>
      <c r="AW171" s="847">
        <f t="shared" si="189"/>
        <v>0</v>
      </c>
      <c r="AX171" s="847">
        <f t="shared" si="190"/>
        <v>0</v>
      </c>
      <c r="AY171" s="839">
        <f t="shared" si="191"/>
        <v>0</v>
      </c>
      <c r="AZ171" s="839">
        <f t="shared" si="192"/>
        <v>0</v>
      </c>
      <c r="BA171" s="839">
        <f t="shared" si="193"/>
        <v>0</v>
      </c>
      <c r="BB171" s="847">
        <f t="shared" si="194"/>
        <v>0</v>
      </c>
      <c r="BC171" s="848">
        <f t="shared" si="194"/>
        <v>0</v>
      </c>
    </row>
    <row r="172" spans="1:55" x14ac:dyDescent="0.25">
      <c r="A172" s="863">
        <f t="shared" si="202"/>
        <v>71</v>
      </c>
      <c r="B172" s="847">
        <f>IF(E172&lt;0.05,0,B171+G172+E172)</f>
        <v>0</v>
      </c>
      <c r="C172" s="847">
        <f t="shared" si="167"/>
        <v>0</v>
      </c>
      <c r="D172" s="847">
        <f t="shared" si="168"/>
        <v>0</v>
      </c>
      <c r="E172" s="847">
        <f t="shared" si="195"/>
        <v>0</v>
      </c>
      <c r="F172" s="847">
        <f>IF(L172=0,0,E172+F171)</f>
        <v>0</v>
      </c>
      <c r="G172" s="847">
        <f t="shared" si="203"/>
        <v>0</v>
      </c>
      <c r="H172" s="847">
        <f t="shared" si="169"/>
        <v>0</v>
      </c>
      <c r="I172" s="839">
        <f>IF(H172=0,0,SUM(G173:G183)+SUM(E173:E183))</f>
        <v>0</v>
      </c>
      <c r="J172" s="839">
        <f t="shared" si="196"/>
        <v>0</v>
      </c>
      <c r="K172" s="839">
        <f t="shared" si="182"/>
        <v>0</v>
      </c>
      <c r="L172" s="847">
        <f t="shared" si="170"/>
        <v>0</v>
      </c>
      <c r="M172" s="848">
        <f t="shared" si="179"/>
        <v>0</v>
      </c>
      <c r="N172" s="841"/>
      <c r="O172" s="863">
        <f t="shared" si="204"/>
        <v>71</v>
      </c>
      <c r="P172" s="847">
        <f>IF(S172&lt;0.05,0,P171+U172+S172)</f>
        <v>0</v>
      </c>
      <c r="Q172" s="847">
        <f t="shared" si="171"/>
        <v>0</v>
      </c>
      <c r="R172" s="847">
        <f t="shared" si="172"/>
        <v>0</v>
      </c>
      <c r="S172" s="847">
        <f t="shared" si="197"/>
        <v>0</v>
      </c>
      <c r="T172" s="847">
        <f>IF(Z172=0,0,S172+T171)</f>
        <v>0</v>
      </c>
      <c r="U172" s="847">
        <f t="shared" si="205"/>
        <v>0</v>
      </c>
      <c r="V172" s="847">
        <f t="shared" si="173"/>
        <v>0</v>
      </c>
      <c r="W172" s="839">
        <f>IF(V172=0,0,SUM(U173:U183)+SUM(S173:S183))</f>
        <v>0</v>
      </c>
      <c r="X172" s="839">
        <f t="shared" si="198"/>
        <v>0</v>
      </c>
      <c r="Y172" s="839">
        <f t="shared" si="183"/>
        <v>0</v>
      </c>
      <c r="Z172" s="847">
        <f t="shared" si="174"/>
        <v>0</v>
      </c>
      <c r="AA172" s="848">
        <f t="shared" si="180"/>
        <v>0</v>
      </c>
      <c r="AB172" s="841"/>
      <c r="AC172" s="863">
        <f t="shared" si="206"/>
        <v>71</v>
      </c>
      <c r="AD172" s="847">
        <f>IF(AG172&lt;0.05,0,AD171+AI172+AG172)</f>
        <v>0</v>
      </c>
      <c r="AE172" s="847">
        <f t="shared" si="175"/>
        <v>0</v>
      </c>
      <c r="AF172" s="847">
        <f t="shared" si="176"/>
        <v>0</v>
      </c>
      <c r="AG172" s="847">
        <f t="shared" si="199"/>
        <v>0</v>
      </c>
      <c r="AH172" s="847">
        <f>IF(AN172=0,0,AG172+AH171)</f>
        <v>0</v>
      </c>
      <c r="AI172" s="847">
        <f t="shared" si="207"/>
        <v>0</v>
      </c>
      <c r="AJ172" s="847">
        <f t="shared" si="177"/>
        <v>0</v>
      </c>
      <c r="AK172" s="839">
        <f>IF(AJ172=0,0,SUM(AI173:AI183)+SUM(AG173:AG183))</f>
        <v>0</v>
      </c>
      <c r="AL172" s="839">
        <f t="shared" si="200"/>
        <v>0</v>
      </c>
      <c r="AM172" s="839">
        <f t="shared" si="184"/>
        <v>0</v>
      </c>
      <c r="AN172" s="847">
        <f t="shared" si="178"/>
        <v>0</v>
      </c>
      <c r="AO172" s="848">
        <f t="shared" si="181"/>
        <v>0</v>
      </c>
      <c r="AQ172" s="846">
        <f t="shared" si="208"/>
        <v>71</v>
      </c>
      <c r="AR172" s="847">
        <f t="shared" si="201"/>
        <v>0</v>
      </c>
      <c r="AS172" s="847">
        <f t="shared" si="185"/>
        <v>0</v>
      </c>
      <c r="AT172" s="847">
        <f t="shared" si="186"/>
        <v>0</v>
      </c>
      <c r="AU172" s="847">
        <f t="shared" si="187"/>
        <v>0</v>
      </c>
      <c r="AV172" s="847">
        <f t="shared" si="188"/>
        <v>0</v>
      </c>
      <c r="AW172" s="847">
        <f t="shared" si="189"/>
        <v>0</v>
      </c>
      <c r="AX172" s="847">
        <f t="shared" si="190"/>
        <v>0</v>
      </c>
      <c r="AY172" s="839">
        <f t="shared" si="191"/>
        <v>0</v>
      </c>
      <c r="AZ172" s="839">
        <f t="shared" si="192"/>
        <v>0</v>
      </c>
      <c r="BA172" s="839">
        <f t="shared" si="193"/>
        <v>0</v>
      </c>
      <c r="BB172" s="847">
        <f t="shared" si="194"/>
        <v>0</v>
      </c>
      <c r="BC172" s="848">
        <f t="shared" si="194"/>
        <v>0</v>
      </c>
    </row>
    <row r="173" spans="1:55" x14ac:dyDescent="0.25">
      <c r="A173" s="863">
        <f t="shared" si="202"/>
        <v>72</v>
      </c>
      <c r="B173" s="853">
        <f>IF(E173&lt;0.05,0,B172+G173+E173)</f>
        <v>0</v>
      </c>
      <c r="C173" s="847">
        <f t="shared" si="167"/>
        <v>0</v>
      </c>
      <c r="D173" s="847">
        <f t="shared" si="168"/>
        <v>0</v>
      </c>
      <c r="E173" s="853">
        <f t="shared" si="195"/>
        <v>0</v>
      </c>
      <c r="F173" s="853">
        <f>IF(L173=0,0,E173+F172)</f>
        <v>0</v>
      </c>
      <c r="G173" s="847">
        <f t="shared" si="203"/>
        <v>0</v>
      </c>
      <c r="H173" s="853">
        <f t="shared" si="169"/>
        <v>0</v>
      </c>
      <c r="I173" s="839">
        <f>IF(H173=0,0,SUM(G174:G184)+SUM(E174:E184))</f>
        <v>0</v>
      </c>
      <c r="J173" s="839">
        <f t="shared" si="196"/>
        <v>0</v>
      </c>
      <c r="K173" s="839">
        <f t="shared" si="182"/>
        <v>0</v>
      </c>
      <c r="L173" s="854">
        <f t="shared" si="170"/>
        <v>0</v>
      </c>
      <c r="M173" s="855">
        <f t="shared" si="179"/>
        <v>0</v>
      </c>
      <c r="N173" s="841"/>
      <c r="O173" s="863">
        <f t="shared" si="204"/>
        <v>72</v>
      </c>
      <c r="P173" s="853">
        <f>IF(S173&lt;0.05,0,P172+U173+S173)</f>
        <v>0</v>
      </c>
      <c r="Q173" s="847">
        <f t="shared" si="171"/>
        <v>0</v>
      </c>
      <c r="R173" s="847">
        <f t="shared" si="172"/>
        <v>0</v>
      </c>
      <c r="S173" s="853">
        <f t="shared" si="197"/>
        <v>0</v>
      </c>
      <c r="T173" s="853">
        <f>IF(Z173=0,0,S173+T172)</f>
        <v>0</v>
      </c>
      <c r="U173" s="847">
        <f t="shared" si="205"/>
        <v>0</v>
      </c>
      <c r="V173" s="853">
        <f t="shared" si="173"/>
        <v>0</v>
      </c>
      <c r="W173" s="839">
        <f>IF(V173=0,0,SUM(U174:U184)+SUM(S174:S184))</f>
        <v>0</v>
      </c>
      <c r="X173" s="839">
        <f t="shared" si="198"/>
        <v>0</v>
      </c>
      <c r="Y173" s="839">
        <f t="shared" si="183"/>
        <v>0</v>
      </c>
      <c r="Z173" s="854">
        <f t="shared" si="174"/>
        <v>0</v>
      </c>
      <c r="AA173" s="855">
        <f t="shared" si="180"/>
        <v>0</v>
      </c>
      <c r="AB173" s="841"/>
      <c r="AC173" s="863">
        <f t="shared" si="206"/>
        <v>72</v>
      </c>
      <c r="AD173" s="853">
        <f>IF(AG173&lt;0.05,0,AD172+AI173+AG173)</f>
        <v>0</v>
      </c>
      <c r="AE173" s="847">
        <f t="shared" si="175"/>
        <v>0</v>
      </c>
      <c r="AF173" s="847">
        <f t="shared" si="176"/>
        <v>0</v>
      </c>
      <c r="AG173" s="853">
        <f t="shared" si="199"/>
        <v>0</v>
      </c>
      <c r="AH173" s="853">
        <f>IF(AN173=0,0,AG173+AH172)</f>
        <v>0</v>
      </c>
      <c r="AI173" s="847">
        <f t="shared" si="207"/>
        <v>0</v>
      </c>
      <c r="AJ173" s="853">
        <f t="shared" si="177"/>
        <v>0</v>
      </c>
      <c r="AK173" s="839">
        <f>IF(AJ173=0,0,SUM(AI174:AI184)+SUM(AG174:AG184))</f>
        <v>0</v>
      </c>
      <c r="AL173" s="839">
        <f t="shared" si="200"/>
        <v>0</v>
      </c>
      <c r="AM173" s="839">
        <f t="shared" si="184"/>
        <v>0</v>
      </c>
      <c r="AN173" s="854">
        <f t="shared" si="178"/>
        <v>0</v>
      </c>
      <c r="AO173" s="855">
        <f t="shared" si="181"/>
        <v>0</v>
      </c>
      <c r="AQ173" s="846">
        <f t="shared" si="208"/>
        <v>72</v>
      </c>
      <c r="AR173" s="853">
        <f t="shared" si="201"/>
        <v>0</v>
      </c>
      <c r="AS173" s="847">
        <f t="shared" si="185"/>
        <v>0</v>
      </c>
      <c r="AT173" s="847">
        <f t="shared" si="186"/>
        <v>0</v>
      </c>
      <c r="AU173" s="853">
        <f t="shared" si="187"/>
        <v>0</v>
      </c>
      <c r="AV173" s="853">
        <f t="shared" si="188"/>
        <v>0</v>
      </c>
      <c r="AW173" s="847">
        <f t="shared" si="189"/>
        <v>0</v>
      </c>
      <c r="AX173" s="853">
        <f t="shared" si="190"/>
        <v>0</v>
      </c>
      <c r="AY173" s="839">
        <f t="shared" si="191"/>
        <v>0</v>
      </c>
      <c r="AZ173" s="839">
        <f t="shared" si="192"/>
        <v>0</v>
      </c>
      <c r="BA173" s="839">
        <f t="shared" si="193"/>
        <v>0</v>
      </c>
      <c r="BB173" s="854">
        <f t="shared" si="194"/>
        <v>0</v>
      </c>
      <c r="BC173" s="855">
        <f t="shared" si="194"/>
        <v>0</v>
      </c>
    </row>
    <row r="174" spans="1:55" ht="13" x14ac:dyDescent="0.25">
      <c r="A174" s="864"/>
      <c r="B174" s="865">
        <f>E174+G174</f>
        <v>0</v>
      </c>
      <c r="C174" s="865">
        <f>SUM(C102:C173)</f>
        <v>0</v>
      </c>
      <c r="D174" s="865"/>
      <c r="E174" s="865">
        <f>SUM(E102:E173)</f>
        <v>0</v>
      </c>
      <c r="F174" s="865"/>
      <c r="G174" s="865">
        <f>SUM(G102:G173)</f>
        <v>0</v>
      </c>
      <c r="H174" s="865"/>
      <c r="I174" s="866"/>
      <c r="J174" s="866"/>
      <c r="K174" s="866"/>
      <c r="L174" s="865"/>
      <c r="M174" s="867"/>
      <c r="N174" s="860"/>
      <c r="O174" s="864"/>
      <c r="P174" s="865">
        <f>S174+U174</f>
        <v>0</v>
      </c>
      <c r="Q174" s="865">
        <f>SUM(Q102:Q173)</f>
        <v>0</v>
      </c>
      <c r="R174" s="865"/>
      <c r="S174" s="865">
        <f>SUM(S102:S173)</f>
        <v>0</v>
      </c>
      <c r="T174" s="865"/>
      <c r="U174" s="865">
        <f>SUM(U102:U173)</f>
        <v>0</v>
      </c>
      <c r="V174" s="865"/>
      <c r="W174" s="866"/>
      <c r="X174" s="866"/>
      <c r="Y174" s="866"/>
      <c r="Z174" s="865"/>
      <c r="AA174" s="867"/>
      <c r="AB174" s="860"/>
      <c r="AC174" s="864"/>
      <c r="AD174" s="865">
        <f>AG174+AI174</f>
        <v>0</v>
      </c>
      <c r="AE174" s="865">
        <f>SUM(AE102:AE173)</f>
        <v>0</v>
      </c>
      <c r="AF174" s="865"/>
      <c r="AG174" s="865">
        <f>SUM(AG102:AG173)</f>
        <v>0</v>
      </c>
      <c r="AH174" s="865"/>
      <c r="AI174" s="865">
        <f>SUM(AI102:AI173)</f>
        <v>0</v>
      </c>
      <c r="AJ174" s="865"/>
      <c r="AK174" s="866"/>
      <c r="AL174" s="866"/>
      <c r="AM174" s="866"/>
      <c r="AN174" s="865"/>
      <c r="AO174" s="867"/>
      <c r="AQ174" s="864"/>
      <c r="AR174" s="865">
        <f>AU174+AW174</f>
        <v>0</v>
      </c>
      <c r="AS174" s="865">
        <f>SUM(AS102:AS173)</f>
        <v>0</v>
      </c>
      <c r="AT174" s="865"/>
      <c r="AU174" s="865">
        <f>SUM(AU102:AU173)</f>
        <v>0</v>
      </c>
      <c r="AV174" s="865"/>
      <c r="AW174" s="865">
        <f>SUM(AW102:AW173)</f>
        <v>0</v>
      </c>
      <c r="AX174" s="865"/>
      <c r="AY174" s="866"/>
      <c r="AZ174" s="866"/>
      <c r="BA174" s="866"/>
      <c r="BB174" s="865"/>
      <c r="BC174" s="867"/>
    </row>
    <row r="176" spans="1:55" ht="15.5" x14ac:dyDescent="0.25">
      <c r="A176" s="1801" t="s">
        <v>57</v>
      </c>
      <c r="B176" s="1801"/>
      <c r="C176" s="1801"/>
      <c r="O176" s="1801" t="s">
        <v>57</v>
      </c>
      <c r="P176" s="1801"/>
      <c r="Q176" s="1801"/>
      <c r="AC176" s="1801" t="s">
        <v>57</v>
      </c>
      <c r="AD176" s="1801"/>
      <c r="AE176" s="1801"/>
      <c r="AQ176" s="1801" t="s">
        <v>57</v>
      </c>
      <c r="AR176" s="1801"/>
      <c r="AS176" s="1801"/>
    </row>
    <row r="179" spans="1:55" ht="13" x14ac:dyDescent="0.25">
      <c r="A179" s="1820" t="s">
        <v>122</v>
      </c>
      <c r="B179" s="1820"/>
      <c r="C179" s="1820"/>
      <c r="E179" s="1803"/>
      <c r="F179" s="1803"/>
      <c r="G179" s="1803"/>
      <c r="O179" s="1820" t="s">
        <v>126</v>
      </c>
      <c r="P179" s="1820"/>
      <c r="Q179" s="1820"/>
      <c r="S179" s="1803"/>
      <c r="T179" s="1803"/>
      <c r="U179" s="1803"/>
      <c r="AC179" s="1820" t="s">
        <v>127</v>
      </c>
      <c r="AD179" s="1820"/>
      <c r="AE179" s="1820"/>
      <c r="AG179" s="1803"/>
      <c r="AH179" s="1803"/>
      <c r="AI179" s="1803"/>
      <c r="AQ179" s="1820" t="s">
        <v>291</v>
      </c>
      <c r="AR179" s="1820"/>
      <c r="AS179" s="1820"/>
      <c r="AU179" s="1803"/>
      <c r="AV179" s="1803"/>
      <c r="AW179" s="1803"/>
    </row>
    <row r="180" spans="1:55" ht="13" x14ac:dyDescent="0.25">
      <c r="A180" s="1804" t="s">
        <v>264</v>
      </c>
      <c r="B180" s="1804"/>
      <c r="C180" s="815">
        <v>0</v>
      </c>
      <c r="E180" s="1805"/>
      <c r="F180" s="1805"/>
      <c r="G180" s="816"/>
      <c r="O180" s="1804" t="s">
        <v>264</v>
      </c>
      <c r="P180" s="1804"/>
      <c r="Q180" s="815">
        <v>0</v>
      </c>
      <c r="S180" s="1805"/>
      <c r="T180" s="1805"/>
      <c r="U180" s="816"/>
      <c r="AC180" s="1804" t="s">
        <v>264</v>
      </c>
      <c r="AD180" s="1804"/>
      <c r="AE180" s="815">
        <v>0</v>
      </c>
      <c r="AG180" s="1805"/>
      <c r="AH180" s="1805"/>
      <c r="AI180" s="816"/>
      <c r="AQ180" s="1804" t="s">
        <v>265</v>
      </c>
      <c r="AR180" s="1804"/>
      <c r="AS180" s="815">
        <f>C180+Q180+AE180</f>
        <v>0</v>
      </c>
      <c r="AU180" s="1805"/>
      <c r="AV180" s="1805"/>
      <c r="AW180" s="816"/>
    </row>
    <row r="181" spans="1:55" ht="13" x14ac:dyDescent="0.25">
      <c r="A181" s="1806" t="s">
        <v>115</v>
      </c>
      <c r="B181" s="1806"/>
      <c r="C181" s="817">
        <v>0</v>
      </c>
      <c r="O181" s="1806" t="s">
        <v>266</v>
      </c>
      <c r="P181" s="1806"/>
      <c r="Q181" s="817">
        <v>0</v>
      </c>
      <c r="AC181" s="1806" t="s">
        <v>266</v>
      </c>
      <c r="AD181" s="1806"/>
      <c r="AE181" s="817">
        <v>0</v>
      </c>
      <c r="AQ181" s="1807"/>
      <c r="AR181" s="1807"/>
      <c r="AS181" s="818"/>
    </row>
    <row r="182" spans="1:55" ht="13" x14ac:dyDescent="0.25">
      <c r="A182" s="1806" t="s">
        <v>89</v>
      </c>
      <c r="B182" s="1806"/>
      <c r="C182" s="819">
        <v>0.16</v>
      </c>
      <c r="D182" s="820"/>
      <c r="O182" s="1806" t="s">
        <v>89</v>
      </c>
      <c r="P182" s="1806"/>
      <c r="Q182" s="819">
        <v>0.16</v>
      </c>
      <c r="R182" s="820"/>
      <c r="AC182" s="1806" t="s">
        <v>89</v>
      </c>
      <c r="AD182" s="1806"/>
      <c r="AE182" s="819">
        <v>0.16</v>
      </c>
      <c r="AF182" s="820"/>
      <c r="AQ182" s="1807"/>
      <c r="AR182" s="1807"/>
      <c r="AS182" s="818"/>
      <c r="AT182" s="820"/>
    </row>
    <row r="183" spans="1:55" ht="13" x14ac:dyDescent="0.25">
      <c r="A183" s="1806" t="s">
        <v>116</v>
      </c>
      <c r="B183" s="1806"/>
      <c r="C183" s="821">
        <v>0</v>
      </c>
      <c r="D183" s="812"/>
      <c r="O183" s="1806" t="s">
        <v>116</v>
      </c>
      <c r="P183" s="1806"/>
      <c r="Q183" s="821">
        <v>0</v>
      </c>
      <c r="R183" s="812"/>
      <c r="AC183" s="1806" t="s">
        <v>116</v>
      </c>
      <c r="AD183" s="1806"/>
      <c r="AE183" s="821">
        <v>0</v>
      </c>
      <c r="AF183" s="812"/>
      <c r="AQ183" s="1806" t="s">
        <v>116</v>
      </c>
      <c r="AR183" s="1806"/>
      <c r="AS183" s="822">
        <f>MAX(C183,Q183,AE183)</f>
        <v>0</v>
      </c>
      <c r="AT183" s="812"/>
    </row>
    <row r="184" spans="1:55" ht="13" x14ac:dyDescent="0.25">
      <c r="A184" s="1810" t="s">
        <v>276</v>
      </c>
      <c r="B184" s="1810"/>
      <c r="C184" s="829"/>
      <c r="O184" s="1810" t="s">
        <v>276</v>
      </c>
      <c r="P184" s="1810"/>
      <c r="Q184" s="829">
        <v>0</v>
      </c>
      <c r="AC184" s="1810" t="s">
        <v>276</v>
      </c>
      <c r="AD184" s="1810"/>
      <c r="AE184" s="829">
        <v>0</v>
      </c>
      <c r="AQ184" s="1810" t="s">
        <v>277</v>
      </c>
      <c r="AR184" s="1810"/>
      <c r="AS184" s="829">
        <f>C184+Q184+AE184</f>
        <v>0</v>
      </c>
    </row>
    <row r="186" spans="1:55" ht="12.75" customHeight="1" x14ac:dyDescent="0.25">
      <c r="A186" s="1821" t="s">
        <v>267</v>
      </c>
      <c r="B186" s="1822" t="s">
        <v>278</v>
      </c>
      <c r="C186" s="1822" t="s">
        <v>89</v>
      </c>
      <c r="D186" s="1822" t="s">
        <v>279</v>
      </c>
      <c r="E186" s="1822" t="s">
        <v>280</v>
      </c>
      <c r="F186" s="1822" t="s">
        <v>281</v>
      </c>
      <c r="G186" s="1822" t="s">
        <v>282</v>
      </c>
      <c r="H186" s="1822" t="s">
        <v>283</v>
      </c>
      <c r="I186" s="1822" t="s">
        <v>284</v>
      </c>
      <c r="J186" s="1822" t="s">
        <v>285</v>
      </c>
      <c r="K186" s="1822" t="s">
        <v>286</v>
      </c>
      <c r="L186" s="1822" t="s">
        <v>287</v>
      </c>
      <c r="M186" s="1823" t="s">
        <v>288</v>
      </c>
      <c r="N186" s="836"/>
      <c r="O186" s="1821" t="s">
        <v>267</v>
      </c>
      <c r="P186" s="1822" t="s">
        <v>278</v>
      </c>
      <c r="Q186" s="1822" t="s">
        <v>89</v>
      </c>
      <c r="R186" s="1822" t="s">
        <v>279</v>
      </c>
      <c r="S186" s="1822" t="s">
        <v>280</v>
      </c>
      <c r="T186" s="1822" t="s">
        <v>281</v>
      </c>
      <c r="U186" s="1822" t="s">
        <v>282</v>
      </c>
      <c r="V186" s="1822" t="s">
        <v>283</v>
      </c>
      <c r="W186" s="1822" t="s">
        <v>284</v>
      </c>
      <c r="X186" s="1822" t="s">
        <v>285</v>
      </c>
      <c r="Y186" s="1822" t="s">
        <v>286</v>
      </c>
      <c r="Z186" s="1822" t="s">
        <v>287</v>
      </c>
      <c r="AA186" s="1823" t="s">
        <v>288</v>
      </c>
      <c r="AB186" s="836"/>
      <c r="AC186" s="1821" t="s">
        <v>267</v>
      </c>
      <c r="AD186" s="1822" t="s">
        <v>278</v>
      </c>
      <c r="AE186" s="1822" t="s">
        <v>89</v>
      </c>
      <c r="AF186" s="1822" t="s">
        <v>279</v>
      </c>
      <c r="AG186" s="1822" t="s">
        <v>280</v>
      </c>
      <c r="AH186" s="1822" t="s">
        <v>281</v>
      </c>
      <c r="AI186" s="1822" t="s">
        <v>282</v>
      </c>
      <c r="AJ186" s="1822" t="s">
        <v>283</v>
      </c>
      <c r="AK186" s="1822" t="s">
        <v>284</v>
      </c>
      <c r="AL186" s="1822" t="s">
        <v>285</v>
      </c>
      <c r="AM186" s="1822" t="s">
        <v>286</v>
      </c>
      <c r="AN186" s="1822" t="s">
        <v>287</v>
      </c>
      <c r="AO186" s="1823" t="s">
        <v>288</v>
      </c>
      <c r="AQ186" s="1821" t="s">
        <v>267</v>
      </c>
      <c r="AR186" s="1822" t="s">
        <v>278</v>
      </c>
      <c r="AS186" s="1822" t="s">
        <v>89</v>
      </c>
      <c r="AT186" s="1822" t="s">
        <v>279</v>
      </c>
      <c r="AU186" s="1822" t="s">
        <v>280</v>
      </c>
      <c r="AV186" s="1822" t="s">
        <v>281</v>
      </c>
      <c r="AW186" s="1822" t="s">
        <v>282</v>
      </c>
      <c r="AX186" s="1822" t="s">
        <v>283</v>
      </c>
      <c r="AY186" s="1822" t="s">
        <v>284</v>
      </c>
      <c r="AZ186" s="1822" t="s">
        <v>285</v>
      </c>
      <c r="BA186" s="1822" t="s">
        <v>286</v>
      </c>
      <c r="BB186" s="1822" t="s">
        <v>287</v>
      </c>
      <c r="BC186" s="1823" t="s">
        <v>288</v>
      </c>
    </row>
    <row r="187" spans="1:55" x14ac:dyDescent="0.25">
      <c r="A187" s="1821"/>
      <c r="B187" s="1822"/>
      <c r="C187" s="1822"/>
      <c r="D187" s="1822"/>
      <c r="E187" s="1822"/>
      <c r="F187" s="1822"/>
      <c r="G187" s="1822"/>
      <c r="H187" s="1822"/>
      <c r="I187" s="1822"/>
      <c r="J187" s="1822"/>
      <c r="K187" s="1822"/>
      <c r="L187" s="1822"/>
      <c r="M187" s="1823"/>
      <c r="N187" s="836"/>
      <c r="O187" s="1821"/>
      <c r="P187" s="1822"/>
      <c r="Q187" s="1822"/>
      <c r="R187" s="1822"/>
      <c r="S187" s="1822"/>
      <c r="T187" s="1822"/>
      <c r="U187" s="1822"/>
      <c r="V187" s="1822"/>
      <c r="W187" s="1822"/>
      <c r="X187" s="1822"/>
      <c r="Y187" s="1822"/>
      <c r="Z187" s="1822"/>
      <c r="AA187" s="1823"/>
      <c r="AB187" s="836"/>
      <c r="AC187" s="1821"/>
      <c r="AD187" s="1822"/>
      <c r="AE187" s="1822"/>
      <c r="AF187" s="1822"/>
      <c r="AG187" s="1822"/>
      <c r="AH187" s="1822"/>
      <c r="AI187" s="1822"/>
      <c r="AJ187" s="1822"/>
      <c r="AK187" s="1822"/>
      <c r="AL187" s="1822"/>
      <c r="AM187" s="1822"/>
      <c r="AN187" s="1822"/>
      <c r="AO187" s="1823"/>
      <c r="AQ187" s="1821"/>
      <c r="AR187" s="1822"/>
      <c r="AS187" s="1822"/>
      <c r="AT187" s="1822"/>
      <c r="AU187" s="1822"/>
      <c r="AV187" s="1822"/>
      <c r="AW187" s="1822"/>
      <c r="AX187" s="1822"/>
      <c r="AY187" s="1822"/>
      <c r="AZ187" s="1822"/>
      <c r="BA187" s="1822"/>
      <c r="BB187" s="1822"/>
      <c r="BC187" s="1823"/>
    </row>
    <row r="188" spans="1:55" x14ac:dyDescent="0.25">
      <c r="A188" s="862">
        <v>1</v>
      </c>
      <c r="B188" s="838">
        <f>C184</f>
        <v>0</v>
      </c>
      <c r="C188" s="838">
        <f>C184*C182</f>
        <v>0</v>
      </c>
      <c r="D188" s="838">
        <f>C188</f>
        <v>0</v>
      </c>
      <c r="E188" s="838">
        <f>C180*C$181/12</f>
        <v>0</v>
      </c>
      <c r="F188" s="838">
        <f>E188</f>
        <v>0</v>
      </c>
      <c r="G188" s="838">
        <f>C184-E188</f>
        <v>0</v>
      </c>
      <c r="H188" s="838">
        <f>G188</f>
        <v>0</v>
      </c>
      <c r="I188" s="839">
        <f>IF(H188=0,0,SUM(G189:G200)+SUM(E189:E200))</f>
        <v>0</v>
      </c>
      <c r="J188" s="839">
        <f>IF(K188&gt;I188,K188-I188,0)</f>
        <v>0</v>
      </c>
      <c r="K188" s="839">
        <f t="shared" ref="K188:K219" si="209">IF(C$183*12&gt;A188,(C$183*12-A188)*C$184,0)</f>
        <v>0</v>
      </c>
      <c r="L188" s="838">
        <f>C$180-H188</f>
        <v>0</v>
      </c>
      <c r="M188" s="840">
        <f>E260-E188</f>
        <v>0</v>
      </c>
      <c r="N188" s="841"/>
      <c r="O188" s="862">
        <v>1</v>
      </c>
      <c r="P188" s="838">
        <f>Q184</f>
        <v>0</v>
      </c>
      <c r="Q188" s="838">
        <f>Q184*Q182</f>
        <v>0</v>
      </c>
      <c r="R188" s="838">
        <f>Q188</f>
        <v>0</v>
      </c>
      <c r="S188" s="838">
        <f>Q180*Q$181/12</f>
        <v>0</v>
      </c>
      <c r="T188" s="838">
        <f>S188</f>
        <v>0</v>
      </c>
      <c r="U188" s="838">
        <f>Q184-S188</f>
        <v>0</v>
      </c>
      <c r="V188" s="838">
        <f>U188</f>
        <v>0</v>
      </c>
      <c r="W188" s="839">
        <f t="shared" ref="W188:W251" si="210">IF(V188=0,0,SUM(U189:U200)+SUM(S189:S200))</f>
        <v>0</v>
      </c>
      <c r="X188" s="839">
        <f>IF(Y188&gt;W188,Y188-W188,0)</f>
        <v>0</v>
      </c>
      <c r="Y188" s="839">
        <f t="shared" ref="Y188:Y219" si="211">IF(Q$183*12&gt;O188,(Q$183*12-O188)*Q$184,0)</f>
        <v>0</v>
      </c>
      <c r="Z188" s="838">
        <f>Q$180-V188</f>
        <v>0</v>
      </c>
      <c r="AA188" s="840">
        <f>S260-S188</f>
        <v>0</v>
      </c>
      <c r="AB188" s="868"/>
      <c r="AC188" s="862">
        <v>1</v>
      </c>
      <c r="AD188" s="838">
        <f>AE184</f>
        <v>0</v>
      </c>
      <c r="AE188" s="838">
        <f>AE184*AE182</f>
        <v>0</v>
      </c>
      <c r="AF188" s="838">
        <f>AE188</f>
        <v>0</v>
      </c>
      <c r="AG188" s="838">
        <f>AE180*AE$181/12</f>
        <v>0</v>
      </c>
      <c r="AH188" s="838">
        <f>AG188</f>
        <v>0</v>
      </c>
      <c r="AI188" s="838">
        <f>AE184-AG188</f>
        <v>0</v>
      </c>
      <c r="AJ188" s="838">
        <f>AI188</f>
        <v>0</v>
      </c>
      <c r="AK188" s="839">
        <f t="shared" ref="AK188:AK251" si="212">IF(AJ188=0,0,SUM(AI189:AI200)+SUM(AG189:AG200))</f>
        <v>0</v>
      </c>
      <c r="AL188" s="839">
        <f>IF(AM188&gt;AK188,AM188-AK188,0)</f>
        <v>0</v>
      </c>
      <c r="AM188" s="839">
        <f t="shared" ref="AM188:AM219" si="213">IF(AE$183*12&gt;AC188,(AE$183*12-AC188)*AE$184,0)</f>
        <v>0</v>
      </c>
      <c r="AN188" s="838">
        <f>AE$180-AJ188</f>
        <v>0</v>
      </c>
      <c r="AO188" s="840">
        <f>AG260-AG188</f>
        <v>0</v>
      </c>
      <c r="AQ188" s="862">
        <v>1</v>
      </c>
      <c r="AR188" s="838">
        <f>B188+P188+AD188</f>
        <v>0</v>
      </c>
      <c r="AS188" s="838">
        <f t="shared" ref="AS188:AS251" si="214">C188+Q188+AE188</f>
        <v>0</v>
      </c>
      <c r="AT188" s="838">
        <f t="shared" ref="AT188:AT251" si="215">D188+R188+AF188</f>
        <v>0</v>
      </c>
      <c r="AU188" s="838">
        <f t="shared" ref="AU188:AU251" si="216">E188+S188+AG188</f>
        <v>0</v>
      </c>
      <c r="AV188" s="838">
        <f t="shared" ref="AV188:AV251" si="217">F188+T188+AH188</f>
        <v>0</v>
      </c>
      <c r="AW188" s="838">
        <f t="shared" ref="AW188:AW251" si="218">G188+U188+AI188</f>
        <v>0</v>
      </c>
      <c r="AX188" s="838">
        <f t="shared" ref="AX188:AX251" si="219">H188+V188+AJ188</f>
        <v>0</v>
      </c>
      <c r="AY188" s="839">
        <f t="shared" ref="AY188:AY251" si="220">I188+W188+AK188</f>
        <v>0</v>
      </c>
      <c r="AZ188" s="839">
        <f t="shared" ref="AZ188:AZ251" si="221">J188+X188+AL188</f>
        <v>0</v>
      </c>
      <c r="BA188" s="839">
        <f t="shared" ref="BA188:BA251" si="222">K188+Y188+AM188</f>
        <v>0</v>
      </c>
      <c r="BB188" s="838">
        <f t="shared" ref="BB188:BC251" si="223">L188+Z188+AN188</f>
        <v>0</v>
      </c>
      <c r="BC188" s="840">
        <f t="shared" si="223"/>
        <v>0</v>
      </c>
    </row>
    <row r="189" spans="1:55" x14ac:dyDescent="0.25">
      <c r="A189" s="863">
        <f>A188+1</f>
        <v>2</v>
      </c>
      <c r="B189" s="847">
        <f>B188+G189+E189</f>
        <v>0</v>
      </c>
      <c r="C189" s="847">
        <f>C188</f>
        <v>0</v>
      </c>
      <c r="D189" s="847">
        <f>C189+D188</f>
        <v>0</v>
      </c>
      <c r="E189" s="847">
        <f t="shared" ref="E189:E220" si="224">L188*C$181/12</f>
        <v>0</v>
      </c>
      <c r="F189" s="847">
        <f>E189+F188</f>
        <v>0</v>
      </c>
      <c r="G189" s="847">
        <f>C184-E189</f>
        <v>0</v>
      </c>
      <c r="H189" s="847">
        <f>G189+H188</f>
        <v>0</v>
      </c>
      <c r="I189" s="839">
        <f t="shared" ref="I189:I252" si="225">IF(H189=0,0,SUM(G190:G201)+SUM(E190:E201))</f>
        <v>0</v>
      </c>
      <c r="J189" s="839">
        <f t="shared" ref="J189:J252" si="226">IF(K189&gt;I189,K189-I189,0)</f>
        <v>0</v>
      </c>
      <c r="K189" s="839">
        <f t="shared" si="209"/>
        <v>0</v>
      </c>
      <c r="L189" s="847">
        <f>C$180-H189</f>
        <v>0</v>
      </c>
      <c r="M189" s="848">
        <f>M188-E189</f>
        <v>0</v>
      </c>
      <c r="N189" s="841"/>
      <c r="O189" s="863">
        <f>O188+1</f>
        <v>2</v>
      </c>
      <c r="P189" s="847">
        <f>P188+U189+S189</f>
        <v>0</v>
      </c>
      <c r="Q189" s="847">
        <f>Q188</f>
        <v>0</v>
      </c>
      <c r="R189" s="847">
        <f>Q189+R188</f>
        <v>0</v>
      </c>
      <c r="S189" s="847">
        <f t="shared" ref="S189:S220" si="227">Z188*Q$181/12</f>
        <v>0</v>
      </c>
      <c r="T189" s="847">
        <f>S189+T188</f>
        <v>0</v>
      </c>
      <c r="U189" s="847">
        <f>Q184-S189</f>
        <v>0</v>
      </c>
      <c r="V189" s="847">
        <f>U189+V188</f>
        <v>0</v>
      </c>
      <c r="W189" s="839">
        <f t="shared" si="210"/>
        <v>0</v>
      </c>
      <c r="X189" s="839">
        <f t="shared" ref="X189:X252" si="228">IF(Y189&gt;W189,Y189-W189,0)</f>
        <v>0</v>
      </c>
      <c r="Y189" s="839">
        <f t="shared" si="211"/>
        <v>0</v>
      </c>
      <c r="Z189" s="847">
        <f>Q$180-V189</f>
        <v>0</v>
      </c>
      <c r="AA189" s="848">
        <f>AA188-S189</f>
        <v>0</v>
      </c>
      <c r="AB189" s="868"/>
      <c r="AC189" s="863">
        <f>AC188+1</f>
        <v>2</v>
      </c>
      <c r="AD189" s="847">
        <f>AD188+AI189+AG189</f>
        <v>0</v>
      </c>
      <c r="AE189" s="847">
        <f>AE188</f>
        <v>0</v>
      </c>
      <c r="AF189" s="847">
        <f>AE189+AF188</f>
        <v>0</v>
      </c>
      <c r="AG189" s="847">
        <f t="shared" ref="AG189:AG220" si="229">AN188*AE$181/12</f>
        <v>0</v>
      </c>
      <c r="AH189" s="847">
        <f>AG189+AH188</f>
        <v>0</v>
      </c>
      <c r="AI189" s="847">
        <f>AE184-AG189</f>
        <v>0</v>
      </c>
      <c r="AJ189" s="847">
        <f>AI189+AJ188</f>
        <v>0</v>
      </c>
      <c r="AK189" s="839">
        <f t="shared" si="212"/>
        <v>0</v>
      </c>
      <c r="AL189" s="839">
        <f t="shared" ref="AL189:AL252" si="230">IF(AM189&gt;AK189,AM189-AK189,0)</f>
        <v>0</v>
      </c>
      <c r="AM189" s="839">
        <f t="shared" si="213"/>
        <v>0</v>
      </c>
      <c r="AN189" s="847">
        <f>AE$180-AJ189</f>
        <v>0</v>
      </c>
      <c r="AO189" s="848">
        <f>AO188-AG189</f>
        <v>0</v>
      </c>
      <c r="AQ189" s="863">
        <f>AQ188+1</f>
        <v>2</v>
      </c>
      <c r="AR189" s="847">
        <f t="shared" ref="AR189:AR252" si="231">B189+P189+AD189</f>
        <v>0</v>
      </c>
      <c r="AS189" s="847">
        <f t="shared" si="214"/>
        <v>0</v>
      </c>
      <c r="AT189" s="847">
        <f t="shared" si="215"/>
        <v>0</v>
      </c>
      <c r="AU189" s="847">
        <f t="shared" si="216"/>
        <v>0</v>
      </c>
      <c r="AV189" s="847">
        <f t="shared" si="217"/>
        <v>0</v>
      </c>
      <c r="AW189" s="847">
        <f t="shared" si="218"/>
        <v>0</v>
      </c>
      <c r="AX189" s="847">
        <f t="shared" si="219"/>
        <v>0</v>
      </c>
      <c r="AY189" s="839">
        <f t="shared" si="220"/>
        <v>0</v>
      </c>
      <c r="AZ189" s="839">
        <f t="shared" si="221"/>
        <v>0</v>
      </c>
      <c r="BA189" s="839">
        <f t="shared" si="222"/>
        <v>0</v>
      </c>
      <c r="BB189" s="847">
        <f t="shared" si="223"/>
        <v>0</v>
      </c>
      <c r="BC189" s="848">
        <f t="shared" si="223"/>
        <v>0</v>
      </c>
    </row>
    <row r="190" spans="1:55" x14ac:dyDescent="0.25">
      <c r="A190" s="863">
        <f t="shared" ref="A190:A253" si="232">A189+1</f>
        <v>3</v>
      </c>
      <c r="B190" s="847">
        <f>B189+G190+E190</f>
        <v>0</v>
      </c>
      <c r="C190" s="847">
        <f t="shared" ref="C190:C223" si="233">IF(AND(B190=0,G190=0),0,C189)</f>
        <v>0</v>
      </c>
      <c r="D190" s="847">
        <f t="shared" ref="D190:D223" si="234">IF(C190=0,0,C190+D189)</f>
        <v>0</v>
      </c>
      <c r="E190" s="847">
        <f t="shared" si="224"/>
        <v>0</v>
      </c>
      <c r="F190" s="847">
        <f>E190+F189</f>
        <v>0</v>
      </c>
      <c r="G190" s="847">
        <f t="shared" ref="G190:G221" si="235">IF(ABS(C$180-H189)&lt;1,0,G189*(1+C$181/12))</f>
        <v>0</v>
      </c>
      <c r="H190" s="847">
        <f>G190+H189</f>
        <v>0</v>
      </c>
      <c r="I190" s="839">
        <f t="shared" si="225"/>
        <v>0</v>
      </c>
      <c r="J190" s="839">
        <f t="shared" si="226"/>
        <v>0</v>
      </c>
      <c r="K190" s="839">
        <f t="shared" si="209"/>
        <v>0</v>
      </c>
      <c r="L190" s="847">
        <f>C$180-H190</f>
        <v>0</v>
      </c>
      <c r="M190" s="848">
        <f t="shared" ref="M190:M240" si="236">M189-E190</f>
        <v>0</v>
      </c>
      <c r="N190" s="841"/>
      <c r="O190" s="863">
        <f t="shared" ref="O190:O253" si="237">O189+1</f>
        <v>3</v>
      </c>
      <c r="P190" s="847">
        <f>P189+U190+S190</f>
        <v>0</v>
      </c>
      <c r="Q190" s="847">
        <f t="shared" ref="Q190:Q223" si="238">IF(AND(P190=0,U190=0),0,Q189)</f>
        <v>0</v>
      </c>
      <c r="R190" s="847">
        <f t="shared" ref="R190:R223" si="239">IF(Q190=0,0,Q190+R189)</f>
        <v>0</v>
      </c>
      <c r="S190" s="847">
        <f t="shared" si="227"/>
        <v>0</v>
      </c>
      <c r="T190" s="847">
        <f>S190+T189</f>
        <v>0</v>
      </c>
      <c r="U190" s="847">
        <f t="shared" ref="U190:U221" si="240">IF(ABS(Q$180-V189)&lt;1,0,U189*(1+Q$181/12))</f>
        <v>0</v>
      </c>
      <c r="V190" s="847">
        <f>U190+V189</f>
        <v>0</v>
      </c>
      <c r="W190" s="839">
        <f t="shared" si="210"/>
        <v>0</v>
      </c>
      <c r="X190" s="839">
        <f t="shared" si="228"/>
        <v>0</v>
      </c>
      <c r="Y190" s="839">
        <f t="shared" si="211"/>
        <v>0</v>
      </c>
      <c r="Z190" s="847">
        <f>Q$180-V190</f>
        <v>0</v>
      </c>
      <c r="AA190" s="848">
        <f t="shared" ref="AA190:AA240" si="241">AA189-S190</f>
        <v>0</v>
      </c>
      <c r="AB190" s="868"/>
      <c r="AC190" s="863">
        <f t="shared" ref="AC190:AC253" si="242">AC189+1</f>
        <v>3</v>
      </c>
      <c r="AD190" s="847">
        <f>AD189+AI190+AG190</f>
        <v>0</v>
      </c>
      <c r="AE190" s="847">
        <f t="shared" ref="AE190:AE223" si="243">IF(AND(AD190=0,AI190=0),0,AE189)</f>
        <v>0</v>
      </c>
      <c r="AF190" s="847">
        <f t="shared" ref="AF190:AF223" si="244">IF(AE190=0,0,AE190+AF189)</f>
        <v>0</v>
      </c>
      <c r="AG190" s="847">
        <f t="shared" si="229"/>
        <v>0</v>
      </c>
      <c r="AH190" s="847">
        <f>AG190+AH189</f>
        <v>0</v>
      </c>
      <c r="AI190" s="847">
        <f t="shared" ref="AI190:AI221" si="245">IF(ABS(AE$180-AJ189)&lt;1,0,AI189*(1+AE$181/12))</f>
        <v>0</v>
      </c>
      <c r="AJ190" s="847">
        <f>AI190+AJ189</f>
        <v>0</v>
      </c>
      <c r="AK190" s="839">
        <f t="shared" si="212"/>
        <v>0</v>
      </c>
      <c r="AL190" s="839">
        <f t="shared" si="230"/>
        <v>0</v>
      </c>
      <c r="AM190" s="839">
        <f t="shared" si="213"/>
        <v>0</v>
      </c>
      <c r="AN190" s="847">
        <f>AE$180-AJ190</f>
        <v>0</v>
      </c>
      <c r="AO190" s="848">
        <f t="shared" ref="AO190:AO240" si="246">AO189-AG190</f>
        <v>0</v>
      </c>
      <c r="AQ190" s="863">
        <f t="shared" ref="AQ190:AQ253" si="247">AQ189+1</f>
        <v>3</v>
      </c>
      <c r="AR190" s="847">
        <f t="shared" si="231"/>
        <v>0</v>
      </c>
      <c r="AS190" s="847">
        <f t="shared" si="214"/>
        <v>0</v>
      </c>
      <c r="AT190" s="847">
        <f t="shared" si="215"/>
        <v>0</v>
      </c>
      <c r="AU190" s="847">
        <f t="shared" si="216"/>
        <v>0</v>
      </c>
      <c r="AV190" s="847">
        <f t="shared" si="217"/>
        <v>0</v>
      </c>
      <c r="AW190" s="847">
        <f t="shared" si="218"/>
        <v>0</v>
      </c>
      <c r="AX190" s="847">
        <f t="shared" si="219"/>
        <v>0</v>
      </c>
      <c r="AY190" s="839">
        <f t="shared" si="220"/>
        <v>0</v>
      </c>
      <c r="AZ190" s="839">
        <f t="shared" si="221"/>
        <v>0</v>
      </c>
      <c r="BA190" s="839">
        <f t="shared" si="222"/>
        <v>0</v>
      </c>
      <c r="BB190" s="847">
        <f t="shared" si="223"/>
        <v>0</v>
      </c>
      <c r="BC190" s="848">
        <f t="shared" si="223"/>
        <v>0</v>
      </c>
    </row>
    <row r="191" spans="1:55" x14ac:dyDescent="0.25">
      <c r="A191" s="863">
        <f t="shared" si="232"/>
        <v>4</v>
      </c>
      <c r="B191" s="847">
        <f>B190+G191+E191</f>
        <v>0</v>
      </c>
      <c r="C191" s="847">
        <f t="shared" si="233"/>
        <v>0</v>
      </c>
      <c r="D191" s="847">
        <f t="shared" si="234"/>
        <v>0</v>
      </c>
      <c r="E191" s="847">
        <f t="shared" si="224"/>
        <v>0</v>
      </c>
      <c r="F191" s="847">
        <f>E191+F190</f>
        <v>0</v>
      </c>
      <c r="G191" s="847">
        <f t="shared" si="235"/>
        <v>0</v>
      </c>
      <c r="H191" s="847">
        <f>G191+H190</f>
        <v>0</v>
      </c>
      <c r="I191" s="839">
        <f t="shared" si="225"/>
        <v>0</v>
      </c>
      <c r="J191" s="839">
        <f t="shared" si="226"/>
        <v>0</v>
      </c>
      <c r="K191" s="839">
        <f t="shared" si="209"/>
        <v>0</v>
      </c>
      <c r="L191" s="847">
        <f>C$180-H191</f>
        <v>0</v>
      </c>
      <c r="M191" s="848">
        <f t="shared" si="236"/>
        <v>0</v>
      </c>
      <c r="N191" s="841"/>
      <c r="O191" s="863">
        <f t="shared" si="237"/>
        <v>4</v>
      </c>
      <c r="P191" s="847">
        <f>P190+U191+S191</f>
        <v>0</v>
      </c>
      <c r="Q191" s="847">
        <f t="shared" si="238"/>
        <v>0</v>
      </c>
      <c r="R191" s="847">
        <f t="shared" si="239"/>
        <v>0</v>
      </c>
      <c r="S191" s="847">
        <f t="shared" si="227"/>
        <v>0</v>
      </c>
      <c r="T191" s="847">
        <f>S191+T190</f>
        <v>0</v>
      </c>
      <c r="U191" s="847">
        <f t="shared" si="240"/>
        <v>0</v>
      </c>
      <c r="V191" s="847">
        <f>U191+V190</f>
        <v>0</v>
      </c>
      <c r="W191" s="839">
        <f t="shared" si="210"/>
        <v>0</v>
      </c>
      <c r="X191" s="839">
        <f t="shared" si="228"/>
        <v>0</v>
      </c>
      <c r="Y191" s="839">
        <f t="shared" si="211"/>
        <v>0</v>
      </c>
      <c r="Z191" s="847">
        <f>Q$180-V191</f>
        <v>0</v>
      </c>
      <c r="AA191" s="848">
        <f t="shared" si="241"/>
        <v>0</v>
      </c>
      <c r="AB191" s="868"/>
      <c r="AC191" s="863">
        <f t="shared" si="242"/>
        <v>4</v>
      </c>
      <c r="AD191" s="847">
        <f>AD190+AI191+AG191</f>
        <v>0</v>
      </c>
      <c r="AE191" s="847">
        <f t="shared" si="243"/>
        <v>0</v>
      </c>
      <c r="AF191" s="847">
        <f t="shared" si="244"/>
        <v>0</v>
      </c>
      <c r="AG191" s="847">
        <f t="shared" si="229"/>
        <v>0</v>
      </c>
      <c r="AH191" s="847">
        <f>AG191+AH190</f>
        <v>0</v>
      </c>
      <c r="AI191" s="847">
        <f t="shared" si="245"/>
        <v>0</v>
      </c>
      <c r="AJ191" s="847">
        <f>AI191+AJ190</f>
        <v>0</v>
      </c>
      <c r="AK191" s="839">
        <f t="shared" si="212"/>
        <v>0</v>
      </c>
      <c r="AL191" s="839">
        <f t="shared" si="230"/>
        <v>0</v>
      </c>
      <c r="AM191" s="839">
        <f t="shared" si="213"/>
        <v>0</v>
      </c>
      <c r="AN191" s="847">
        <f>AE$180-AJ191</f>
        <v>0</v>
      </c>
      <c r="AO191" s="848">
        <f t="shared" si="246"/>
        <v>0</v>
      </c>
      <c r="AQ191" s="863">
        <f t="shared" si="247"/>
        <v>4</v>
      </c>
      <c r="AR191" s="847">
        <f t="shared" si="231"/>
        <v>0</v>
      </c>
      <c r="AS191" s="847">
        <f t="shared" si="214"/>
        <v>0</v>
      </c>
      <c r="AT191" s="847">
        <f t="shared" si="215"/>
        <v>0</v>
      </c>
      <c r="AU191" s="847">
        <f t="shared" si="216"/>
        <v>0</v>
      </c>
      <c r="AV191" s="847">
        <f t="shared" si="217"/>
        <v>0</v>
      </c>
      <c r="AW191" s="847">
        <f t="shared" si="218"/>
        <v>0</v>
      </c>
      <c r="AX191" s="847">
        <f t="shared" si="219"/>
        <v>0</v>
      </c>
      <c r="AY191" s="839">
        <f t="shared" si="220"/>
        <v>0</v>
      </c>
      <c r="AZ191" s="839">
        <f t="shared" si="221"/>
        <v>0</v>
      </c>
      <c r="BA191" s="839">
        <f t="shared" si="222"/>
        <v>0</v>
      </c>
      <c r="BB191" s="847">
        <f t="shared" si="223"/>
        <v>0</v>
      </c>
      <c r="BC191" s="848">
        <f t="shared" si="223"/>
        <v>0</v>
      </c>
    </row>
    <row r="192" spans="1:55" x14ac:dyDescent="0.25">
      <c r="A192" s="863">
        <f t="shared" si="232"/>
        <v>5</v>
      </c>
      <c r="B192" s="847">
        <f>B191+G192+E192</f>
        <v>0</v>
      </c>
      <c r="C192" s="847">
        <f t="shared" si="233"/>
        <v>0</v>
      </c>
      <c r="D192" s="847">
        <f t="shared" si="234"/>
        <v>0</v>
      </c>
      <c r="E192" s="847">
        <f t="shared" si="224"/>
        <v>0</v>
      </c>
      <c r="F192" s="847">
        <f>E192+F191</f>
        <v>0</v>
      </c>
      <c r="G192" s="847">
        <f t="shared" si="235"/>
        <v>0</v>
      </c>
      <c r="H192" s="847">
        <f>G192+H191</f>
        <v>0</v>
      </c>
      <c r="I192" s="839">
        <f t="shared" si="225"/>
        <v>0</v>
      </c>
      <c r="J192" s="839">
        <f t="shared" si="226"/>
        <v>0</v>
      </c>
      <c r="K192" s="839">
        <f t="shared" si="209"/>
        <v>0</v>
      </c>
      <c r="L192" s="847">
        <f>C$180-H192</f>
        <v>0</v>
      </c>
      <c r="M192" s="848">
        <f t="shared" si="236"/>
        <v>0</v>
      </c>
      <c r="N192" s="841"/>
      <c r="O192" s="863">
        <f t="shared" si="237"/>
        <v>5</v>
      </c>
      <c r="P192" s="847">
        <f>P191+U192+S192</f>
        <v>0</v>
      </c>
      <c r="Q192" s="847">
        <f t="shared" si="238"/>
        <v>0</v>
      </c>
      <c r="R192" s="847">
        <f t="shared" si="239"/>
        <v>0</v>
      </c>
      <c r="S192" s="847">
        <f t="shared" si="227"/>
        <v>0</v>
      </c>
      <c r="T192" s="847">
        <f>S192+T191</f>
        <v>0</v>
      </c>
      <c r="U192" s="847">
        <f t="shared" si="240"/>
        <v>0</v>
      </c>
      <c r="V192" s="847">
        <f>U192+V191</f>
        <v>0</v>
      </c>
      <c r="W192" s="839">
        <f t="shared" si="210"/>
        <v>0</v>
      </c>
      <c r="X192" s="839">
        <f t="shared" si="228"/>
        <v>0</v>
      </c>
      <c r="Y192" s="839">
        <f t="shared" si="211"/>
        <v>0</v>
      </c>
      <c r="Z192" s="847">
        <f>Q$180-V192</f>
        <v>0</v>
      </c>
      <c r="AA192" s="848">
        <f t="shared" si="241"/>
        <v>0</v>
      </c>
      <c r="AB192" s="868"/>
      <c r="AC192" s="863">
        <f t="shared" si="242"/>
        <v>5</v>
      </c>
      <c r="AD192" s="847">
        <f>AD191+AI192+AG192</f>
        <v>0</v>
      </c>
      <c r="AE192" s="847">
        <f t="shared" si="243"/>
        <v>0</v>
      </c>
      <c r="AF192" s="847">
        <f t="shared" si="244"/>
        <v>0</v>
      </c>
      <c r="AG192" s="847">
        <f t="shared" si="229"/>
        <v>0</v>
      </c>
      <c r="AH192" s="847">
        <f>AG192+AH191</f>
        <v>0</v>
      </c>
      <c r="AI192" s="847">
        <f t="shared" si="245"/>
        <v>0</v>
      </c>
      <c r="AJ192" s="847">
        <f>AI192+AJ191</f>
        <v>0</v>
      </c>
      <c r="AK192" s="839">
        <f t="shared" si="212"/>
        <v>0</v>
      </c>
      <c r="AL192" s="839">
        <f t="shared" si="230"/>
        <v>0</v>
      </c>
      <c r="AM192" s="839">
        <f t="shared" si="213"/>
        <v>0</v>
      </c>
      <c r="AN192" s="847">
        <f>AE$180-AJ192</f>
        <v>0</v>
      </c>
      <c r="AO192" s="848">
        <f t="shared" si="246"/>
        <v>0</v>
      </c>
      <c r="AQ192" s="863">
        <f t="shared" si="247"/>
        <v>5</v>
      </c>
      <c r="AR192" s="847">
        <f t="shared" si="231"/>
        <v>0</v>
      </c>
      <c r="AS192" s="847">
        <f t="shared" si="214"/>
        <v>0</v>
      </c>
      <c r="AT192" s="847">
        <f t="shared" si="215"/>
        <v>0</v>
      </c>
      <c r="AU192" s="847">
        <f t="shared" si="216"/>
        <v>0</v>
      </c>
      <c r="AV192" s="847">
        <f t="shared" si="217"/>
        <v>0</v>
      </c>
      <c r="AW192" s="847">
        <f t="shared" si="218"/>
        <v>0</v>
      </c>
      <c r="AX192" s="847">
        <f t="shared" si="219"/>
        <v>0</v>
      </c>
      <c r="AY192" s="839">
        <f t="shared" si="220"/>
        <v>0</v>
      </c>
      <c r="AZ192" s="839">
        <f t="shared" si="221"/>
        <v>0</v>
      </c>
      <c r="BA192" s="839">
        <f t="shared" si="222"/>
        <v>0</v>
      </c>
      <c r="BB192" s="847">
        <f t="shared" si="223"/>
        <v>0</v>
      </c>
      <c r="BC192" s="848">
        <f t="shared" si="223"/>
        <v>0</v>
      </c>
    </row>
    <row r="193" spans="1:55" x14ac:dyDescent="0.25">
      <c r="A193" s="863">
        <f t="shared" si="232"/>
        <v>6</v>
      </c>
      <c r="B193" s="847">
        <f t="shared" ref="B193:B256" si="248">IF(E193&lt;0.05,0,B192+G193+E193)</f>
        <v>0</v>
      </c>
      <c r="C193" s="847">
        <f t="shared" si="233"/>
        <v>0</v>
      </c>
      <c r="D193" s="847">
        <f t="shared" si="234"/>
        <v>0</v>
      </c>
      <c r="E193" s="847">
        <f t="shared" si="224"/>
        <v>0</v>
      </c>
      <c r="F193" s="847">
        <f>IF(L193=0,0,E193+F192)</f>
        <v>0</v>
      </c>
      <c r="G193" s="847">
        <f t="shared" si="235"/>
        <v>0</v>
      </c>
      <c r="H193" s="847">
        <f t="shared" ref="H193:H223" si="249">IF(B193=0,0,G193+H192)</f>
        <v>0</v>
      </c>
      <c r="I193" s="839">
        <f t="shared" si="225"/>
        <v>0</v>
      </c>
      <c r="J193" s="839">
        <f t="shared" si="226"/>
        <v>0</v>
      </c>
      <c r="K193" s="839">
        <f t="shared" si="209"/>
        <v>0</v>
      </c>
      <c r="L193" s="847">
        <f t="shared" ref="L193:L224" si="250">IF(H193=0,0,C$180-H193)</f>
        <v>0</v>
      </c>
      <c r="M193" s="848">
        <f t="shared" si="236"/>
        <v>0</v>
      </c>
      <c r="N193" s="841"/>
      <c r="O193" s="863">
        <f t="shared" si="237"/>
        <v>6</v>
      </c>
      <c r="P193" s="847">
        <f t="shared" ref="P193:P256" si="251">IF(S193&lt;0.05,0,P192+U193+S193)</f>
        <v>0</v>
      </c>
      <c r="Q193" s="847">
        <f t="shared" si="238"/>
        <v>0</v>
      </c>
      <c r="R193" s="847">
        <f t="shared" si="239"/>
        <v>0</v>
      </c>
      <c r="S193" s="847">
        <f t="shared" si="227"/>
        <v>0</v>
      </c>
      <c r="T193" s="847">
        <f>IF(Z193=0,0,S193+T192)</f>
        <v>0</v>
      </c>
      <c r="U193" s="847">
        <f t="shared" si="240"/>
        <v>0</v>
      </c>
      <c r="V193" s="847">
        <f t="shared" ref="V193:V223" si="252">IF(P193=0,0,U193+V192)</f>
        <v>0</v>
      </c>
      <c r="W193" s="839">
        <f t="shared" si="210"/>
        <v>0</v>
      </c>
      <c r="X193" s="839">
        <f t="shared" si="228"/>
        <v>0</v>
      </c>
      <c r="Y193" s="839">
        <f t="shared" si="211"/>
        <v>0</v>
      </c>
      <c r="Z193" s="847">
        <f t="shared" ref="Z193:Z224" si="253">IF(V193=0,0,Q$180-V193)</f>
        <v>0</v>
      </c>
      <c r="AA193" s="848">
        <f t="shared" si="241"/>
        <v>0</v>
      </c>
      <c r="AB193" s="868"/>
      <c r="AC193" s="863">
        <f t="shared" si="242"/>
        <v>6</v>
      </c>
      <c r="AD193" s="847">
        <f t="shared" ref="AD193:AD256" si="254">IF(AG193&lt;0.05,0,AD192+AI193+AG193)</f>
        <v>0</v>
      </c>
      <c r="AE193" s="847">
        <f t="shared" si="243"/>
        <v>0</v>
      </c>
      <c r="AF193" s="847">
        <f t="shared" si="244"/>
        <v>0</v>
      </c>
      <c r="AG193" s="847">
        <f t="shared" si="229"/>
        <v>0</v>
      </c>
      <c r="AH193" s="847">
        <f>IF(AN193=0,0,AG193+AH192)</f>
        <v>0</v>
      </c>
      <c r="AI193" s="847">
        <f t="shared" si="245"/>
        <v>0</v>
      </c>
      <c r="AJ193" s="847">
        <f t="shared" ref="AJ193:AJ223" si="255">IF(AD193=0,0,AI193+AJ192)</f>
        <v>0</v>
      </c>
      <c r="AK193" s="839">
        <f t="shared" si="212"/>
        <v>0</v>
      </c>
      <c r="AL193" s="839">
        <f t="shared" si="230"/>
        <v>0</v>
      </c>
      <c r="AM193" s="839">
        <f t="shared" si="213"/>
        <v>0</v>
      </c>
      <c r="AN193" s="847">
        <f t="shared" ref="AN193:AN224" si="256">IF(AJ193=0,0,AE$180-AJ193)</f>
        <v>0</v>
      </c>
      <c r="AO193" s="848">
        <f t="shared" si="246"/>
        <v>0</v>
      </c>
      <c r="AQ193" s="863">
        <f t="shared" si="247"/>
        <v>6</v>
      </c>
      <c r="AR193" s="847">
        <f t="shared" si="231"/>
        <v>0</v>
      </c>
      <c r="AS193" s="847">
        <f t="shared" si="214"/>
        <v>0</v>
      </c>
      <c r="AT193" s="847">
        <f t="shared" si="215"/>
        <v>0</v>
      </c>
      <c r="AU193" s="847">
        <f t="shared" si="216"/>
        <v>0</v>
      </c>
      <c r="AV193" s="847">
        <f t="shared" si="217"/>
        <v>0</v>
      </c>
      <c r="AW193" s="847">
        <f t="shared" si="218"/>
        <v>0</v>
      </c>
      <c r="AX193" s="847">
        <f t="shared" si="219"/>
        <v>0</v>
      </c>
      <c r="AY193" s="839">
        <f t="shared" si="220"/>
        <v>0</v>
      </c>
      <c r="AZ193" s="839">
        <f t="shared" si="221"/>
        <v>0</v>
      </c>
      <c r="BA193" s="839">
        <f t="shared" si="222"/>
        <v>0</v>
      </c>
      <c r="BB193" s="847">
        <f t="shared" si="223"/>
        <v>0</v>
      </c>
      <c r="BC193" s="848">
        <f t="shared" si="223"/>
        <v>0</v>
      </c>
    </row>
    <row r="194" spans="1:55" x14ac:dyDescent="0.25">
      <c r="A194" s="863">
        <f t="shared" si="232"/>
        <v>7</v>
      </c>
      <c r="B194" s="847">
        <f t="shared" si="248"/>
        <v>0</v>
      </c>
      <c r="C194" s="847">
        <f t="shared" si="233"/>
        <v>0</v>
      </c>
      <c r="D194" s="847">
        <f t="shared" si="234"/>
        <v>0</v>
      </c>
      <c r="E194" s="847">
        <f t="shared" si="224"/>
        <v>0</v>
      </c>
      <c r="F194" s="847">
        <f t="shared" ref="F194:F201" si="257">IF(L194=0,0,E194+F193)</f>
        <v>0</v>
      </c>
      <c r="G194" s="847">
        <f t="shared" si="235"/>
        <v>0</v>
      </c>
      <c r="H194" s="847">
        <f t="shared" si="249"/>
        <v>0</v>
      </c>
      <c r="I194" s="839">
        <f t="shared" si="225"/>
        <v>0</v>
      </c>
      <c r="J194" s="839">
        <f t="shared" si="226"/>
        <v>0</v>
      </c>
      <c r="K194" s="839">
        <f t="shared" si="209"/>
        <v>0</v>
      </c>
      <c r="L194" s="847">
        <f t="shared" si="250"/>
        <v>0</v>
      </c>
      <c r="M194" s="848">
        <f t="shared" si="236"/>
        <v>0</v>
      </c>
      <c r="N194" s="841"/>
      <c r="O194" s="863">
        <f t="shared" si="237"/>
        <v>7</v>
      </c>
      <c r="P194" s="847">
        <f t="shared" si="251"/>
        <v>0</v>
      </c>
      <c r="Q194" s="847">
        <f t="shared" si="238"/>
        <v>0</v>
      </c>
      <c r="R194" s="847">
        <f t="shared" si="239"/>
        <v>0</v>
      </c>
      <c r="S194" s="847">
        <f t="shared" si="227"/>
        <v>0</v>
      </c>
      <c r="T194" s="847">
        <f t="shared" ref="T194:T201" si="258">IF(Z194=0,0,S194+T193)</f>
        <v>0</v>
      </c>
      <c r="U194" s="847">
        <f t="shared" si="240"/>
        <v>0</v>
      </c>
      <c r="V194" s="847">
        <f t="shared" si="252"/>
        <v>0</v>
      </c>
      <c r="W194" s="839">
        <f t="shared" si="210"/>
        <v>0</v>
      </c>
      <c r="X194" s="839">
        <f t="shared" si="228"/>
        <v>0</v>
      </c>
      <c r="Y194" s="839">
        <f t="shared" si="211"/>
        <v>0</v>
      </c>
      <c r="Z194" s="847">
        <f t="shared" si="253"/>
        <v>0</v>
      </c>
      <c r="AA194" s="848">
        <f t="shared" si="241"/>
        <v>0</v>
      </c>
      <c r="AB194" s="868"/>
      <c r="AC194" s="863">
        <f t="shared" si="242"/>
        <v>7</v>
      </c>
      <c r="AD194" s="847">
        <f t="shared" si="254"/>
        <v>0</v>
      </c>
      <c r="AE194" s="847">
        <f t="shared" si="243"/>
        <v>0</v>
      </c>
      <c r="AF194" s="847">
        <f t="shared" si="244"/>
        <v>0</v>
      </c>
      <c r="AG194" s="847">
        <f t="shared" si="229"/>
        <v>0</v>
      </c>
      <c r="AH194" s="847">
        <f t="shared" ref="AH194:AH201" si="259">IF(AN194=0,0,AG194+AH193)</f>
        <v>0</v>
      </c>
      <c r="AI194" s="847">
        <f t="shared" si="245"/>
        <v>0</v>
      </c>
      <c r="AJ194" s="847">
        <f t="shared" si="255"/>
        <v>0</v>
      </c>
      <c r="AK194" s="839">
        <f t="shared" si="212"/>
        <v>0</v>
      </c>
      <c r="AL194" s="839">
        <f t="shared" si="230"/>
        <v>0</v>
      </c>
      <c r="AM194" s="839">
        <f t="shared" si="213"/>
        <v>0</v>
      </c>
      <c r="AN194" s="847">
        <f t="shared" si="256"/>
        <v>0</v>
      </c>
      <c r="AO194" s="848">
        <f t="shared" si="246"/>
        <v>0</v>
      </c>
      <c r="AQ194" s="863">
        <f t="shared" si="247"/>
        <v>7</v>
      </c>
      <c r="AR194" s="847">
        <f t="shared" si="231"/>
        <v>0</v>
      </c>
      <c r="AS194" s="847">
        <f t="shared" si="214"/>
        <v>0</v>
      </c>
      <c r="AT194" s="847">
        <f t="shared" si="215"/>
        <v>0</v>
      </c>
      <c r="AU194" s="847">
        <f t="shared" si="216"/>
        <v>0</v>
      </c>
      <c r="AV194" s="847">
        <f t="shared" si="217"/>
        <v>0</v>
      </c>
      <c r="AW194" s="847">
        <f t="shared" si="218"/>
        <v>0</v>
      </c>
      <c r="AX194" s="847">
        <f t="shared" si="219"/>
        <v>0</v>
      </c>
      <c r="AY194" s="839">
        <f t="shared" si="220"/>
        <v>0</v>
      </c>
      <c r="AZ194" s="839">
        <f t="shared" si="221"/>
        <v>0</v>
      </c>
      <c r="BA194" s="839">
        <f t="shared" si="222"/>
        <v>0</v>
      </c>
      <c r="BB194" s="847">
        <f t="shared" si="223"/>
        <v>0</v>
      </c>
      <c r="BC194" s="848">
        <f t="shared" si="223"/>
        <v>0</v>
      </c>
    </row>
    <row r="195" spans="1:55" x14ac:dyDescent="0.25">
      <c r="A195" s="863">
        <f t="shared" si="232"/>
        <v>8</v>
      </c>
      <c r="B195" s="847">
        <f t="shared" si="248"/>
        <v>0</v>
      </c>
      <c r="C195" s="847">
        <f t="shared" si="233"/>
        <v>0</v>
      </c>
      <c r="D195" s="847">
        <f t="shared" si="234"/>
        <v>0</v>
      </c>
      <c r="E195" s="847">
        <f t="shared" si="224"/>
        <v>0</v>
      </c>
      <c r="F195" s="847">
        <f t="shared" si="257"/>
        <v>0</v>
      </c>
      <c r="G195" s="847">
        <f t="shared" si="235"/>
        <v>0</v>
      </c>
      <c r="H195" s="847">
        <f t="shared" si="249"/>
        <v>0</v>
      </c>
      <c r="I195" s="839">
        <f t="shared" si="225"/>
        <v>0</v>
      </c>
      <c r="J195" s="839">
        <f t="shared" si="226"/>
        <v>0</v>
      </c>
      <c r="K195" s="839">
        <f t="shared" si="209"/>
        <v>0</v>
      </c>
      <c r="L195" s="847">
        <f t="shared" si="250"/>
        <v>0</v>
      </c>
      <c r="M195" s="848">
        <f t="shared" si="236"/>
        <v>0</v>
      </c>
      <c r="N195" s="841"/>
      <c r="O195" s="863">
        <f t="shared" si="237"/>
        <v>8</v>
      </c>
      <c r="P195" s="847">
        <f t="shared" si="251"/>
        <v>0</v>
      </c>
      <c r="Q195" s="847">
        <f t="shared" si="238"/>
        <v>0</v>
      </c>
      <c r="R195" s="847">
        <f t="shared" si="239"/>
        <v>0</v>
      </c>
      <c r="S195" s="847">
        <f t="shared" si="227"/>
        <v>0</v>
      </c>
      <c r="T195" s="847">
        <f t="shared" si="258"/>
        <v>0</v>
      </c>
      <c r="U195" s="847">
        <f t="shared" si="240"/>
        <v>0</v>
      </c>
      <c r="V195" s="847">
        <f t="shared" si="252"/>
        <v>0</v>
      </c>
      <c r="W195" s="839">
        <f t="shared" si="210"/>
        <v>0</v>
      </c>
      <c r="X195" s="839">
        <f t="shared" si="228"/>
        <v>0</v>
      </c>
      <c r="Y195" s="839">
        <f t="shared" si="211"/>
        <v>0</v>
      </c>
      <c r="Z195" s="847">
        <f t="shared" si="253"/>
        <v>0</v>
      </c>
      <c r="AA195" s="848">
        <f t="shared" si="241"/>
        <v>0</v>
      </c>
      <c r="AB195" s="868"/>
      <c r="AC195" s="863">
        <f t="shared" si="242"/>
        <v>8</v>
      </c>
      <c r="AD195" s="847">
        <f t="shared" si="254"/>
        <v>0</v>
      </c>
      <c r="AE195" s="847">
        <f t="shared" si="243"/>
        <v>0</v>
      </c>
      <c r="AF195" s="847">
        <f t="shared" si="244"/>
        <v>0</v>
      </c>
      <c r="AG195" s="847">
        <f t="shared" si="229"/>
        <v>0</v>
      </c>
      <c r="AH195" s="847">
        <f t="shared" si="259"/>
        <v>0</v>
      </c>
      <c r="AI195" s="847">
        <f t="shared" si="245"/>
        <v>0</v>
      </c>
      <c r="AJ195" s="847">
        <f t="shared" si="255"/>
        <v>0</v>
      </c>
      <c r="AK195" s="839">
        <f t="shared" si="212"/>
        <v>0</v>
      </c>
      <c r="AL195" s="839">
        <f t="shared" si="230"/>
        <v>0</v>
      </c>
      <c r="AM195" s="839">
        <f t="shared" si="213"/>
        <v>0</v>
      </c>
      <c r="AN195" s="847">
        <f t="shared" si="256"/>
        <v>0</v>
      </c>
      <c r="AO195" s="848">
        <f t="shared" si="246"/>
        <v>0</v>
      </c>
      <c r="AQ195" s="863">
        <f t="shared" si="247"/>
        <v>8</v>
      </c>
      <c r="AR195" s="847">
        <f t="shared" si="231"/>
        <v>0</v>
      </c>
      <c r="AS195" s="847">
        <f t="shared" si="214"/>
        <v>0</v>
      </c>
      <c r="AT195" s="847">
        <f t="shared" si="215"/>
        <v>0</v>
      </c>
      <c r="AU195" s="847">
        <f t="shared" si="216"/>
        <v>0</v>
      </c>
      <c r="AV195" s="847">
        <f t="shared" si="217"/>
        <v>0</v>
      </c>
      <c r="AW195" s="847">
        <f t="shared" si="218"/>
        <v>0</v>
      </c>
      <c r="AX195" s="847">
        <f t="shared" si="219"/>
        <v>0</v>
      </c>
      <c r="AY195" s="839">
        <f t="shared" si="220"/>
        <v>0</v>
      </c>
      <c r="AZ195" s="839">
        <f t="shared" si="221"/>
        <v>0</v>
      </c>
      <c r="BA195" s="839">
        <f t="shared" si="222"/>
        <v>0</v>
      </c>
      <c r="BB195" s="847">
        <f t="shared" si="223"/>
        <v>0</v>
      </c>
      <c r="BC195" s="848">
        <f t="shared" si="223"/>
        <v>0</v>
      </c>
    </row>
    <row r="196" spans="1:55" x14ac:dyDescent="0.25">
      <c r="A196" s="863">
        <f t="shared" si="232"/>
        <v>9</v>
      </c>
      <c r="B196" s="847">
        <f t="shared" si="248"/>
        <v>0</v>
      </c>
      <c r="C196" s="847">
        <f t="shared" si="233"/>
        <v>0</v>
      </c>
      <c r="D196" s="847">
        <f t="shared" si="234"/>
        <v>0</v>
      </c>
      <c r="E196" s="847">
        <f t="shared" si="224"/>
        <v>0</v>
      </c>
      <c r="F196" s="847">
        <f t="shared" si="257"/>
        <v>0</v>
      </c>
      <c r="G196" s="847">
        <f t="shared" si="235"/>
        <v>0</v>
      </c>
      <c r="H196" s="847">
        <f t="shared" si="249"/>
        <v>0</v>
      </c>
      <c r="I196" s="839">
        <f t="shared" si="225"/>
        <v>0</v>
      </c>
      <c r="J196" s="839">
        <f t="shared" si="226"/>
        <v>0</v>
      </c>
      <c r="K196" s="839">
        <f t="shared" si="209"/>
        <v>0</v>
      </c>
      <c r="L196" s="847">
        <f t="shared" si="250"/>
        <v>0</v>
      </c>
      <c r="M196" s="848">
        <f t="shared" si="236"/>
        <v>0</v>
      </c>
      <c r="N196" s="841"/>
      <c r="O196" s="863">
        <f t="shared" si="237"/>
        <v>9</v>
      </c>
      <c r="P196" s="847">
        <f t="shared" si="251"/>
        <v>0</v>
      </c>
      <c r="Q196" s="847">
        <f t="shared" si="238"/>
        <v>0</v>
      </c>
      <c r="R196" s="847">
        <f t="shared" si="239"/>
        <v>0</v>
      </c>
      <c r="S196" s="847">
        <f t="shared" si="227"/>
        <v>0</v>
      </c>
      <c r="T196" s="847">
        <f t="shared" si="258"/>
        <v>0</v>
      </c>
      <c r="U196" s="847">
        <f t="shared" si="240"/>
        <v>0</v>
      </c>
      <c r="V196" s="847">
        <f t="shared" si="252"/>
        <v>0</v>
      </c>
      <c r="W196" s="839">
        <f t="shared" si="210"/>
        <v>0</v>
      </c>
      <c r="X196" s="839">
        <f t="shared" si="228"/>
        <v>0</v>
      </c>
      <c r="Y196" s="839">
        <f t="shared" si="211"/>
        <v>0</v>
      </c>
      <c r="Z196" s="847">
        <f t="shared" si="253"/>
        <v>0</v>
      </c>
      <c r="AA196" s="848">
        <f t="shared" si="241"/>
        <v>0</v>
      </c>
      <c r="AB196" s="868"/>
      <c r="AC196" s="863">
        <f t="shared" si="242"/>
        <v>9</v>
      </c>
      <c r="AD196" s="847">
        <f t="shared" si="254"/>
        <v>0</v>
      </c>
      <c r="AE196" s="847">
        <f t="shared" si="243"/>
        <v>0</v>
      </c>
      <c r="AF196" s="847">
        <f t="shared" si="244"/>
        <v>0</v>
      </c>
      <c r="AG196" s="847">
        <f t="shared" si="229"/>
        <v>0</v>
      </c>
      <c r="AH196" s="847">
        <f t="shared" si="259"/>
        <v>0</v>
      </c>
      <c r="AI196" s="847">
        <f t="shared" si="245"/>
        <v>0</v>
      </c>
      <c r="AJ196" s="847">
        <f t="shared" si="255"/>
        <v>0</v>
      </c>
      <c r="AK196" s="839">
        <f t="shared" si="212"/>
        <v>0</v>
      </c>
      <c r="AL196" s="839">
        <f t="shared" si="230"/>
        <v>0</v>
      </c>
      <c r="AM196" s="839">
        <f t="shared" si="213"/>
        <v>0</v>
      </c>
      <c r="AN196" s="847">
        <f t="shared" si="256"/>
        <v>0</v>
      </c>
      <c r="AO196" s="848">
        <f t="shared" si="246"/>
        <v>0</v>
      </c>
      <c r="AQ196" s="863">
        <f t="shared" si="247"/>
        <v>9</v>
      </c>
      <c r="AR196" s="847">
        <f t="shared" si="231"/>
        <v>0</v>
      </c>
      <c r="AS196" s="847">
        <f t="shared" si="214"/>
        <v>0</v>
      </c>
      <c r="AT196" s="847">
        <f t="shared" si="215"/>
        <v>0</v>
      </c>
      <c r="AU196" s="847">
        <f t="shared" si="216"/>
        <v>0</v>
      </c>
      <c r="AV196" s="847">
        <f t="shared" si="217"/>
        <v>0</v>
      </c>
      <c r="AW196" s="847">
        <f t="shared" si="218"/>
        <v>0</v>
      </c>
      <c r="AX196" s="847">
        <f t="shared" si="219"/>
        <v>0</v>
      </c>
      <c r="AY196" s="839">
        <f t="shared" si="220"/>
        <v>0</v>
      </c>
      <c r="AZ196" s="839">
        <f t="shared" si="221"/>
        <v>0</v>
      </c>
      <c r="BA196" s="839">
        <f t="shared" si="222"/>
        <v>0</v>
      </c>
      <c r="BB196" s="847">
        <f t="shared" si="223"/>
        <v>0</v>
      </c>
      <c r="BC196" s="848">
        <f t="shared" si="223"/>
        <v>0</v>
      </c>
    </row>
    <row r="197" spans="1:55" x14ac:dyDescent="0.25">
      <c r="A197" s="863">
        <f t="shared" si="232"/>
        <v>10</v>
      </c>
      <c r="B197" s="847">
        <f t="shared" si="248"/>
        <v>0</v>
      </c>
      <c r="C197" s="847">
        <f t="shared" si="233"/>
        <v>0</v>
      </c>
      <c r="D197" s="847">
        <f t="shared" si="234"/>
        <v>0</v>
      </c>
      <c r="E197" s="847">
        <f t="shared" si="224"/>
        <v>0</v>
      </c>
      <c r="F197" s="847">
        <f t="shared" si="257"/>
        <v>0</v>
      </c>
      <c r="G197" s="847">
        <f t="shared" si="235"/>
        <v>0</v>
      </c>
      <c r="H197" s="847">
        <f t="shared" si="249"/>
        <v>0</v>
      </c>
      <c r="I197" s="839">
        <f t="shared" si="225"/>
        <v>0</v>
      </c>
      <c r="J197" s="839">
        <f t="shared" si="226"/>
        <v>0</v>
      </c>
      <c r="K197" s="839">
        <f t="shared" si="209"/>
        <v>0</v>
      </c>
      <c r="L197" s="847">
        <f t="shared" si="250"/>
        <v>0</v>
      </c>
      <c r="M197" s="848">
        <f t="shared" si="236"/>
        <v>0</v>
      </c>
      <c r="N197" s="841"/>
      <c r="O197" s="863">
        <f t="shared" si="237"/>
        <v>10</v>
      </c>
      <c r="P197" s="847">
        <f t="shared" si="251"/>
        <v>0</v>
      </c>
      <c r="Q197" s="847">
        <f t="shared" si="238"/>
        <v>0</v>
      </c>
      <c r="R197" s="847">
        <f t="shared" si="239"/>
        <v>0</v>
      </c>
      <c r="S197" s="847">
        <f t="shared" si="227"/>
        <v>0</v>
      </c>
      <c r="T197" s="847">
        <f t="shared" si="258"/>
        <v>0</v>
      </c>
      <c r="U197" s="847">
        <f t="shared" si="240"/>
        <v>0</v>
      </c>
      <c r="V197" s="847">
        <f t="shared" si="252"/>
        <v>0</v>
      </c>
      <c r="W197" s="839">
        <f t="shared" si="210"/>
        <v>0</v>
      </c>
      <c r="X197" s="839">
        <f t="shared" si="228"/>
        <v>0</v>
      </c>
      <c r="Y197" s="839">
        <f t="shared" si="211"/>
        <v>0</v>
      </c>
      <c r="Z197" s="847">
        <f t="shared" si="253"/>
        <v>0</v>
      </c>
      <c r="AA197" s="848">
        <f t="shared" si="241"/>
        <v>0</v>
      </c>
      <c r="AB197" s="868"/>
      <c r="AC197" s="863">
        <f t="shared" si="242"/>
        <v>10</v>
      </c>
      <c r="AD197" s="847">
        <f t="shared" si="254"/>
        <v>0</v>
      </c>
      <c r="AE197" s="847">
        <f t="shared" si="243"/>
        <v>0</v>
      </c>
      <c r="AF197" s="847">
        <f t="shared" si="244"/>
        <v>0</v>
      </c>
      <c r="AG197" s="847">
        <f t="shared" si="229"/>
        <v>0</v>
      </c>
      <c r="AH197" s="847">
        <f t="shared" si="259"/>
        <v>0</v>
      </c>
      <c r="AI197" s="847">
        <f t="shared" si="245"/>
        <v>0</v>
      </c>
      <c r="AJ197" s="847">
        <f t="shared" si="255"/>
        <v>0</v>
      </c>
      <c r="AK197" s="839">
        <f t="shared" si="212"/>
        <v>0</v>
      </c>
      <c r="AL197" s="839">
        <f t="shared" si="230"/>
        <v>0</v>
      </c>
      <c r="AM197" s="839">
        <f t="shared" si="213"/>
        <v>0</v>
      </c>
      <c r="AN197" s="847">
        <f t="shared" si="256"/>
        <v>0</v>
      </c>
      <c r="AO197" s="848">
        <f t="shared" si="246"/>
        <v>0</v>
      </c>
      <c r="AQ197" s="863">
        <f t="shared" si="247"/>
        <v>10</v>
      </c>
      <c r="AR197" s="847">
        <f t="shared" si="231"/>
        <v>0</v>
      </c>
      <c r="AS197" s="847">
        <f t="shared" si="214"/>
        <v>0</v>
      </c>
      <c r="AT197" s="847">
        <f t="shared" si="215"/>
        <v>0</v>
      </c>
      <c r="AU197" s="847">
        <f t="shared" si="216"/>
        <v>0</v>
      </c>
      <c r="AV197" s="847">
        <f t="shared" si="217"/>
        <v>0</v>
      </c>
      <c r="AW197" s="847">
        <f t="shared" si="218"/>
        <v>0</v>
      </c>
      <c r="AX197" s="847">
        <f t="shared" si="219"/>
        <v>0</v>
      </c>
      <c r="AY197" s="839">
        <f t="shared" si="220"/>
        <v>0</v>
      </c>
      <c r="AZ197" s="839">
        <f t="shared" si="221"/>
        <v>0</v>
      </c>
      <c r="BA197" s="839">
        <f t="shared" si="222"/>
        <v>0</v>
      </c>
      <c r="BB197" s="847">
        <f t="shared" si="223"/>
        <v>0</v>
      </c>
      <c r="BC197" s="848">
        <f t="shared" si="223"/>
        <v>0</v>
      </c>
    </row>
    <row r="198" spans="1:55" x14ac:dyDescent="0.25">
      <c r="A198" s="863">
        <f t="shared" si="232"/>
        <v>11</v>
      </c>
      <c r="B198" s="847">
        <f t="shared" si="248"/>
        <v>0</v>
      </c>
      <c r="C198" s="847">
        <f t="shared" si="233"/>
        <v>0</v>
      </c>
      <c r="D198" s="847">
        <f t="shared" si="234"/>
        <v>0</v>
      </c>
      <c r="E198" s="847">
        <f t="shared" si="224"/>
        <v>0</v>
      </c>
      <c r="F198" s="847">
        <f t="shared" si="257"/>
        <v>0</v>
      </c>
      <c r="G198" s="847">
        <f t="shared" si="235"/>
        <v>0</v>
      </c>
      <c r="H198" s="847">
        <f t="shared" si="249"/>
        <v>0</v>
      </c>
      <c r="I198" s="839">
        <f t="shared" si="225"/>
        <v>0</v>
      </c>
      <c r="J198" s="839">
        <f t="shared" si="226"/>
        <v>0</v>
      </c>
      <c r="K198" s="839">
        <f t="shared" si="209"/>
        <v>0</v>
      </c>
      <c r="L198" s="847">
        <f t="shared" si="250"/>
        <v>0</v>
      </c>
      <c r="M198" s="848">
        <f t="shared" si="236"/>
        <v>0</v>
      </c>
      <c r="N198" s="841"/>
      <c r="O198" s="863">
        <f t="shared" si="237"/>
        <v>11</v>
      </c>
      <c r="P198" s="847">
        <f t="shared" si="251"/>
        <v>0</v>
      </c>
      <c r="Q198" s="847">
        <f t="shared" si="238"/>
        <v>0</v>
      </c>
      <c r="R198" s="847">
        <f t="shared" si="239"/>
        <v>0</v>
      </c>
      <c r="S198" s="847">
        <f t="shared" si="227"/>
        <v>0</v>
      </c>
      <c r="T198" s="847">
        <f t="shared" si="258"/>
        <v>0</v>
      </c>
      <c r="U198" s="847">
        <f t="shared" si="240"/>
        <v>0</v>
      </c>
      <c r="V198" s="847">
        <f t="shared" si="252"/>
        <v>0</v>
      </c>
      <c r="W198" s="839">
        <f t="shared" si="210"/>
        <v>0</v>
      </c>
      <c r="X198" s="839">
        <f t="shared" si="228"/>
        <v>0</v>
      </c>
      <c r="Y198" s="839">
        <f t="shared" si="211"/>
        <v>0</v>
      </c>
      <c r="Z198" s="847">
        <f t="shared" si="253"/>
        <v>0</v>
      </c>
      <c r="AA198" s="848">
        <f t="shared" si="241"/>
        <v>0</v>
      </c>
      <c r="AB198" s="868"/>
      <c r="AC198" s="863">
        <f t="shared" si="242"/>
        <v>11</v>
      </c>
      <c r="AD198" s="847">
        <f t="shared" si="254"/>
        <v>0</v>
      </c>
      <c r="AE198" s="847">
        <f t="shared" si="243"/>
        <v>0</v>
      </c>
      <c r="AF198" s="847">
        <f t="shared" si="244"/>
        <v>0</v>
      </c>
      <c r="AG198" s="847">
        <f t="shared" si="229"/>
        <v>0</v>
      </c>
      <c r="AH198" s="847">
        <f t="shared" si="259"/>
        <v>0</v>
      </c>
      <c r="AI198" s="847">
        <f t="shared" si="245"/>
        <v>0</v>
      </c>
      <c r="AJ198" s="847">
        <f t="shared" si="255"/>
        <v>0</v>
      </c>
      <c r="AK198" s="839">
        <f t="shared" si="212"/>
        <v>0</v>
      </c>
      <c r="AL198" s="839">
        <f t="shared" si="230"/>
        <v>0</v>
      </c>
      <c r="AM198" s="839">
        <f t="shared" si="213"/>
        <v>0</v>
      </c>
      <c r="AN198" s="847">
        <f t="shared" si="256"/>
        <v>0</v>
      </c>
      <c r="AO198" s="848">
        <f t="shared" si="246"/>
        <v>0</v>
      </c>
      <c r="AQ198" s="863">
        <f t="shared" si="247"/>
        <v>11</v>
      </c>
      <c r="AR198" s="847">
        <f t="shared" si="231"/>
        <v>0</v>
      </c>
      <c r="AS198" s="847">
        <f t="shared" si="214"/>
        <v>0</v>
      </c>
      <c r="AT198" s="847">
        <f t="shared" si="215"/>
        <v>0</v>
      </c>
      <c r="AU198" s="847">
        <f t="shared" si="216"/>
        <v>0</v>
      </c>
      <c r="AV198" s="847">
        <f t="shared" si="217"/>
        <v>0</v>
      </c>
      <c r="AW198" s="847">
        <f t="shared" si="218"/>
        <v>0</v>
      </c>
      <c r="AX198" s="847">
        <f t="shared" si="219"/>
        <v>0</v>
      </c>
      <c r="AY198" s="839">
        <f t="shared" si="220"/>
        <v>0</v>
      </c>
      <c r="AZ198" s="839">
        <f t="shared" si="221"/>
        <v>0</v>
      </c>
      <c r="BA198" s="839">
        <f t="shared" si="222"/>
        <v>0</v>
      </c>
      <c r="BB198" s="847">
        <f t="shared" si="223"/>
        <v>0</v>
      </c>
      <c r="BC198" s="848">
        <f t="shared" si="223"/>
        <v>0</v>
      </c>
    </row>
    <row r="199" spans="1:55" x14ac:dyDescent="0.25">
      <c r="A199" s="863">
        <f t="shared" si="232"/>
        <v>12</v>
      </c>
      <c r="B199" s="847">
        <f t="shared" si="248"/>
        <v>0</v>
      </c>
      <c r="C199" s="847">
        <f t="shared" si="233"/>
        <v>0</v>
      </c>
      <c r="D199" s="847">
        <f t="shared" si="234"/>
        <v>0</v>
      </c>
      <c r="E199" s="847">
        <f t="shared" si="224"/>
        <v>0</v>
      </c>
      <c r="F199" s="847">
        <f t="shared" si="257"/>
        <v>0</v>
      </c>
      <c r="G199" s="847">
        <f t="shared" si="235"/>
        <v>0</v>
      </c>
      <c r="H199" s="847">
        <f t="shared" si="249"/>
        <v>0</v>
      </c>
      <c r="I199" s="839">
        <f t="shared" si="225"/>
        <v>0</v>
      </c>
      <c r="J199" s="839">
        <f t="shared" si="226"/>
        <v>0</v>
      </c>
      <c r="K199" s="839">
        <f t="shared" si="209"/>
        <v>0</v>
      </c>
      <c r="L199" s="847">
        <f t="shared" si="250"/>
        <v>0</v>
      </c>
      <c r="M199" s="848">
        <f t="shared" si="236"/>
        <v>0</v>
      </c>
      <c r="N199" s="841"/>
      <c r="O199" s="863">
        <f t="shared" si="237"/>
        <v>12</v>
      </c>
      <c r="P199" s="847">
        <f t="shared" si="251"/>
        <v>0</v>
      </c>
      <c r="Q199" s="847">
        <f t="shared" si="238"/>
        <v>0</v>
      </c>
      <c r="R199" s="847">
        <f t="shared" si="239"/>
        <v>0</v>
      </c>
      <c r="S199" s="847">
        <f t="shared" si="227"/>
        <v>0</v>
      </c>
      <c r="T199" s="847">
        <f t="shared" si="258"/>
        <v>0</v>
      </c>
      <c r="U199" s="847">
        <f t="shared" si="240"/>
        <v>0</v>
      </c>
      <c r="V199" s="847">
        <f t="shared" si="252"/>
        <v>0</v>
      </c>
      <c r="W199" s="839">
        <f t="shared" si="210"/>
        <v>0</v>
      </c>
      <c r="X199" s="839">
        <f t="shared" si="228"/>
        <v>0</v>
      </c>
      <c r="Y199" s="839">
        <f t="shared" si="211"/>
        <v>0</v>
      </c>
      <c r="Z199" s="847">
        <f t="shared" si="253"/>
        <v>0</v>
      </c>
      <c r="AA199" s="848">
        <f t="shared" si="241"/>
        <v>0</v>
      </c>
      <c r="AB199" s="868"/>
      <c r="AC199" s="863">
        <f t="shared" si="242"/>
        <v>12</v>
      </c>
      <c r="AD199" s="847">
        <f t="shared" si="254"/>
        <v>0</v>
      </c>
      <c r="AE199" s="847">
        <f t="shared" si="243"/>
        <v>0</v>
      </c>
      <c r="AF199" s="847">
        <f t="shared" si="244"/>
        <v>0</v>
      </c>
      <c r="AG199" s="847">
        <f t="shared" si="229"/>
        <v>0</v>
      </c>
      <c r="AH199" s="847">
        <f t="shared" si="259"/>
        <v>0</v>
      </c>
      <c r="AI199" s="847">
        <f t="shared" si="245"/>
        <v>0</v>
      </c>
      <c r="AJ199" s="847">
        <f t="shared" si="255"/>
        <v>0</v>
      </c>
      <c r="AK199" s="839">
        <f t="shared" si="212"/>
        <v>0</v>
      </c>
      <c r="AL199" s="839">
        <f t="shared" si="230"/>
        <v>0</v>
      </c>
      <c r="AM199" s="839">
        <f t="shared" si="213"/>
        <v>0</v>
      </c>
      <c r="AN199" s="847">
        <f t="shared" si="256"/>
        <v>0</v>
      </c>
      <c r="AO199" s="848">
        <f t="shared" si="246"/>
        <v>0</v>
      </c>
      <c r="AQ199" s="863">
        <f t="shared" si="247"/>
        <v>12</v>
      </c>
      <c r="AR199" s="847">
        <f t="shared" si="231"/>
        <v>0</v>
      </c>
      <c r="AS199" s="847">
        <f t="shared" si="214"/>
        <v>0</v>
      </c>
      <c r="AT199" s="847">
        <f t="shared" si="215"/>
        <v>0</v>
      </c>
      <c r="AU199" s="847">
        <f t="shared" si="216"/>
        <v>0</v>
      </c>
      <c r="AV199" s="847">
        <f t="shared" si="217"/>
        <v>0</v>
      </c>
      <c r="AW199" s="847">
        <f t="shared" si="218"/>
        <v>0</v>
      </c>
      <c r="AX199" s="847">
        <f t="shared" si="219"/>
        <v>0</v>
      </c>
      <c r="AY199" s="839">
        <f t="shared" si="220"/>
        <v>0</v>
      </c>
      <c r="AZ199" s="839">
        <f t="shared" si="221"/>
        <v>0</v>
      </c>
      <c r="BA199" s="839">
        <f t="shared" si="222"/>
        <v>0</v>
      </c>
      <c r="BB199" s="847">
        <f t="shared" si="223"/>
        <v>0</v>
      </c>
      <c r="BC199" s="848">
        <f t="shared" si="223"/>
        <v>0</v>
      </c>
    </row>
    <row r="200" spans="1:55" x14ac:dyDescent="0.25">
      <c r="A200" s="863">
        <f t="shared" si="232"/>
        <v>13</v>
      </c>
      <c r="B200" s="847">
        <f t="shared" si="248"/>
        <v>0</v>
      </c>
      <c r="C200" s="847">
        <f t="shared" si="233"/>
        <v>0</v>
      </c>
      <c r="D200" s="847">
        <f t="shared" si="234"/>
        <v>0</v>
      </c>
      <c r="E200" s="847">
        <f t="shared" si="224"/>
        <v>0</v>
      </c>
      <c r="F200" s="847">
        <f t="shared" si="257"/>
        <v>0</v>
      </c>
      <c r="G200" s="847">
        <f t="shared" si="235"/>
        <v>0</v>
      </c>
      <c r="H200" s="847">
        <f t="shared" si="249"/>
        <v>0</v>
      </c>
      <c r="I200" s="839">
        <f t="shared" si="225"/>
        <v>0</v>
      </c>
      <c r="J200" s="839">
        <f t="shared" si="226"/>
        <v>0</v>
      </c>
      <c r="K200" s="839">
        <f t="shared" si="209"/>
        <v>0</v>
      </c>
      <c r="L200" s="847">
        <f t="shared" si="250"/>
        <v>0</v>
      </c>
      <c r="M200" s="848">
        <f t="shared" si="236"/>
        <v>0</v>
      </c>
      <c r="N200" s="841"/>
      <c r="O200" s="863">
        <f t="shared" si="237"/>
        <v>13</v>
      </c>
      <c r="P200" s="847">
        <f t="shared" si="251"/>
        <v>0</v>
      </c>
      <c r="Q200" s="847">
        <f t="shared" si="238"/>
        <v>0</v>
      </c>
      <c r="R200" s="847">
        <f t="shared" si="239"/>
        <v>0</v>
      </c>
      <c r="S200" s="847">
        <f t="shared" si="227"/>
        <v>0</v>
      </c>
      <c r="T200" s="847">
        <f t="shared" si="258"/>
        <v>0</v>
      </c>
      <c r="U200" s="847">
        <f t="shared" si="240"/>
        <v>0</v>
      </c>
      <c r="V200" s="847">
        <f t="shared" si="252"/>
        <v>0</v>
      </c>
      <c r="W200" s="839">
        <f t="shared" si="210"/>
        <v>0</v>
      </c>
      <c r="X200" s="839">
        <f t="shared" si="228"/>
        <v>0</v>
      </c>
      <c r="Y200" s="839">
        <f t="shared" si="211"/>
        <v>0</v>
      </c>
      <c r="Z200" s="847">
        <f t="shared" si="253"/>
        <v>0</v>
      </c>
      <c r="AA200" s="848">
        <f t="shared" si="241"/>
        <v>0</v>
      </c>
      <c r="AB200" s="868"/>
      <c r="AC200" s="863">
        <f t="shared" si="242"/>
        <v>13</v>
      </c>
      <c r="AD200" s="847">
        <f t="shared" si="254"/>
        <v>0</v>
      </c>
      <c r="AE200" s="847">
        <f t="shared" si="243"/>
        <v>0</v>
      </c>
      <c r="AF200" s="847">
        <f t="shared" si="244"/>
        <v>0</v>
      </c>
      <c r="AG200" s="847">
        <f t="shared" si="229"/>
        <v>0</v>
      </c>
      <c r="AH200" s="847">
        <f t="shared" si="259"/>
        <v>0</v>
      </c>
      <c r="AI200" s="847">
        <f t="shared" si="245"/>
        <v>0</v>
      </c>
      <c r="AJ200" s="847">
        <f t="shared" si="255"/>
        <v>0</v>
      </c>
      <c r="AK200" s="839">
        <f t="shared" si="212"/>
        <v>0</v>
      </c>
      <c r="AL200" s="839">
        <f t="shared" si="230"/>
        <v>0</v>
      </c>
      <c r="AM200" s="839">
        <f t="shared" si="213"/>
        <v>0</v>
      </c>
      <c r="AN200" s="847">
        <f t="shared" si="256"/>
        <v>0</v>
      </c>
      <c r="AO200" s="848">
        <f t="shared" si="246"/>
        <v>0</v>
      </c>
      <c r="AQ200" s="863">
        <f t="shared" si="247"/>
        <v>13</v>
      </c>
      <c r="AR200" s="847">
        <f t="shared" si="231"/>
        <v>0</v>
      </c>
      <c r="AS200" s="847">
        <f t="shared" si="214"/>
        <v>0</v>
      </c>
      <c r="AT200" s="847">
        <f t="shared" si="215"/>
        <v>0</v>
      </c>
      <c r="AU200" s="847">
        <f t="shared" si="216"/>
        <v>0</v>
      </c>
      <c r="AV200" s="847">
        <f t="shared" si="217"/>
        <v>0</v>
      </c>
      <c r="AW200" s="847">
        <f t="shared" si="218"/>
        <v>0</v>
      </c>
      <c r="AX200" s="847">
        <f t="shared" si="219"/>
        <v>0</v>
      </c>
      <c r="AY200" s="839">
        <f t="shared" si="220"/>
        <v>0</v>
      </c>
      <c r="AZ200" s="839">
        <f t="shared" si="221"/>
        <v>0</v>
      </c>
      <c r="BA200" s="839">
        <f t="shared" si="222"/>
        <v>0</v>
      </c>
      <c r="BB200" s="847">
        <f t="shared" si="223"/>
        <v>0</v>
      </c>
      <c r="BC200" s="848">
        <f t="shared" si="223"/>
        <v>0</v>
      </c>
    </row>
    <row r="201" spans="1:55" x14ac:dyDescent="0.25">
      <c r="A201" s="863">
        <f t="shared" si="232"/>
        <v>14</v>
      </c>
      <c r="B201" s="847">
        <f t="shared" si="248"/>
        <v>0</v>
      </c>
      <c r="C201" s="847">
        <f t="shared" si="233"/>
        <v>0</v>
      </c>
      <c r="D201" s="847">
        <f t="shared" si="234"/>
        <v>0</v>
      </c>
      <c r="E201" s="847">
        <f t="shared" si="224"/>
        <v>0</v>
      </c>
      <c r="F201" s="847">
        <f t="shared" si="257"/>
        <v>0</v>
      </c>
      <c r="G201" s="847">
        <f t="shared" si="235"/>
        <v>0</v>
      </c>
      <c r="H201" s="847">
        <f t="shared" si="249"/>
        <v>0</v>
      </c>
      <c r="I201" s="839">
        <f t="shared" si="225"/>
        <v>0</v>
      </c>
      <c r="J201" s="839">
        <f t="shared" si="226"/>
        <v>0</v>
      </c>
      <c r="K201" s="839">
        <f t="shared" si="209"/>
        <v>0</v>
      </c>
      <c r="L201" s="847">
        <f t="shared" si="250"/>
        <v>0</v>
      </c>
      <c r="M201" s="848">
        <f t="shared" si="236"/>
        <v>0</v>
      </c>
      <c r="N201" s="841"/>
      <c r="O201" s="863">
        <f t="shared" si="237"/>
        <v>14</v>
      </c>
      <c r="P201" s="847">
        <f t="shared" si="251"/>
        <v>0</v>
      </c>
      <c r="Q201" s="847">
        <f t="shared" si="238"/>
        <v>0</v>
      </c>
      <c r="R201" s="847">
        <f t="shared" si="239"/>
        <v>0</v>
      </c>
      <c r="S201" s="847">
        <f t="shared" si="227"/>
        <v>0</v>
      </c>
      <c r="T201" s="847">
        <f t="shared" si="258"/>
        <v>0</v>
      </c>
      <c r="U201" s="847">
        <f t="shared" si="240"/>
        <v>0</v>
      </c>
      <c r="V201" s="847">
        <f t="shared" si="252"/>
        <v>0</v>
      </c>
      <c r="W201" s="839">
        <f t="shared" si="210"/>
        <v>0</v>
      </c>
      <c r="X201" s="839">
        <f t="shared" si="228"/>
        <v>0</v>
      </c>
      <c r="Y201" s="839">
        <f t="shared" si="211"/>
        <v>0</v>
      </c>
      <c r="Z201" s="847">
        <f t="shared" si="253"/>
        <v>0</v>
      </c>
      <c r="AA201" s="848">
        <f t="shared" si="241"/>
        <v>0</v>
      </c>
      <c r="AB201" s="868"/>
      <c r="AC201" s="863">
        <f t="shared" si="242"/>
        <v>14</v>
      </c>
      <c r="AD201" s="847">
        <f t="shared" si="254"/>
        <v>0</v>
      </c>
      <c r="AE201" s="847">
        <f t="shared" si="243"/>
        <v>0</v>
      </c>
      <c r="AF201" s="847">
        <f t="shared" si="244"/>
        <v>0</v>
      </c>
      <c r="AG201" s="847">
        <f t="shared" si="229"/>
        <v>0</v>
      </c>
      <c r="AH201" s="847">
        <f t="shared" si="259"/>
        <v>0</v>
      </c>
      <c r="AI201" s="847">
        <f t="shared" si="245"/>
        <v>0</v>
      </c>
      <c r="AJ201" s="847">
        <f t="shared" si="255"/>
        <v>0</v>
      </c>
      <c r="AK201" s="839">
        <f t="shared" si="212"/>
        <v>0</v>
      </c>
      <c r="AL201" s="839">
        <f t="shared" si="230"/>
        <v>0</v>
      </c>
      <c r="AM201" s="839">
        <f t="shared" si="213"/>
        <v>0</v>
      </c>
      <c r="AN201" s="847">
        <f t="shared" si="256"/>
        <v>0</v>
      </c>
      <c r="AO201" s="848">
        <f t="shared" si="246"/>
        <v>0</v>
      </c>
      <c r="AQ201" s="863">
        <f t="shared" si="247"/>
        <v>14</v>
      </c>
      <c r="AR201" s="847">
        <f t="shared" si="231"/>
        <v>0</v>
      </c>
      <c r="AS201" s="847">
        <f t="shared" si="214"/>
        <v>0</v>
      </c>
      <c r="AT201" s="847">
        <f t="shared" si="215"/>
        <v>0</v>
      </c>
      <c r="AU201" s="847">
        <f t="shared" si="216"/>
        <v>0</v>
      </c>
      <c r="AV201" s="847">
        <f t="shared" si="217"/>
        <v>0</v>
      </c>
      <c r="AW201" s="847">
        <f t="shared" si="218"/>
        <v>0</v>
      </c>
      <c r="AX201" s="847">
        <f t="shared" si="219"/>
        <v>0</v>
      </c>
      <c r="AY201" s="839">
        <f t="shared" si="220"/>
        <v>0</v>
      </c>
      <c r="AZ201" s="839">
        <f t="shared" si="221"/>
        <v>0</v>
      </c>
      <c r="BA201" s="839">
        <f t="shared" si="222"/>
        <v>0</v>
      </c>
      <c r="BB201" s="847">
        <f t="shared" si="223"/>
        <v>0</v>
      </c>
      <c r="BC201" s="848">
        <f t="shared" si="223"/>
        <v>0</v>
      </c>
    </row>
    <row r="202" spans="1:55" x14ac:dyDescent="0.25">
      <c r="A202" s="863">
        <f t="shared" si="232"/>
        <v>15</v>
      </c>
      <c r="B202" s="847">
        <f t="shared" si="248"/>
        <v>0</v>
      </c>
      <c r="C202" s="847">
        <f t="shared" si="233"/>
        <v>0</v>
      </c>
      <c r="D202" s="847">
        <f t="shared" si="234"/>
        <v>0</v>
      </c>
      <c r="E202" s="847">
        <f t="shared" si="224"/>
        <v>0</v>
      </c>
      <c r="F202" s="847">
        <f>IF(L202=0,0,E202+F201)</f>
        <v>0</v>
      </c>
      <c r="G202" s="847">
        <f t="shared" si="235"/>
        <v>0</v>
      </c>
      <c r="H202" s="847">
        <f t="shared" si="249"/>
        <v>0</v>
      </c>
      <c r="I202" s="839">
        <f t="shared" si="225"/>
        <v>0</v>
      </c>
      <c r="J202" s="839">
        <f t="shared" si="226"/>
        <v>0</v>
      </c>
      <c r="K202" s="839">
        <f t="shared" si="209"/>
        <v>0</v>
      </c>
      <c r="L202" s="847">
        <f t="shared" si="250"/>
        <v>0</v>
      </c>
      <c r="M202" s="848">
        <f t="shared" si="236"/>
        <v>0</v>
      </c>
      <c r="N202" s="841"/>
      <c r="O202" s="863">
        <f t="shared" si="237"/>
        <v>15</v>
      </c>
      <c r="P202" s="847">
        <f t="shared" si="251"/>
        <v>0</v>
      </c>
      <c r="Q202" s="847">
        <f t="shared" si="238"/>
        <v>0</v>
      </c>
      <c r="R202" s="847">
        <f t="shared" si="239"/>
        <v>0</v>
      </c>
      <c r="S202" s="847">
        <f t="shared" si="227"/>
        <v>0</v>
      </c>
      <c r="T202" s="847">
        <f>IF(Z202=0,0,S202+T201)</f>
        <v>0</v>
      </c>
      <c r="U202" s="847">
        <f t="shared" si="240"/>
        <v>0</v>
      </c>
      <c r="V202" s="847">
        <f t="shared" si="252"/>
        <v>0</v>
      </c>
      <c r="W202" s="839">
        <f t="shared" si="210"/>
        <v>0</v>
      </c>
      <c r="X202" s="839">
        <f t="shared" si="228"/>
        <v>0</v>
      </c>
      <c r="Y202" s="839">
        <f t="shared" si="211"/>
        <v>0</v>
      </c>
      <c r="Z202" s="847">
        <f t="shared" si="253"/>
        <v>0</v>
      </c>
      <c r="AA202" s="848">
        <f t="shared" si="241"/>
        <v>0</v>
      </c>
      <c r="AB202" s="868"/>
      <c r="AC202" s="863">
        <f t="shared" si="242"/>
        <v>15</v>
      </c>
      <c r="AD202" s="847">
        <f t="shared" si="254"/>
        <v>0</v>
      </c>
      <c r="AE202" s="847">
        <f t="shared" si="243"/>
        <v>0</v>
      </c>
      <c r="AF202" s="847">
        <f t="shared" si="244"/>
        <v>0</v>
      </c>
      <c r="AG202" s="847">
        <f t="shared" si="229"/>
        <v>0</v>
      </c>
      <c r="AH202" s="847">
        <f>IF(AN202=0,0,AG202+AH201)</f>
        <v>0</v>
      </c>
      <c r="AI202" s="847">
        <f t="shared" si="245"/>
        <v>0</v>
      </c>
      <c r="AJ202" s="847">
        <f t="shared" si="255"/>
        <v>0</v>
      </c>
      <c r="AK202" s="839">
        <f t="shared" si="212"/>
        <v>0</v>
      </c>
      <c r="AL202" s="839">
        <f t="shared" si="230"/>
        <v>0</v>
      </c>
      <c r="AM202" s="839">
        <f t="shared" si="213"/>
        <v>0</v>
      </c>
      <c r="AN202" s="847">
        <f t="shared" si="256"/>
        <v>0</v>
      </c>
      <c r="AO202" s="848">
        <f t="shared" si="246"/>
        <v>0</v>
      </c>
      <c r="AQ202" s="863">
        <f t="shared" si="247"/>
        <v>15</v>
      </c>
      <c r="AR202" s="847">
        <f t="shared" si="231"/>
        <v>0</v>
      </c>
      <c r="AS202" s="847">
        <f t="shared" si="214"/>
        <v>0</v>
      </c>
      <c r="AT202" s="847">
        <f t="shared" si="215"/>
        <v>0</v>
      </c>
      <c r="AU202" s="847">
        <f t="shared" si="216"/>
        <v>0</v>
      </c>
      <c r="AV202" s="847">
        <f t="shared" si="217"/>
        <v>0</v>
      </c>
      <c r="AW202" s="847">
        <f t="shared" si="218"/>
        <v>0</v>
      </c>
      <c r="AX202" s="847">
        <f t="shared" si="219"/>
        <v>0</v>
      </c>
      <c r="AY202" s="839">
        <f t="shared" si="220"/>
        <v>0</v>
      </c>
      <c r="AZ202" s="839">
        <f t="shared" si="221"/>
        <v>0</v>
      </c>
      <c r="BA202" s="839">
        <f t="shared" si="222"/>
        <v>0</v>
      </c>
      <c r="BB202" s="847">
        <f t="shared" si="223"/>
        <v>0</v>
      </c>
      <c r="BC202" s="848">
        <f t="shared" si="223"/>
        <v>0</v>
      </c>
    </row>
    <row r="203" spans="1:55" x14ac:dyDescent="0.25">
      <c r="A203" s="863">
        <f t="shared" si="232"/>
        <v>16</v>
      </c>
      <c r="B203" s="847">
        <f t="shared" si="248"/>
        <v>0</v>
      </c>
      <c r="C203" s="847">
        <f t="shared" si="233"/>
        <v>0</v>
      </c>
      <c r="D203" s="847">
        <f t="shared" si="234"/>
        <v>0</v>
      </c>
      <c r="E203" s="847">
        <f t="shared" si="224"/>
        <v>0</v>
      </c>
      <c r="F203" s="847">
        <f t="shared" ref="F203:F257" si="260">IF(L203=0,0,E203+F202)</f>
        <v>0</v>
      </c>
      <c r="G203" s="847">
        <f t="shared" si="235"/>
        <v>0</v>
      </c>
      <c r="H203" s="847">
        <f t="shared" si="249"/>
        <v>0</v>
      </c>
      <c r="I203" s="839">
        <f t="shared" si="225"/>
        <v>0</v>
      </c>
      <c r="J203" s="839">
        <f t="shared" si="226"/>
        <v>0</v>
      </c>
      <c r="K203" s="839">
        <f t="shared" si="209"/>
        <v>0</v>
      </c>
      <c r="L203" s="847">
        <f t="shared" si="250"/>
        <v>0</v>
      </c>
      <c r="M203" s="848">
        <f t="shared" si="236"/>
        <v>0</v>
      </c>
      <c r="N203" s="841"/>
      <c r="O203" s="863">
        <f t="shared" si="237"/>
        <v>16</v>
      </c>
      <c r="P203" s="847">
        <f t="shared" si="251"/>
        <v>0</v>
      </c>
      <c r="Q203" s="847">
        <f t="shared" si="238"/>
        <v>0</v>
      </c>
      <c r="R203" s="847">
        <f t="shared" si="239"/>
        <v>0</v>
      </c>
      <c r="S203" s="847">
        <f t="shared" si="227"/>
        <v>0</v>
      </c>
      <c r="T203" s="847">
        <f t="shared" ref="T203:T257" si="261">IF(Z203=0,0,S203+T202)</f>
        <v>0</v>
      </c>
      <c r="U203" s="847">
        <f t="shared" si="240"/>
        <v>0</v>
      </c>
      <c r="V203" s="847">
        <f t="shared" si="252"/>
        <v>0</v>
      </c>
      <c r="W203" s="839">
        <f t="shared" si="210"/>
        <v>0</v>
      </c>
      <c r="X203" s="839">
        <f t="shared" si="228"/>
        <v>0</v>
      </c>
      <c r="Y203" s="839">
        <f t="shared" si="211"/>
        <v>0</v>
      </c>
      <c r="Z203" s="847">
        <f t="shared" si="253"/>
        <v>0</v>
      </c>
      <c r="AA203" s="848">
        <f t="shared" si="241"/>
        <v>0</v>
      </c>
      <c r="AB203" s="868"/>
      <c r="AC203" s="863">
        <f t="shared" si="242"/>
        <v>16</v>
      </c>
      <c r="AD203" s="847">
        <f t="shared" si="254"/>
        <v>0</v>
      </c>
      <c r="AE203" s="847">
        <f t="shared" si="243"/>
        <v>0</v>
      </c>
      <c r="AF203" s="847">
        <f t="shared" si="244"/>
        <v>0</v>
      </c>
      <c r="AG203" s="847">
        <f t="shared" si="229"/>
        <v>0</v>
      </c>
      <c r="AH203" s="847">
        <f t="shared" ref="AH203:AH257" si="262">IF(AN203=0,0,AG203+AH202)</f>
        <v>0</v>
      </c>
      <c r="AI203" s="847">
        <f t="shared" si="245"/>
        <v>0</v>
      </c>
      <c r="AJ203" s="847">
        <f t="shared" si="255"/>
        <v>0</v>
      </c>
      <c r="AK203" s="839">
        <f t="shared" si="212"/>
        <v>0</v>
      </c>
      <c r="AL203" s="839">
        <f t="shared" si="230"/>
        <v>0</v>
      </c>
      <c r="AM203" s="839">
        <f t="shared" si="213"/>
        <v>0</v>
      </c>
      <c r="AN203" s="847">
        <f t="shared" si="256"/>
        <v>0</v>
      </c>
      <c r="AO203" s="848">
        <f t="shared" si="246"/>
        <v>0</v>
      </c>
      <c r="AQ203" s="863">
        <f t="shared" si="247"/>
        <v>16</v>
      </c>
      <c r="AR203" s="847">
        <f t="shared" si="231"/>
        <v>0</v>
      </c>
      <c r="AS203" s="847">
        <f t="shared" si="214"/>
        <v>0</v>
      </c>
      <c r="AT203" s="847">
        <f t="shared" si="215"/>
        <v>0</v>
      </c>
      <c r="AU203" s="847">
        <f t="shared" si="216"/>
        <v>0</v>
      </c>
      <c r="AV203" s="847">
        <f t="shared" si="217"/>
        <v>0</v>
      </c>
      <c r="AW203" s="847">
        <f t="shared" si="218"/>
        <v>0</v>
      </c>
      <c r="AX203" s="847">
        <f t="shared" si="219"/>
        <v>0</v>
      </c>
      <c r="AY203" s="839">
        <f t="shared" si="220"/>
        <v>0</v>
      </c>
      <c r="AZ203" s="839">
        <f t="shared" si="221"/>
        <v>0</v>
      </c>
      <c r="BA203" s="839">
        <f t="shared" si="222"/>
        <v>0</v>
      </c>
      <c r="BB203" s="847">
        <f t="shared" si="223"/>
        <v>0</v>
      </c>
      <c r="BC203" s="848">
        <f t="shared" si="223"/>
        <v>0</v>
      </c>
    </row>
    <row r="204" spans="1:55" x14ac:dyDescent="0.25">
      <c r="A204" s="863">
        <f t="shared" si="232"/>
        <v>17</v>
      </c>
      <c r="B204" s="847">
        <f t="shared" si="248"/>
        <v>0</v>
      </c>
      <c r="C204" s="847">
        <f t="shared" si="233"/>
        <v>0</v>
      </c>
      <c r="D204" s="847">
        <f t="shared" si="234"/>
        <v>0</v>
      </c>
      <c r="E204" s="847">
        <f t="shared" si="224"/>
        <v>0</v>
      </c>
      <c r="F204" s="847">
        <f t="shared" si="260"/>
        <v>0</v>
      </c>
      <c r="G204" s="847">
        <f t="shared" si="235"/>
        <v>0</v>
      </c>
      <c r="H204" s="847">
        <f t="shared" si="249"/>
        <v>0</v>
      </c>
      <c r="I204" s="839">
        <f t="shared" si="225"/>
        <v>0</v>
      </c>
      <c r="J204" s="839">
        <f t="shared" si="226"/>
        <v>0</v>
      </c>
      <c r="K204" s="839">
        <f t="shared" si="209"/>
        <v>0</v>
      </c>
      <c r="L204" s="847">
        <f t="shared" si="250"/>
        <v>0</v>
      </c>
      <c r="M204" s="848">
        <f t="shared" si="236"/>
        <v>0</v>
      </c>
      <c r="N204" s="841"/>
      <c r="O204" s="863">
        <f t="shared" si="237"/>
        <v>17</v>
      </c>
      <c r="P204" s="847">
        <f t="shared" si="251"/>
        <v>0</v>
      </c>
      <c r="Q204" s="847">
        <f t="shared" si="238"/>
        <v>0</v>
      </c>
      <c r="R204" s="847">
        <f t="shared" si="239"/>
        <v>0</v>
      </c>
      <c r="S204" s="847">
        <f t="shared" si="227"/>
        <v>0</v>
      </c>
      <c r="T204" s="847">
        <f t="shared" si="261"/>
        <v>0</v>
      </c>
      <c r="U204" s="847">
        <f t="shared" si="240"/>
        <v>0</v>
      </c>
      <c r="V204" s="847">
        <f t="shared" si="252"/>
        <v>0</v>
      </c>
      <c r="W204" s="839">
        <f t="shared" si="210"/>
        <v>0</v>
      </c>
      <c r="X204" s="839">
        <f t="shared" si="228"/>
        <v>0</v>
      </c>
      <c r="Y204" s="839">
        <f t="shared" si="211"/>
        <v>0</v>
      </c>
      <c r="Z204" s="847">
        <f t="shared" si="253"/>
        <v>0</v>
      </c>
      <c r="AA204" s="848">
        <f t="shared" si="241"/>
        <v>0</v>
      </c>
      <c r="AB204" s="868"/>
      <c r="AC204" s="863">
        <f t="shared" si="242"/>
        <v>17</v>
      </c>
      <c r="AD204" s="847">
        <f t="shared" si="254"/>
        <v>0</v>
      </c>
      <c r="AE204" s="847">
        <f t="shared" si="243"/>
        <v>0</v>
      </c>
      <c r="AF204" s="847">
        <f t="shared" si="244"/>
        <v>0</v>
      </c>
      <c r="AG204" s="847">
        <f t="shared" si="229"/>
        <v>0</v>
      </c>
      <c r="AH204" s="847">
        <f t="shared" si="262"/>
        <v>0</v>
      </c>
      <c r="AI204" s="847">
        <f t="shared" si="245"/>
        <v>0</v>
      </c>
      <c r="AJ204" s="847">
        <f t="shared" si="255"/>
        <v>0</v>
      </c>
      <c r="AK204" s="839">
        <f t="shared" si="212"/>
        <v>0</v>
      </c>
      <c r="AL204" s="839">
        <f t="shared" si="230"/>
        <v>0</v>
      </c>
      <c r="AM204" s="839">
        <f t="shared" si="213"/>
        <v>0</v>
      </c>
      <c r="AN204" s="847">
        <f t="shared" si="256"/>
        <v>0</v>
      </c>
      <c r="AO204" s="848">
        <f t="shared" si="246"/>
        <v>0</v>
      </c>
      <c r="AQ204" s="863">
        <f t="shared" si="247"/>
        <v>17</v>
      </c>
      <c r="AR204" s="847">
        <f t="shared" si="231"/>
        <v>0</v>
      </c>
      <c r="AS204" s="847">
        <f t="shared" si="214"/>
        <v>0</v>
      </c>
      <c r="AT204" s="847">
        <f t="shared" si="215"/>
        <v>0</v>
      </c>
      <c r="AU204" s="847">
        <f t="shared" si="216"/>
        <v>0</v>
      </c>
      <c r="AV204" s="847">
        <f t="shared" si="217"/>
        <v>0</v>
      </c>
      <c r="AW204" s="847">
        <f t="shared" si="218"/>
        <v>0</v>
      </c>
      <c r="AX204" s="847">
        <f t="shared" si="219"/>
        <v>0</v>
      </c>
      <c r="AY204" s="839">
        <f t="shared" si="220"/>
        <v>0</v>
      </c>
      <c r="AZ204" s="839">
        <f t="shared" si="221"/>
        <v>0</v>
      </c>
      <c r="BA204" s="839">
        <f t="shared" si="222"/>
        <v>0</v>
      </c>
      <c r="BB204" s="847">
        <f t="shared" si="223"/>
        <v>0</v>
      </c>
      <c r="BC204" s="848">
        <f t="shared" si="223"/>
        <v>0</v>
      </c>
    </row>
    <row r="205" spans="1:55" x14ac:dyDescent="0.25">
      <c r="A205" s="863">
        <f t="shared" si="232"/>
        <v>18</v>
      </c>
      <c r="B205" s="847">
        <f t="shared" si="248"/>
        <v>0</v>
      </c>
      <c r="C205" s="847">
        <f t="shared" si="233"/>
        <v>0</v>
      </c>
      <c r="D205" s="847">
        <f t="shared" si="234"/>
        <v>0</v>
      </c>
      <c r="E205" s="847">
        <f t="shared" si="224"/>
        <v>0</v>
      </c>
      <c r="F205" s="847">
        <f t="shared" si="260"/>
        <v>0</v>
      </c>
      <c r="G205" s="847">
        <f t="shared" si="235"/>
        <v>0</v>
      </c>
      <c r="H205" s="847">
        <f t="shared" si="249"/>
        <v>0</v>
      </c>
      <c r="I205" s="839">
        <f t="shared" si="225"/>
        <v>0</v>
      </c>
      <c r="J205" s="839">
        <f t="shared" si="226"/>
        <v>0</v>
      </c>
      <c r="K205" s="839">
        <f t="shared" si="209"/>
        <v>0</v>
      </c>
      <c r="L205" s="847">
        <f t="shared" si="250"/>
        <v>0</v>
      </c>
      <c r="M205" s="848">
        <f t="shared" si="236"/>
        <v>0</v>
      </c>
      <c r="N205" s="841"/>
      <c r="O205" s="863">
        <f t="shared" si="237"/>
        <v>18</v>
      </c>
      <c r="P205" s="847">
        <f t="shared" si="251"/>
        <v>0</v>
      </c>
      <c r="Q205" s="847">
        <f t="shared" si="238"/>
        <v>0</v>
      </c>
      <c r="R205" s="847">
        <f t="shared" si="239"/>
        <v>0</v>
      </c>
      <c r="S205" s="847">
        <f t="shared" si="227"/>
        <v>0</v>
      </c>
      <c r="T205" s="847">
        <f t="shared" si="261"/>
        <v>0</v>
      </c>
      <c r="U205" s="847">
        <f t="shared" si="240"/>
        <v>0</v>
      </c>
      <c r="V205" s="847">
        <f t="shared" si="252"/>
        <v>0</v>
      </c>
      <c r="W205" s="839">
        <f t="shared" si="210"/>
        <v>0</v>
      </c>
      <c r="X205" s="839">
        <f t="shared" si="228"/>
        <v>0</v>
      </c>
      <c r="Y205" s="839">
        <f t="shared" si="211"/>
        <v>0</v>
      </c>
      <c r="Z205" s="847">
        <f t="shared" si="253"/>
        <v>0</v>
      </c>
      <c r="AA205" s="848">
        <f t="shared" si="241"/>
        <v>0</v>
      </c>
      <c r="AB205" s="868"/>
      <c r="AC205" s="863">
        <f t="shared" si="242"/>
        <v>18</v>
      </c>
      <c r="AD205" s="847">
        <f t="shared" si="254"/>
        <v>0</v>
      </c>
      <c r="AE205" s="847">
        <f t="shared" si="243"/>
        <v>0</v>
      </c>
      <c r="AF205" s="847">
        <f t="shared" si="244"/>
        <v>0</v>
      </c>
      <c r="AG205" s="847">
        <f t="shared" si="229"/>
        <v>0</v>
      </c>
      <c r="AH205" s="847">
        <f t="shared" si="262"/>
        <v>0</v>
      </c>
      <c r="AI205" s="847">
        <f t="shared" si="245"/>
        <v>0</v>
      </c>
      <c r="AJ205" s="847">
        <f t="shared" si="255"/>
        <v>0</v>
      </c>
      <c r="AK205" s="839">
        <f t="shared" si="212"/>
        <v>0</v>
      </c>
      <c r="AL205" s="839">
        <f t="shared" si="230"/>
        <v>0</v>
      </c>
      <c r="AM205" s="839">
        <f t="shared" si="213"/>
        <v>0</v>
      </c>
      <c r="AN205" s="847">
        <f t="shared" si="256"/>
        <v>0</v>
      </c>
      <c r="AO205" s="848">
        <f t="shared" si="246"/>
        <v>0</v>
      </c>
      <c r="AQ205" s="863">
        <f t="shared" si="247"/>
        <v>18</v>
      </c>
      <c r="AR205" s="847">
        <f t="shared" si="231"/>
        <v>0</v>
      </c>
      <c r="AS205" s="847">
        <f t="shared" si="214"/>
        <v>0</v>
      </c>
      <c r="AT205" s="847">
        <f t="shared" si="215"/>
        <v>0</v>
      </c>
      <c r="AU205" s="847">
        <f t="shared" si="216"/>
        <v>0</v>
      </c>
      <c r="AV205" s="847">
        <f t="shared" si="217"/>
        <v>0</v>
      </c>
      <c r="AW205" s="847">
        <f t="shared" si="218"/>
        <v>0</v>
      </c>
      <c r="AX205" s="847">
        <f t="shared" si="219"/>
        <v>0</v>
      </c>
      <c r="AY205" s="839">
        <f t="shared" si="220"/>
        <v>0</v>
      </c>
      <c r="AZ205" s="839">
        <f t="shared" si="221"/>
        <v>0</v>
      </c>
      <c r="BA205" s="839">
        <f t="shared" si="222"/>
        <v>0</v>
      </c>
      <c r="BB205" s="847">
        <f t="shared" si="223"/>
        <v>0</v>
      </c>
      <c r="BC205" s="848">
        <f t="shared" si="223"/>
        <v>0</v>
      </c>
    </row>
    <row r="206" spans="1:55" x14ac:dyDescent="0.25">
      <c r="A206" s="863">
        <f t="shared" si="232"/>
        <v>19</v>
      </c>
      <c r="B206" s="847">
        <f t="shared" si="248"/>
        <v>0</v>
      </c>
      <c r="C206" s="847">
        <f t="shared" si="233"/>
        <v>0</v>
      </c>
      <c r="D206" s="847">
        <f t="shared" si="234"/>
        <v>0</v>
      </c>
      <c r="E206" s="847">
        <f t="shared" si="224"/>
        <v>0</v>
      </c>
      <c r="F206" s="847">
        <f t="shared" si="260"/>
        <v>0</v>
      </c>
      <c r="G206" s="847">
        <f t="shared" si="235"/>
        <v>0</v>
      </c>
      <c r="H206" s="847">
        <f t="shared" si="249"/>
        <v>0</v>
      </c>
      <c r="I206" s="839">
        <f t="shared" si="225"/>
        <v>0</v>
      </c>
      <c r="J206" s="839">
        <f t="shared" si="226"/>
        <v>0</v>
      </c>
      <c r="K206" s="839">
        <f t="shared" si="209"/>
        <v>0</v>
      </c>
      <c r="L206" s="847">
        <f t="shared" si="250"/>
        <v>0</v>
      </c>
      <c r="M206" s="848">
        <f t="shared" si="236"/>
        <v>0</v>
      </c>
      <c r="N206" s="841"/>
      <c r="O206" s="863">
        <f t="shared" si="237"/>
        <v>19</v>
      </c>
      <c r="P206" s="847">
        <f t="shared" si="251"/>
        <v>0</v>
      </c>
      <c r="Q206" s="847">
        <f t="shared" si="238"/>
        <v>0</v>
      </c>
      <c r="R206" s="847">
        <f t="shared" si="239"/>
        <v>0</v>
      </c>
      <c r="S206" s="847">
        <f t="shared" si="227"/>
        <v>0</v>
      </c>
      <c r="T206" s="847">
        <f t="shared" si="261"/>
        <v>0</v>
      </c>
      <c r="U206" s="847">
        <f t="shared" si="240"/>
        <v>0</v>
      </c>
      <c r="V206" s="847">
        <f t="shared" si="252"/>
        <v>0</v>
      </c>
      <c r="W206" s="839">
        <f t="shared" si="210"/>
        <v>0</v>
      </c>
      <c r="X206" s="839">
        <f t="shared" si="228"/>
        <v>0</v>
      </c>
      <c r="Y206" s="839">
        <f t="shared" si="211"/>
        <v>0</v>
      </c>
      <c r="Z206" s="847">
        <f t="shared" si="253"/>
        <v>0</v>
      </c>
      <c r="AA206" s="848">
        <f t="shared" si="241"/>
        <v>0</v>
      </c>
      <c r="AB206" s="868"/>
      <c r="AC206" s="863">
        <f t="shared" si="242"/>
        <v>19</v>
      </c>
      <c r="AD206" s="847">
        <f t="shared" si="254"/>
        <v>0</v>
      </c>
      <c r="AE206" s="847">
        <f t="shared" si="243"/>
        <v>0</v>
      </c>
      <c r="AF206" s="847">
        <f t="shared" si="244"/>
        <v>0</v>
      </c>
      <c r="AG206" s="847">
        <f t="shared" si="229"/>
        <v>0</v>
      </c>
      <c r="AH206" s="847">
        <f t="shared" si="262"/>
        <v>0</v>
      </c>
      <c r="AI206" s="847">
        <f t="shared" si="245"/>
        <v>0</v>
      </c>
      <c r="AJ206" s="847">
        <f t="shared" si="255"/>
        <v>0</v>
      </c>
      <c r="AK206" s="839">
        <f t="shared" si="212"/>
        <v>0</v>
      </c>
      <c r="AL206" s="839">
        <f t="shared" si="230"/>
        <v>0</v>
      </c>
      <c r="AM206" s="839">
        <f t="shared" si="213"/>
        <v>0</v>
      </c>
      <c r="AN206" s="847">
        <f t="shared" si="256"/>
        <v>0</v>
      </c>
      <c r="AO206" s="848">
        <f t="shared" si="246"/>
        <v>0</v>
      </c>
      <c r="AQ206" s="863">
        <f t="shared" si="247"/>
        <v>19</v>
      </c>
      <c r="AR206" s="847">
        <f t="shared" si="231"/>
        <v>0</v>
      </c>
      <c r="AS206" s="847">
        <f t="shared" si="214"/>
        <v>0</v>
      </c>
      <c r="AT206" s="847">
        <f t="shared" si="215"/>
        <v>0</v>
      </c>
      <c r="AU206" s="847">
        <f t="shared" si="216"/>
        <v>0</v>
      </c>
      <c r="AV206" s="847">
        <f t="shared" si="217"/>
        <v>0</v>
      </c>
      <c r="AW206" s="847">
        <f t="shared" si="218"/>
        <v>0</v>
      </c>
      <c r="AX206" s="847">
        <f t="shared" si="219"/>
        <v>0</v>
      </c>
      <c r="AY206" s="839">
        <f t="shared" si="220"/>
        <v>0</v>
      </c>
      <c r="AZ206" s="839">
        <f t="shared" si="221"/>
        <v>0</v>
      </c>
      <c r="BA206" s="839">
        <f t="shared" si="222"/>
        <v>0</v>
      </c>
      <c r="BB206" s="847">
        <f t="shared" si="223"/>
        <v>0</v>
      </c>
      <c r="BC206" s="848">
        <f t="shared" si="223"/>
        <v>0</v>
      </c>
    </row>
    <row r="207" spans="1:55" x14ac:dyDescent="0.25">
      <c r="A207" s="863">
        <f t="shared" si="232"/>
        <v>20</v>
      </c>
      <c r="B207" s="847">
        <f t="shared" si="248"/>
        <v>0</v>
      </c>
      <c r="C207" s="847">
        <f t="shared" si="233"/>
        <v>0</v>
      </c>
      <c r="D207" s="847">
        <f t="shared" si="234"/>
        <v>0</v>
      </c>
      <c r="E207" s="847">
        <f t="shared" si="224"/>
        <v>0</v>
      </c>
      <c r="F207" s="847">
        <f t="shared" si="260"/>
        <v>0</v>
      </c>
      <c r="G207" s="847">
        <f t="shared" si="235"/>
        <v>0</v>
      </c>
      <c r="H207" s="847">
        <f t="shared" si="249"/>
        <v>0</v>
      </c>
      <c r="I207" s="839">
        <f t="shared" si="225"/>
        <v>0</v>
      </c>
      <c r="J207" s="839">
        <f t="shared" si="226"/>
        <v>0</v>
      </c>
      <c r="K207" s="839">
        <f t="shared" si="209"/>
        <v>0</v>
      </c>
      <c r="L207" s="847">
        <f t="shared" si="250"/>
        <v>0</v>
      </c>
      <c r="M207" s="848">
        <f t="shared" si="236"/>
        <v>0</v>
      </c>
      <c r="N207" s="841"/>
      <c r="O207" s="863">
        <f t="shared" si="237"/>
        <v>20</v>
      </c>
      <c r="P207" s="847">
        <f t="shared" si="251"/>
        <v>0</v>
      </c>
      <c r="Q207" s="847">
        <f t="shared" si="238"/>
        <v>0</v>
      </c>
      <c r="R207" s="847">
        <f t="shared" si="239"/>
        <v>0</v>
      </c>
      <c r="S207" s="847">
        <f t="shared" si="227"/>
        <v>0</v>
      </c>
      <c r="T207" s="847">
        <f t="shared" si="261"/>
        <v>0</v>
      </c>
      <c r="U207" s="847">
        <f t="shared" si="240"/>
        <v>0</v>
      </c>
      <c r="V207" s="847">
        <f t="shared" si="252"/>
        <v>0</v>
      </c>
      <c r="W207" s="839">
        <f t="shared" si="210"/>
        <v>0</v>
      </c>
      <c r="X207" s="839">
        <f t="shared" si="228"/>
        <v>0</v>
      </c>
      <c r="Y207" s="839">
        <f t="shared" si="211"/>
        <v>0</v>
      </c>
      <c r="Z207" s="847">
        <f t="shared" si="253"/>
        <v>0</v>
      </c>
      <c r="AA207" s="848">
        <f t="shared" si="241"/>
        <v>0</v>
      </c>
      <c r="AB207" s="868"/>
      <c r="AC207" s="863">
        <f t="shared" si="242"/>
        <v>20</v>
      </c>
      <c r="AD207" s="847">
        <f t="shared" si="254"/>
        <v>0</v>
      </c>
      <c r="AE207" s="847">
        <f t="shared" si="243"/>
        <v>0</v>
      </c>
      <c r="AF207" s="847">
        <f t="shared" si="244"/>
        <v>0</v>
      </c>
      <c r="AG207" s="847">
        <f t="shared" si="229"/>
        <v>0</v>
      </c>
      <c r="AH207" s="847">
        <f t="shared" si="262"/>
        <v>0</v>
      </c>
      <c r="AI207" s="847">
        <f t="shared" si="245"/>
        <v>0</v>
      </c>
      <c r="AJ207" s="847">
        <f t="shared" si="255"/>
        <v>0</v>
      </c>
      <c r="AK207" s="839">
        <f t="shared" si="212"/>
        <v>0</v>
      </c>
      <c r="AL207" s="839">
        <f t="shared" si="230"/>
        <v>0</v>
      </c>
      <c r="AM207" s="839">
        <f t="shared" si="213"/>
        <v>0</v>
      </c>
      <c r="AN207" s="847">
        <f t="shared" si="256"/>
        <v>0</v>
      </c>
      <c r="AO207" s="848">
        <f t="shared" si="246"/>
        <v>0</v>
      </c>
      <c r="AQ207" s="863">
        <f t="shared" si="247"/>
        <v>20</v>
      </c>
      <c r="AR207" s="847">
        <f t="shared" si="231"/>
        <v>0</v>
      </c>
      <c r="AS207" s="847">
        <f t="shared" si="214"/>
        <v>0</v>
      </c>
      <c r="AT207" s="847">
        <f t="shared" si="215"/>
        <v>0</v>
      </c>
      <c r="AU207" s="847">
        <f t="shared" si="216"/>
        <v>0</v>
      </c>
      <c r="AV207" s="847">
        <f t="shared" si="217"/>
        <v>0</v>
      </c>
      <c r="AW207" s="847">
        <f t="shared" si="218"/>
        <v>0</v>
      </c>
      <c r="AX207" s="847">
        <f t="shared" si="219"/>
        <v>0</v>
      </c>
      <c r="AY207" s="839">
        <f t="shared" si="220"/>
        <v>0</v>
      </c>
      <c r="AZ207" s="839">
        <f t="shared" si="221"/>
        <v>0</v>
      </c>
      <c r="BA207" s="839">
        <f t="shared" si="222"/>
        <v>0</v>
      </c>
      <c r="BB207" s="847">
        <f t="shared" si="223"/>
        <v>0</v>
      </c>
      <c r="BC207" s="848">
        <f t="shared" si="223"/>
        <v>0</v>
      </c>
    </row>
    <row r="208" spans="1:55" x14ac:dyDescent="0.25">
      <c r="A208" s="863">
        <f t="shared" si="232"/>
        <v>21</v>
      </c>
      <c r="B208" s="847">
        <f t="shared" si="248"/>
        <v>0</v>
      </c>
      <c r="C208" s="847">
        <f t="shared" si="233"/>
        <v>0</v>
      </c>
      <c r="D208" s="847">
        <f t="shared" si="234"/>
        <v>0</v>
      </c>
      <c r="E208" s="847">
        <f t="shared" si="224"/>
        <v>0</v>
      </c>
      <c r="F208" s="847">
        <f t="shared" si="260"/>
        <v>0</v>
      </c>
      <c r="G208" s="847">
        <f t="shared" si="235"/>
        <v>0</v>
      </c>
      <c r="H208" s="847">
        <f t="shared" si="249"/>
        <v>0</v>
      </c>
      <c r="I208" s="839">
        <f t="shared" si="225"/>
        <v>0</v>
      </c>
      <c r="J208" s="839">
        <f t="shared" si="226"/>
        <v>0</v>
      </c>
      <c r="K208" s="839">
        <f t="shared" si="209"/>
        <v>0</v>
      </c>
      <c r="L208" s="847">
        <f t="shared" si="250"/>
        <v>0</v>
      </c>
      <c r="M208" s="848">
        <f t="shared" si="236"/>
        <v>0</v>
      </c>
      <c r="N208" s="841"/>
      <c r="O208" s="863">
        <f t="shared" si="237"/>
        <v>21</v>
      </c>
      <c r="P208" s="847">
        <f t="shared" si="251"/>
        <v>0</v>
      </c>
      <c r="Q208" s="847">
        <f t="shared" si="238"/>
        <v>0</v>
      </c>
      <c r="R208" s="847">
        <f t="shared" si="239"/>
        <v>0</v>
      </c>
      <c r="S208" s="847">
        <f t="shared" si="227"/>
        <v>0</v>
      </c>
      <c r="T208" s="847">
        <f t="shared" si="261"/>
        <v>0</v>
      </c>
      <c r="U208" s="847">
        <f t="shared" si="240"/>
        <v>0</v>
      </c>
      <c r="V208" s="847">
        <f t="shared" si="252"/>
        <v>0</v>
      </c>
      <c r="W208" s="839">
        <f t="shared" si="210"/>
        <v>0</v>
      </c>
      <c r="X208" s="839">
        <f t="shared" si="228"/>
        <v>0</v>
      </c>
      <c r="Y208" s="839">
        <f t="shared" si="211"/>
        <v>0</v>
      </c>
      <c r="Z208" s="847">
        <f t="shared" si="253"/>
        <v>0</v>
      </c>
      <c r="AA208" s="848">
        <f t="shared" si="241"/>
        <v>0</v>
      </c>
      <c r="AB208" s="868"/>
      <c r="AC208" s="863">
        <f t="shared" si="242"/>
        <v>21</v>
      </c>
      <c r="AD208" s="847">
        <f t="shared" si="254"/>
        <v>0</v>
      </c>
      <c r="AE208" s="847">
        <f t="shared" si="243"/>
        <v>0</v>
      </c>
      <c r="AF208" s="847">
        <f t="shared" si="244"/>
        <v>0</v>
      </c>
      <c r="AG208" s="847">
        <f t="shared" si="229"/>
        <v>0</v>
      </c>
      <c r="AH208" s="847">
        <f t="shared" si="262"/>
        <v>0</v>
      </c>
      <c r="AI208" s="847">
        <f t="shared" si="245"/>
        <v>0</v>
      </c>
      <c r="AJ208" s="847">
        <f t="shared" si="255"/>
        <v>0</v>
      </c>
      <c r="AK208" s="839">
        <f t="shared" si="212"/>
        <v>0</v>
      </c>
      <c r="AL208" s="839">
        <f t="shared" si="230"/>
        <v>0</v>
      </c>
      <c r="AM208" s="839">
        <f t="shared" si="213"/>
        <v>0</v>
      </c>
      <c r="AN208" s="847">
        <f t="shared" si="256"/>
        <v>0</v>
      </c>
      <c r="AO208" s="848">
        <f t="shared" si="246"/>
        <v>0</v>
      </c>
      <c r="AQ208" s="863">
        <f t="shared" si="247"/>
        <v>21</v>
      </c>
      <c r="AR208" s="847">
        <f t="shared" si="231"/>
        <v>0</v>
      </c>
      <c r="AS208" s="847">
        <f t="shared" si="214"/>
        <v>0</v>
      </c>
      <c r="AT208" s="847">
        <f t="shared" si="215"/>
        <v>0</v>
      </c>
      <c r="AU208" s="847">
        <f t="shared" si="216"/>
        <v>0</v>
      </c>
      <c r="AV208" s="847">
        <f t="shared" si="217"/>
        <v>0</v>
      </c>
      <c r="AW208" s="847">
        <f t="shared" si="218"/>
        <v>0</v>
      </c>
      <c r="AX208" s="847">
        <f t="shared" si="219"/>
        <v>0</v>
      </c>
      <c r="AY208" s="839">
        <f t="shared" si="220"/>
        <v>0</v>
      </c>
      <c r="AZ208" s="839">
        <f t="shared" si="221"/>
        <v>0</v>
      </c>
      <c r="BA208" s="839">
        <f t="shared" si="222"/>
        <v>0</v>
      </c>
      <c r="BB208" s="847">
        <f t="shared" si="223"/>
        <v>0</v>
      </c>
      <c r="BC208" s="848">
        <f t="shared" si="223"/>
        <v>0</v>
      </c>
    </row>
    <row r="209" spans="1:55" x14ac:dyDescent="0.25">
      <c r="A209" s="863">
        <f t="shared" si="232"/>
        <v>22</v>
      </c>
      <c r="B209" s="847">
        <f t="shared" si="248"/>
        <v>0</v>
      </c>
      <c r="C209" s="847">
        <f t="shared" si="233"/>
        <v>0</v>
      </c>
      <c r="D209" s="847">
        <f t="shared" si="234"/>
        <v>0</v>
      </c>
      <c r="E209" s="847">
        <f t="shared" si="224"/>
        <v>0</v>
      </c>
      <c r="F209" s="847">
        <f t="shared" si="260"/>
        <v>0</v>
      </c>
      <c r="G209" s="847">
        <f t="shared" si="235"/>
        <v>0</v>
      </c>
      <c r="H209" s="847">
        <f t="shared" si="249"/>
        <v>0</v>
      </c>
      <c r="I209" s="839">
        <f t="shared" si="225"/>
        <v>0</v>
      </c>
      <c r="J209" s="839">
        <f t="shared" si="226"/>
        <v>0</v>
      </c>
      <c r="K209" s="839">
        <f t="shared" si="209"/>
        <v>0</v>
      </c>
      <c r="L209" s="847">
        <f t="shared" si="250"/>
        <v>0</v>
      </c>
      <c r="M209" s="848">
        <f t="shared" si="236"/>
        <v>0</v>
      </c>
      <c r="N209" s="841"/>
      <c r="O209" s="863">
        <f t="shared" si="237"/>
        <v>22</v>
      </c>
      <c r="P209" s="847">
        <f t="shared" si="251"/>
        <v>0</v>
      </c>
      <c r="Q209" s="847">
        <f t="shared" si="238"/>
        <v>0</v>
      </c>
      <c r="R209" s="847">
        <f t="shared" si="239"/>
        <v>0</v>
      </c>
      <c r="S209" s="847">
        <f t="shared" si="227"/>
        <v>0</v>
      </c>
      <c r="T209" s="847">
        <f t="shared" si="261"/>
        <v>0</v>
      </c>
      <c r="U209" s="847">
        <f t="shared" si="240"/>
        <v>0</v>
      </c>
      <c r="V209" s="847">
        <f t="shared" si="252"/>
        <v>0</v>
      </c>
      <c r="W209" s="839">
        <f t="shared" si="210"/>
        <v>0</v>
      </c>
      <c r="X209" s="839">
        <f t="shared" si="228"/>
        <v>0</v>
      </c>
      <c r="Y209" s="839">
        <f t="shared" si="211"/>
        <v>0</v>
      </c>
      <c r="Z209" s="847">
        <f t="shared" si="253"/>
        <v>0</v>
      </c>
      <c r="AA209" s="848">
        <f t="shared" si="241"/>
        <v>0</v>
      </c>
      <c r="AB209" s="868"/>
      <c r="AC209" s="863">
        <f t="shared" si="242"/>
        <v>22</v>
      </c>
      <c r="AD209" s="847">
        <f t="shared" si="254"/>
        <v>0</v>
      </c>
      <c r="AE209" s="847">
        <f t="shared" si="243"/>
        <v>0</v>
      </c>
      <c r="AF209" s="847">
        <f t="shared" si="244"/>
        <v>0</v>
      </c>
      <c r="AG209" s="847">
        <f t="shared" si="229"/>
        <v>0</v>
      </c>
      <c r="AH209" s="847">
        <f t="shared" si="262"/>
        <v>0</v>
      </c>
      <c r="AI209" s="847">
        <f t="shared" si="245"/>
        <v>0</v>
      </c>
      <c r="AJ209" s="847">
        <f t="shared" si="255"/>
        <v>0</v>
      </c>
      <c r="AK209" s="839">
        <f t="shared" si="212"/>
        <v>0</v>
      </c>
      <c r="AL209" s="839">
        <f t="shared" si="230"/>
        <v>0</v>
      </c>
      <c r="AM209" s="839">
        <f t="shared" si="213"/>
        <v>0</v>
      </c>
      <c r="AN209" s="847">
        <f t="shared" si="256"/>
        <v>0</v>
      </c>
      <c r="AO209" s="848">
        <f t="shared" si="246"/>
        <v>0</v>
      </c>
      <c r="AQ209" s="863">
        <f t="shared" si="247"/>
        <v>22</v>
      </c>
      <c r="AR209" s="847">
        <f t="shared" si="231"/>
        <v>0</v>
      </c>
      <c r="AS209" s="847">
        <f t="shared" si="214"/>
        <v>0</v>
      </c>
      <c r="AT209" s="847">
        <f t="shared" si="215"/>
        <v>0</v>
      </c>
      <c r="AU209" s="847">
        <f t="shared" si="216"/>
        <v>0</v>
      </c>
      <c r="AV209" s="847">
        <f t="shared" si="217"/>
        <v>0</v>
      </c>
      <c r="AW209" s="847">
        <f t="shared" si="218"/>
        <v>0</v>
      </c>
      <c r="AX209" s="847">
        <f t="shared" si="219"/>
        <v>0</v>
      </c>
      <c r="AY209" s="839">
        <f t="shared" si="220"/>
        <v>0</v>
      </c>
      <c r="AZ209" s="839">
        <f t="shared" si="221"/>
        <v>0</v>
      </c>
      <c r="BA209" s="839">
        <f t="shared" si="222"/>
        <v>0</v>
      </c>
      <c r="BB209" s="847">
        <f t="shared" si="223"/>
        <v>0</v>
      </c>
      <c r="BC209" s="848">
        <f t="shared" si="223"/>
        <v>0</v>
      </c>
    </row>
    <row r="210" spans="1:55" x14ac:dyDescent="0.25">
      <c r="A210" s="863">
        <f t="shared" si="232"/>
        <v>23</v>
      </c>
      <c r="B210" s="847">
        <f t="shared" si="248"/>
        <v>0</v>
      </c>
      <c r="C210" s="847">
        <f t="shared" si="233"/>
        <v>0</v>
      </c>
      <c r="D210" s="847">
        <f t="shared" si="234"/>
        <v>0</v>
      </c>
      <c r="E210" s="847">
        <f t="shared" si="224"/>
        <v>0</v>
      </c>
      <c r="F210" s="847">
        <f t="shared" si="260"/>
        <v>0</v>
      </c>
      <c r="G210" s="847">
        <f t="shared" si="235"/>
        <v>0</v>
      </c>
      <c r="H210" s="847">
        <f t="shared" si="249"/>
        <v>0</v>
      </c>
      <c r="I210" s="839">
        <f t="shared" si="225"/>
        <v>0</v>
      </c>
      <c r="J210" s="839">
        <f t="shared" si="226"/>
        <v>0</v>
      </c>
      <c r="K210" s="839">
        <f t="shared" si="209"/>
        <v>0</v>
      </c>
      <c r="L210" s="847">
        <f t="shared" si="250"/>
        <v>0</v>
      </c>
      <c r="M210" s="848">
        <f t="shared" si="236"/>
        <v>0</v>
      </c>
      <c r="N210" s="841"/>
      <c r="O210" s="863">
        <f t="shared" si="237"/>
        <v>23</v>
      </c>
      <c r="P210" s="847">
        <f t="shared" si="251"/>
        <v>0</v>
      </c>
      <c r="Q210" s="847">
        <f t="shared" si="238"/>
        <v>0</v>
      </c>
      <c r="R210" s="847">
        <f t="shared" si="239"/>
        <v>0</v>
      </c>
      <c r="S210" s="847">
        <f t="shared" si="227"/>
        <v>0</v>
      </c>
      <c r="T210" s="847">
        <f t="shared" si="261"/>
        <v>0</v>
      </c>
      <c r="U210" s="847">
        <f t="shared" si="240"/>
        <v>0</v>
      </c>
      <c r="V210" s="847">
        <f t="shared" si="252"/>
        <v>0</v>
      </c>
      <c r="W210" s="839">
        <f t="shared" si="210"/>
        <v>0</v>
      </c>
      <c r="X210" s="839">
        <f t="shared" si="228"/>
        <v>0</v>
      </c>
      <c r="Y210" s="839">
        <f t="shared" si="211"/>
        <v>0</v>
      </c>
      <c r="Z210" s="847">
        <f t="shared" si="253"/>
        <v>0</v>
      </c>
      <c r="AA210" s="848">
        <f t="shared" si="241"/>
        <v>0</v>
      </c>
      <c r="AB210" s="868"/>
      <c r="AC210" s="863">
        <f t="shared" si="242"/>
        <v>23</v>
      </c>
      <c r="AD210" s="847">
        <f t="shared" si="254"/>
        <v>0</v>
      </c>
      <c r="AE210" s="847">
        <f t="shared" si="243"/>
        <v>0</v>
      </c>
      <c r="AF210" s="847">
        <f t="shared" si="244"/>
        <v>0</v>
      </c>
      <c r="AG210" s="847">
        <f t="shared" si="229"/>
        <v>0</v>
      </c>
      <c r="AH210" s="847">
        <f t="shared" si="262"/>
        <v>0</v>
      </c>
      <c r="AI210" s="847">
        <f t="shared" si="245"/>
        <v>0</v>
      </c>
      <c r="AJ210" s="847">
        <f t="shared" si="255"/>
        <v>0</v>
      </c>
      <c r="AK210" s="839">
        <f t="shared" si="212"/>
        <v>0</v>
      </c>
      <c r="AL210" s="839">
        <f t="shared" si="230"/>
        <v>0</v>
      </c>
      <c r="AM210" s="839">
        <f t="shared" si="213"/>
        <v>0</v>
      </c>
      <c r="AN210" s="847">
        <f t="shared" si="256"/>
        <v>0</v>
      </c>
      <c r="AO210" s="848">
        <f t="shared" si="246"/>
        <v>0</v>
      </c>
      <c r="AQ210" s="863">
        <f t="shared" si="247"/>
        <v>23</v>
      </c>
      <c r="AR210" s="847">
        <f t="shared" si="231"/>
        <v>0</v>
      </c>
      <c r="AS210" s="847">
        <f t="shared" si="214"/>
        <v>0</v>
      </c>
      <c r="AT210" s="847">
        <f t="shared" si="215"/>
        <v>0</v>
      </c>
      <c r="AU210" s="847">
        <f t="shared" si="216"/>
        <v>0</v>
      </c>
      <c r="AV210" s="847">
        <f t="shared" si="217"/>
        <v>0</v>
      </c>
      <c r="AW210" s="847">
        <f t="shared" si="218"/>
        <v>0</v>
      </c>
      <c r="AX210" s="847">
        <f t="shared" si="219"/>
        <v>0</v>
      </c>
      <c r="AY210" s="839">
        <f t="shared" si="220"/>
        <v>0</v>
      </c>
      <c r="AZ210" s="839">
        <f t="shared" si="221"/>
        <v>0</v>
      </c>
      <c r="BA210" s="839">
        <f t="shared" si="222"/>
        <v>0</v>
      </c>
      <c r="BB210" s="847">
        <f t="shared" si="223"/>
        <v>0</v>
      </c>
      <c r="BC210" s="848">
        <f t="shared" si="223"/>
        <v>0</v>
      </c>
    </row>
    <row r="211" spans="1:55" x14ac:dyDescent="0.25">
      <c r="A211" s="863">
        <f t="shared" si="232"/>
        <v>24</v>
      </c>
      <c r="B211" s="847">
        <f t="shared" si="248"/>
        <v>0</v>
      </c>
      <c r="C211" s="847">
        <f t="shared" si="233"/>
        <v>0</v>
      </c>
      <c r="D211" s="847">
        <f t="shared" si="234"/>
        <v>0</v>
      </c>
      <c r="E211" s="847">
        <f t="shared" si="224"/>
        <v>0</v>
      </c>
      <c r="F211" s="847">
        <f t="shared" si="260"/>
        <v>0</v>
      </c>
      <c r="G211" s="847">
        <f t="shared" si="235"/>
        <v>0</v>
      </c>
      <c r="H211" s="847">
        <f t="shared" si="249"/>
        <v>0</v>
      </c>
      <c r="I211" s="839">
        <f t="shared" si="225"/>
        <v>0</v>
      </c>
      <c r="J211" s="839">
        <f t="shared" si="226"/>
        <v>0</v>
      </c>
      <c r="K211" s="839">
        <f t="shared" si="209"/>
        <v>0</v>
      </c>
      <c r="L211" s="847">
        <f t="shared" si="250"/>
        <v>0</v>
      </c>
      <c r="M211" s="848">
        <f t="shared" si="236"/>
        <v>0</v>
      </c>
      <c r="N211" s="841"/>
      <c r="O211" s="863">
        <f t="shared" si="237"/>
        <v>24</v>
      </c>
      <c r="P211" s="847">
        <f t="shared" si="251"/>
        <v>0</v>
      </c>
      <c r="Q211" s="847">
        <f t="shared" si="238"/>
        <v>0</v>
      </c>
      <c r="R211" s="847">
        <f t="shared" si="239"/>
        <v>0</v>
      </c>
      <c r="S211" s="847">
        <f t="shared" si="227"/>
        <v>0</v>
      </c>
      <c r="T211" s="847">
        <f t="shared" si="261"/>
        <v>0</v>
      </c>
      <c r="U211" s="847">
        <f t="shared" si="240"/>
        <v>0</v>
      </c>
      <c r="V211" s="847">
        <f t="shared" si="252"/>
        <v>0</v>
      </c>
      <c r="W211" s="839">
        <f t="shared" si="210"/>
        <v>0</v>
      </c>
      <c r="X211" s="839">
        <f t="shared" si="228"/>
        <v>0</v>
      </c>
      <c r="Y211" s="839">
        <f t="shared" si="211"/>
        <v>0</v>
      </c>
      <c r="Z211" s="847">
        <f t="shared" si="253"/>
        <v>0</v>
      </c>
      <c r="AA211" s="848">
        <f t="shared" si="241"/>
        <v>0</v>
      </c>
      <c r="AB211" s="868"/>
      <c r="AC211" s="863">
        <f t="shared" si="242"/>
        <v>24</v>
      </c>
      <c r="AD211" s="847">
        <f t="shared" si="254"/>
        <v>0</v>
      </c>
      <c r="AE211" s="847">
        <f t="shared" si="243"/>
        <v>0</v>
      </c>
      <c r="AF211" s="847">
        <f t="shared" si="244"/>
        <v>0</v>
      </c>
      <c r="AG211" s="847">
        <f t="shared" si="229"/>
        <v>0</v>
      </c>
      <c r="AH211" s="847">
        <f t="shared" si="262"/>
        <v>0</v>
      </c>
      <c r="AI211" s="847">
        <f t="shared" si="245"/>
        <v>0</v>
      </c>
      <c r="AJ211" s="847">
        <f t="shared" si="255"/>
        <v>0</v>
      </c>
      <c r="AK211" s="839">
        <f t="shared" si="212"/>
        <v>0</v>
      </c>
      <c r="AL211" s="839">
        <f t="shared" si="230"/>
        <v>0</v>
      </c>
      <c r="AM211" s="839">
        <f t="shared" si="213"/>
        <v>0</v>
      </c>
      <c r="AN211" s="847">
        <f t="shared" si="256"/>
        <v>0</v>
      </c>
      <c r="AO211" s="848">
        <f t="shared" si="246"/>
        <v>0</v>
      </c>
      <c r="AQ211" s="863">
        <f t="shared" si="247"/>
        <v>24</v>
      </c>
      <c r="AR211" s="847">
        <f t="shared" si="231"/>
        <v>0</v>
      </c>
      <c r="AS211" s="847">
        <f t="shared" si="214"/>
        <v>0</v>
      </c>
      <c r="AT211" s="847">
        <f t="shared" si="215"/>
        <v>0</v>
      </c>
      <c r="AU211" s="847">
        <f t="shared" si="216"/>
        <v>0</v>
      </c>
      <c r="AV211" s="847">
        <f t="shared" si="217"/>
        <v>0</v>
      </c>
      <c r="AW211" s="847">
        <f t="shared" si="218"/>
        <v>0</v>
      </c>
      <c r="AX211" s="847">
        <f t="shared" si="219"/>
        <v>0</v>
      </c>
      <c r="AY211" s="839">
        <f t="shared" si="220"/>
        <v>0</v>
      </c>
      <c r="AZ211" s="839">
        <f t="shared" si="221"/>
        <v>0</v>
      </c>
      <c r="BA211" s="839">
        <f t="shared" si="222"/>
        <v>0</v>
      </c>
      <c r="BB211" s="847">
        <f t="shared" si="223"/>
        <v>0</v>
      </c>
      <c r="BC211" s="848">
        <f t="shared" si="223"/>
        <v>0</v>
      </c>
    </row>
    <row r="212" spans="1:55" x14ac:dyDescent="0.25">
      <c r="A212" s="863">
        <f t="shared" si="232"/>
        <v>25</v>
      </c>
      <c r="B212" s="847">
        <f t="shared" si="248"/>
        <v>0</v>
      </c>
      <c r="C212" s="847">
        <f t="shared" si="233"/>
        <v>0</v>
      </c>
      <c r="D212" s="847">
        <f t="shared" si="234"/>
        <v>0</v>
      </c>
      <c r="E212" s="847">
        <f t="shared" si="224"/>
        <v>0</v>
      </c>
      <c r="F212" s="847">
        <f t="shared" si="260"/>
        <v>0</v>
      </c>
      <c r="G212" s="847">
        <f t="shared" si="235"/>
        <v>0</v>
      </c>
      <c r="H212" s="847">
        <f t="shared" si="249"/>
        <v>0</v>
      </c>
      <c r="I212" s="839">
        <f t="shared" si="225"/>
        <v>0</v>
      </c>
      <c r="J212" s="839">
        <f t="shared" si="226"/>
        <v>0</v>
      </c>
      <c r="K212" s="839">
        <f t="shared" si="209"/>
        <v>0</v>
      </c>
      <c r="L212" s="847">
        <f t="shared" si="250"/>
        <v>0</v>
      </c>
      <c r="M212" s="848">
        <f t="shared" si="236"/>
        <v>0</v>
      </c>
      <c r="N212" s="841"/>
      <c r="O212" s="863">
        <f t="shared" si="237"/>
        <v>25</v>
      </c>
      <c r="P212" s="847">
        <f t="shared" si="251"/>
        <v>0</v>
      </c>
      <c r="Q212" s="847">
        <f t="shared" si="238"/>
        <v>0</v>
      </c>
      <c r="R212" s="847">
        <f t="shared" si="239"/>
        <v>0</v>
      </c>
      <c r="S212" s="847">
        <f t="shared" si="227"/>
        <v>0</v>
      </c>
      <c r="T212" s="847">
        <f t="shared" si="261"/>
        <v>0</v>
      </c>
      <c r="U212" s="847">
        <f t="shared" si="240"/>
        <v>0</v>
      </c>
      <c r="V212" s="847">
        <f t="shared" si="252"/>
        <v>0</v>
      </c>
      <c r="W212" s="839">
        <f t="shared" si="210"/>
        <v>0</v>
      </c>
      <c r="X212" s="839">
        <f t="shared" si="228"/>
        <v>0</v>
      </c>
      <c r="Y212" s="839">
        <f t="shared" si="211"/>
        <v>0</v>
      </c>
      <c r="Z212" s="847">
        <f t="shared" si="253"/>
        <v>0</v>
      </c>
      <c r="AA212" s="848">
        <f t="shared" si="241"/>
        <v>0</v>
      </c>
      <c r="AB212" s="868"/>
      <c r="AC212" s="863">
        <f t="shared" si="242"/>
        <v>25</v>
      </c>
      <c r="AD212" s="847">
        <f t="shared" si="254"/>
        <v>0</v>
      </c>
      <c r="AE212" s="847">
        <f t="shared" si="243"/>
        <v>0</v>
      </c>
      <c r="AF212" s="847">
        <f t="shared" si="244"/>
        <v>0</v>
      </c>
      <c r="AG212" s="847">
        <f t="shared" si="229"/>
        <v>0</v>
      </c>
      <c r="AH212" s="847">
        <f t="shared" si="262"/>
        <v>0</v>
      </c>
      <c r="AI212" s="847">
        <f t="shared" si="245"/>
        <v>0</v>
      </c>
      <c r="AJ212" s="847">
        <f t="shared" si="255"/>
        <v>0</v>
      </c>
      <c r="AK212" s="839">
        <f t="shared" si="212"/>
        <v>0</v>
      </c>
      <c r="AL212" s="839">
        <f t="shared" si="230"/>
        <v>0</v>
      </c>
      <c r="AM212" s="839">
        <f t="shared" si="213"/>
        <v>0</v>
      </c>
      <c r="AN212" s="847">
        <f t="shared" si="256"/>
        <v>0</v>
      </c>
      <c r="AO212" s="848">
        <f t="shared" si="246"/>
        <v>0</v>
      </c>
      <c r="AQ212" s="863">
        <f t="shared" si="247"/>
        <v>25</v>
      </c>
      <c r="AR212" s="847">
        <f t="shared" si="231"/>
        <v>0</v>
      </c>
      <c r="AS212" s="847">
        <f t="shared" si="214"/>
        <v>0</v>
      </c>
      <c r="AT212" s="847">
        <f t="shared" si="215"/>
        <v>0</v>
      </c>
      <c r="AU212" s="847">
        <f t="shared" si="216"/>
        <v>0</v>
      </c>
      <c r="AV212" s="847">
        <f t="shared" si="217"/>
        <v>0</v>
      </c>
      <c r="AW212" s="847">
        <f t="shared" si="218"/>
        <v>0</v>
      </c>
      <c r="AX212" s="847">
        <f t="shared" si="219"/>
        <v>0</v>
      </c>
      <c r="AY212" s="839">
        <f t="shared" si="220"/>
        <v>0</v>
      </c>
      <c r="AZ212" s="839">
        <f t="shared" si="221"/>
        <v>0</v>
      </c>
      <c r="BA212" s="839">
        <f t="shared" si="222"/>
        <v>0</v>
      </c>
      <c r="BB212" s="847">
        <f t="shared" si="223"/>
        <v>0</v>
      </c>
      <c r="BC212" s="848">
        <f t="shared" si="223"/>
        <v>0</v>
      </c>
    </row>
    <row r="213" spans="1:55" x14ac:dyDescent="0.25">
      <c r="A213" s="863">
        <f t="shared" si="232"/>
        <v>26</v>
      </c>
      <c r="B213" s="847">
        <f t="shared" si="248"/>
        <v>0</v>
      </c>
      <c r="C213" s="847">
        <f t="shared" si="233"/>
        <v>0</v>
      </c>
      <c r="D213" s="847">
        <f t="shared" si="234"/>
        <v>0</v>
      </c>
      <c r="E213" s="847">
        <f t="shared" si="224"/>
        <v>0</v>
      </c>
      <c r="F213" s="847">
        <f t="shared" si="260"/>
        <v>0</v>
      </c>
      <c r="G213" s="847">
        <f t="shared" si="235"/>
        <v>0</v>
      </c>
      <c r="H213" s="847">
        <f t="shared" si="249"/>
        <v>0</v>
      </c>
      <c r="I213" s="839">
        <f t="shared" si="225"/>
        <v>0</v>
      </c>
      <c r="J213" s="839">
        <f t="shared" si="226"/>
        <v>0</v>
      </c>
      <c r="K213" s="839">
        <f t="shared" si="209"/>
        <v>0</v>
      </c>
      <c r="L213" s="847">
        <f t="shared" si="250"/>
        <v>0</v>
      </c>
      <c r="M213" s="848">
        <f t="shared" si="236"/>
        <v>0</v>
      </c>
      <c r="N213" s="841"/>
      <c r="O213" s="863">
        <f t="shared" si="237"/>
        <v>26</v>
      </c>
      <c r="P213" s="847">
        <f t="shared" si="251"/>
        <v>0</v>
      </c>
      <c r="Q213" s="847">
        <f t="shared" si="238"/>
        <v>0</v>
      </c>
      <c r="R213" s="847">
        <f t="shared" si="239"/>
        <v>0</v>
      </c>
      <c r="S213" s="847">
        <f t="shared" si="227"/>
        <v>0</v>
      </c>
      <c r="T213" s="847">
        <f t="shared" si="261"/>
        <v>0</v>
      </c>
      <c r="U213" s="847">
        <f t="shared" si="240"/>
        <v>0</v>
      </c>
      <c r="V213" s="847">
        <f t="shared" si="252"/>
        <v>0</v>
      </c>
      <c r="W213" s="839">
        <f t="shared" si="210"/>
        <v>0</v>
      </c>
      <c r="X213" s="839">
        <f t="shared" si="228"/>
        <v>0</v>
      </c>
      <c r="Y213" s="839">
        <f t="shared" si="211"/>
        <v>0</v>
      </c>
      <c r="Z213" s="847">
        <f t="shared" si="253"/>
        <v>0</v>
      </c>
      <c r="AA213" s="848">
        <f t="shared" si="241"/>
        <v>0</v>
      </c>
      <c r="AB213" s="868"/>
      <c r="AC213" s="863">
        <f t="shared" si="242"/>
        <v>26</v>
      </c>
      <c r="AD213" s="847">
        <f t="shared" si="254"/>
        <v>0</v>
      </c>
      <c r="AE213" s="847">
        <f t="shared" si="243"/>
        <v>0</v>
      </c>
      <c r="AF213" s="847">
        <f t="shared" si="244"/>
        <v>0</v>
      </c>
      <c r="AG213" s="847">
        <f t="shared" si="229"/>
        <v>0</v>
      </c>
      <c r="AH213" s="847">
        <f t="shared" si="262"/>
        <v>0</v>
      </c>
      <c r="AI213" s="847">
        <f t="shared" si="245"/>
        <v>0</v>
      </c>
      <c r="AJ213" s="847">
        <f t="shared" si="255"/>
        <v>0</v>
      </c>
      <c r="AK213" s="839">
        <f t="shared" si="212"/>
        <v>0</v>
      </c>
      <c r="AL213" s="839">
        <f t="shared" si="230"/>
        <v>0</v>
      </c>
      <c r="AM213" s="839">
        <f t="shared" si="213"/>
        <v>0</v>
      </c>
      <c r="AN213" s="847">
        <f t="shared" si="256"/>
        <v>0</v>
      </c>
      <c r="AO213" s="848">
        <f t="shared" si="246"/>
        <v>0</v>
      </c>
      <c r="AQ213" s="863">
        <f t="shared" si="247"/>
        <v>26</v>
      </c>
      <c r="AR213" s="847">
        <f t="shared" si="231"/>
        <v>0</v>
      </c>
      <c r="AS213" s="847">
        <f t="shared" si="214"/>
        <v>0</v>
      </c>
      <c r="AT213" s="847">
        <f t="shared" si="215"/>
        <v>0</v>
      </c>
      <c r="AU213" s="847">
        <f t="shared" si="216"/>
        <v>0</v>
      </c>
      <c r="AV213" s="847">
        <f t="shared" si="217"/>
        <v>0</v>
      </c>
      <c r="AW213" s="847">
        <f t="shared" si="218"/>
        <v>0</v>
      </c>
      <c r="AX213" s="847">
        <f t="shared" si="219"/>
        <v>0</v>
      </c>
      <c r="AY213" s="839">
        <f t="shared" si="220"/>
        <v>0</v>
      </c>
      <c r="AZ213" s="839">
        <f t="shared" si="221"/>
        <v>0</v>
      </c>
      <c r="BA213" s="839">
        <f t="shared" si="222"/>
        <v>0</v>
      </c>
      <c r="BB213" s="847">
        <f t="shared" si="223"/>
        <v>0</v>
      </c>
      <c r="BC213" s="848">
        <f t="shared" si="223"/>
        <v>0</v>
      </c>
    </row>
    <row r="214" spans="1:55" x14ac:dyDescent="0.25">
      <c r="A214" s="863">
        <f t="shared" si="232"/>
        <v>27</v>
      </c>
      <c r="B214" s="847">
        <f t="shared" si="248"/>
        <v>0</v>
      </c>
      <c r="C214" s="847">
        <f t="shared" si="233"/>
        <v>0</v>
      </c>
      <c r="D214" s="847">
        <f t="shared" si="234"/>
        <v>0</v>
      </c>
      <c r="E214" s="847">
        <f t="shared" si="224"/>
        <v>0</v>
      </c>
      <c r="F214" s="847">
        <f t="shared" si="260"/>
        <v>0</v>
      </c>
      <c r="G214" s="847">
        <f t="shared" si="235"/>
        <v>0</v>
      </c>
      <c r="H214" s="847">
        <f t="shared" si="249"/>
        <v>0</v>
      </c>
      <c r="I214" s="839">
        <f t="shared" si="225"/>
        <v>0</v>
      </c>
      <c r="J214" s="839">
        <f t="shared" si="226"/>
        <v>0</v>
      </c>
      <c r="K214" s="839">
        <f t="shared" si="209"/>
        <v>0</v>
      </c>
      <c r="L214" s="847">
        <f t="shared" si="250"/>
        <v>0</v>
      </c>
      <c r="M214" s="848">
        <f t="shared" si="236"/>
        <v>0</v>
      </c>
      <c r="N214" s="841"/>
      <c r="O214" s="863">
        <f t="shared" si="237"/>
        <v>27</v>
      </c>
      <c r="P214" s="847">
        <f t="shared" si="251"/>
        <v>0</v>
      </c>
      <c r="Q214" s="847">
        <f t="shared" si="238"/>
        <v>0</v>
      </c>
      <c r="R214" s="847">
        <f t="shared" si="239"/>
        <v>0</v>
      </c>
      <c r="S214" s="847">
        <f t="shared" si="227"/>
        <v>0</v>
      </c>
      <c r="T214" s="847">
        <f t="shared" si="261"/>
        <v>0</v>
      </c>
      <c r="U214" s="847">
        <f t="shared" si="240"/>
        <v>0</v>
      </c>
      <c r="V214" s="847">
        <f t="shared" si="252"/>
        <v>0</v>
      </c>
      <c r="W214" s="839">
        <f t="shared" si="210"/>
        <v>0</v>
      </c>
      <c r="X214" s="839">
        <f t="shared" si="228"/>
        <v>0</v>
      </c>
      <c r="Y214" s="839">
        <f t="shared" si="211"/>
        <v>0</v>
      </c>
      <c r="Z214" s="847">
        <f t="shared" si="253"/>
        <v>0</v>
      </c>
      <c r="AA214" s="848">
        <f t="shared" si="241"/>
        <v>0</v>
      </c>
      <c r="AB214" s="868"/>
      <c r="AC214" s="863">
        <f t="shared" si="242"/>
        <v>27</v>
      </c>
      <c r="AD214" s="847">
        <f t="shared" si="254"/>
        <v>0</v>
      </c>
      <c r="AE214" s="847">
        <f t="shared" si="243"/>
        <v>0</v>
      </c>
      <c r="AF214" s="847">
        <f t="shared" si="244"/>
        <v>0</v>
      </c>
      <c r="AG214" s="847">
        <f t="shared" si="229"/>
        <v>0</v>
      </c>
      <c r="AH214" s="847">
        <f t="shared" si="262"/>
        <v>0</v>
      </c>
      <c r="AI214" s="847">
        <f t="shared" si="245"/>
        <v>0</v>
      </c>
      <c r="AJ214" s="847">
        <f t="shared" si="255"/>
        <v>0</v>
      </c>
      <c r="AK214" s="839">
        <f t="shared" si="212"/>
        <v>0</v>
      </c>
      <c r="AL214" s="839">
        <f t="shared" si="230"/>
        <v>0</v>
      </c>
      <c r="AM214" s="839">
        <f t="shared" si="213"/>
        <v>0</v>
      </c>
      <c r="AN214" s="847">
        <f t="shared" si="256"/>
        <v>0</v>
      </c>
      <c r="AO214" s="848">
        <f t="shared" si="246"/>
        <v>0</v>
      </c>
      <c r="AQ214" s="863">
        <f t="shared" si="247"/>
        <v>27</v>
      </c>
      <c r="AR214" s="847">
        <f t="shared" si="231"/>
        <v>0</v>
      </c>
      <c r="AS214" s="847">
        <f t="shared" si="214"/>
        <v>0</v>
      </c>
      <c r="AT214" s="847">
        <f t="shared" si="215"/>
        <v>0</v>
      </c>
      <c r="AU214" s="847">
        <f t="shared" si="216"/>
        <v>0</v>
      </c>
      <c r="AV214" s="847">
        <f t="shared" si="217"/>
        <v>0</v>
      </c>
      <c r="AW214" s="847">
        <f t="shared" si="218"/>
        <v>0</v>
      </c>
      <c r="AX214" s="847">
        <f t="shared" si="219"/>
        <v>0</v>
      </c>
      <c r="AY214" s="839">
        <f t="shared" si="220"/>
        <v>0</v>
      </c>
      <c r="AZ214" s="839">
        <f t="shared" si="221"/>
        <v>0</v>
      </c>
      <c r="BA214" s="839">
        <f t="shared" si="222"/>
        <v>0</v>
      </c>
      <c r="BB214" s="847">
        <f t="shared" si="223"/>
        <v>0</v>
      </c>
      <c r="BC214" s="848">
        <f t="shared" si="223"/>
        <v>0</v>
      </c>
    </row>
    <row r="215" spans="1:55" x14ac:dyDescent="0.25">
      <c r="A215" s="863">
        <f t="shared" si="232"/>
        <v>28</v>
      </c>
      <c r="B215" s="847">
        <f t="shared" si="248"/>
        <v>0</v>
      </c>
      <c r="C215" s="847">
        <f t="shared" si="233"/>
        <v>0</v>
      </c>
      <c r="D215" s="847">
        <f t="shared" si="234"/>
        <v>0</v>
      </c>
      <c r="E215" s="847">
        <f t="shared" si="224"/>
        <v>0</v>
      </c>
      <c r="F215" s="847">
        <f t="shared" si="260"/>
        <v>0</v>
      </c>
      <c r="G215" s="847">
        <f t="shared" si="235"/>
        <v>0</v>
      </c>
      <c r="H215" s="847">
        <f t="shared" si="249"/>
        <v>0</v>
      </c>
      <c r="I215" s="839">
        <f t="shared" si="225"/>
        <v>0</v>
      </c>
      <c r="J215" s="839">
        <f t="shared" si="226"/>
        <v>0</v>
      </c>
      <c r="K215" s="839">
        <f t="shared" si="209"/>
        <v>0</v>
      </c>
      <c r="L215" s="847">
        <f t="shared" si="250"/>
        <v>0</v>
      </c>
      <c r="M215" s="848">
        <f t="shared" si="236"/>
        <v>0</v>
      </c>
      <c r="N215" s="841"/>
      <c r="O215" s="863">
        <f t="shared" si="237"/>
        <v>28</v>
      </c>
      <c r="P215" s="847">
        <f t="shared" si="251"/>
        <v>0</v>
      </c>
      <c r="Q215" s="847">
        <f t="shared" si="238"/>
        <v>0</v>
      </c>
      <c r="R215" s="847">
        <f t="shared" si="239"/>
        <v>0</v>
      </c>
      <c r="S215" s="847">
        <f t="shared" si="227"/>
        <v>0</v>
      </c>
      <c r="T215" s="847">
        <f t="shared" si="261"/>
        <v>0</v>
      </c>
      <c r="U215" s="847">
        <f t="shared" si="240"/>
        <v>0</v>
      </c>
      <c r="V215" s="847">
        <f t="shared" si="252"/>
        <v>0</v>
      </c>
      <c r="W215" s="839">
        <f t="shared" si="210"/>
        <v>0</v>
      </c>
      <c r="X215" s="839">
        <f t="shared" si="228"/>
        <v>0</v>
      </c>
      <c r="Y215" s="839">
        <f t="shared" si="211"/>
        <v>0</v>
      </c>
      <c r="Z215" s="847">
        <f t="shared" si="253"/>
        <v>0</v>
      </c>
      <c r="AA215" s="848">
        <f t="shared" si="241"/>
        <v>0</v>
      </c>
      <c r="AB215" s="868"/>
      <c r="AC215" s="863">
        <f t="shared" si="242"/>
        <v>28</v>
      </c>
      <c r="AD215" s="847">
        <f t="shared" si="254"/>
        <v>0</v>
      </c>
      <c r="AE215" s="847">
        <f t="shared" si="243"/>
        <v>0</v>
      </c>
      <c r="AF215" s="847">
        <f t="shared" si="244"/>
        <v>0</v>
      </c>
      <c r="AG215" s="847">
        <f t="shared" si="229"/>
        <v>0</v>
      </c>
      <c r="AH215" s="847">
        <f t="shared" si="262"/>
        <v>0</v>
      </c>
      <c r="AI215" s="847">
        <f t="shared" si="245"/>
        <v>0</v>
      </c>
      <c r="AJ215" s="847">
        <f t="shared" si="255"/>
        <v>0</v>
      </c>
      <c r="AK215" s="839">
        <f t="shared" si="212"/>
        <v>0</v>
      </c>
      <c r="AL215" s="839">
        <f t="shared" si="230"/>
        <v>0</v>
      </c>
      <c r="AM215" s="839">
        <f t="shared" si="213"/>
        <v>0</v>
      </c>
      <c r="AN215" s="847">
        <f t="shared" si="256"/>
        <v>0</v>
      </c>
      <c r="AO215" s="848">
        <f t="shared" si="246"/>
        <v>0</v>
      </c>
      <c r="AQ215" s="863">
        <f t="shared" si="247"/>
        <v>28</v>
      </c>
      <c r="AR215" s="847">
        <f t="shared" si="231"/>
        <v>0</v>
      </c>
      <c r="AS215" s="847">
        <f t="shared" si="214"/>
        <v>0</v>
      </c>
      <c r="AT215" s="847">
        <f t="shared" si="215"/>
        <v>0</v>
      </c>
      <c r="AU215" s="847">
        <f t="shared" si="216"/>
        <v>0</v>
      </c>
      <c r="AV215" s="847">
        <f t="shared" si="217"/>
        <v>0</v>
      </c>
      <c r="AW215" s="847">
        <f t="shared" si="218"/>
        <v>0</v>
      </c>
      <c r="AX215" s="847">
        <f t="shared" si="219"/>
        <v>0</v>
      </c>
      <c r="AY215" s="839">
        <f t="shared" si="220"/>
        <v>0</v>
      </c>
      <c r="AZ215" s="839">
        <f t="shared" si="221"/>
        <v>0</v>
      </c>
      <c r="BA215" s="839">
        <f t="shared" si="222"/>
        <v>0</v>
      </c>
      <c r="BB215" s="847">
        <f t="shared" si="223"/>
        <v>0</v>
      </c>
      <c r="BC215" s="848">
        <f t="shared" si="223"/>
        <v>0</v>
      </c>
    </row>
    <row r="216" spans="1:55" x14ac:dyDescent="0.25">
      <c r="A216" s="863">
        <f t="shared" si="232"/>
        <v>29</v>
      </c>
      <c r="B216" s="847">
        <f t="shared" si="248"/>
        <v>0</v>
      </c>
      <c r="C216" s="847">
        <f t="shared" si="233"/>
        <v>0</v>
      </c>
      <c r="D216" s="847">
        <f t="shared" si="234"/>
        <v>0</v>
      </c>
      <c r="E216" s="847">
        <f t="shared" si="224"/>
        <v>0</v>
      </c>
      <c r="F216" s="847">
        <f t="shared" si="260"/>
        <v>0</v>
      </c>
      <c r="G216" s="847">
        <f t="shared" si="235"/>
        <v>0</v>
      </c>
      <c r="H216" s="847">
        <f t="shared" si="249"/>
        <v>0</v>
      </c>
      <c r="I216" s="839">
        <f t="shared" si="225"/>
        <v>0</v>
      </c>
      <c r="J216" s="839">
        <f t="shared" si="226"/>
        <v>0</v>
      </c>
      <c r="K216" s="839">
        <f t="shared" si="209"/>
        <v>0</v>
      </c>
      <c r="L216" s="847">
        <f t="shared" si="250"/>
        <v>0</v>
      </c>
      <c r="M216" s="848">
        <f t="shared" si="236"/>
        <v>0</v>
      </c>
      <c r="N216" s="841"/>
      <c r="O216" s="863">
        <f t="shared" si="237"/>
        <v>29</v>
      </c>
      <c r="P216" s="847">
        <f t="shared" si="251"/>
        <v>0</v>
      </c>
      <c r="Q216" s="847">
        <f t="shared" si="238"/>
        <v>0</v>
      </c>
      <c r="R216" s="847">
        <f t="shared" si="239"/>
        <v>0</v>
      </c>
      <c r="S216" s="847">
        <f t="shared" si="227"/>
        <v>0</v>
      </c>
      <c r="T216" s="847">
        <f t="shared" si="261"/>
        <v>0</v>
      </c>
      <c r="U216" s="847">
        <f t="shared" si="240"/>
        <v>0</v>
      </c>
      <c r="V216" s="847">
        <f t="shared" si="252"/>
        <v>0</v>
      </c>
      <c r="W216" s="839">
        <f t="shared" si="210"/>
        <v>0</v>
      </c>
      <c r="X216" s="839">
        <f t="shared" si="228"/>
        <v>0</v>
      </c>
      <c r="Y216" s="839">
        <f t="shared" si="211"/>
        <v>0</v>
      </c>
      <c r="Z216" s="847">
        <f t="shared" si="253"/>
        <v>0</v>
      </c>
      <c r="AA216" s="848">
        <f t="shared" si="241"/>
        <v>0</v>
      </c>
      <c r="AB216" s="868"/>
      <c r="AC216" s="863">
        <f t="shared" si="242"/>
        <v>29</v>
      </c>
      <c r="AD216" s="847">
        <f t="shared" si="254"/>
        <v>0</v>
      </c>
      <c r="AE216" s="847">
        <f t="shared" si="243"/>
        <v>0</v>
      </c>
      <c r="AF216" s="847">
        <f t="shared" si="244"/>
        <v>0</v>
      </c>
      <c r="AG216" s="847">
        <f t="shared" si="229"/>
        <v>0</v>
      </c>
      <c r="AH216" s="847">
        <f t="shared" si="262"/>
        <v>0</v>
      </c>
      <c r="AI216" s="847">
        <f t="shared" si="245"/>
        <v>0</v>
      </c>
      <c r="AJ216" s="847">
        <f t="shared" si="255"/>
        <v>0</v>
      </c>
      <c r="AK216" s="839">
        <f t="shared" si="212"/>
        <v>0</v>
      </c>
      <c r="AL216" s="839">
        <f t="shared" si="230"/>
        <v>0</v>
      </c>
      <c r="AM216" s="839">
        <f t="shared" si="213"/>
        <v>0</v>
      </c>
      <c r="AN216" s="847">
        <f t="shared" si="256"/>
        <v>0</v>
      </c>
      <c r="AO216" s="848">
        <f t="shared" si="246"/>
        <v>0</v>
      </c>
      <c r="AQ216" s="863">
        <f t="shared" si="247"/>
        <v>29</v>
      </c>
      <c r="AR216" s="847">
        <f t="shared" si="231"/>
        <v>0</v>
      </c>
      <c r="AS216" s="847">
        <f t="shared" si="214"/>
        <v>0</v>
      </c>
      <c r="AT216" s="847">
        <f t="shared" si="215"/>
        <v>0</v>
      </c>
      <c r="AU216" s="847">
        <f t="shared" si="216"/>
        <v>0</v>
      </c>
      <c r="AV216" s="847">
        <f t="shared" si="217"/>
        <v>0</v>
      </c>
      <c r="AW216" s="847">
        <f t="shared" si="218"/>
        <v>0</v>
      </c>
      <c r="AX216" s="847">
        <f t="shared" si="219"/>
        <v>0</v>
      </c>
      <c r="AY216" s="839">
        <f t="shared" si="220"/>
        <v>0</v>
      </c>
      <c r="AZ216" s="839">
        <f t="shared" si="221"/>
        <v>0</v>
      </c>
      <c r="BA216" s="839">
        <f t="shared" si="222"/>
        <v>0</v>
      </c>
      <c r="BB216" s="847">
        <f t="shared" si="223"/>
        <v>0</v>
      </c>
      <c r="BC216" s="848">
        <f t="shared" si="223"/>
        <v>0</v>
      </c>
    </row>
    <row r="217" spans="1:55" x14ac:dyDescent="0.25">
      <c r="A217" s="863">
        <f t="shared" si="232"/>
        <v>30</v>
      </c>
      <c r="B217" s="847">
        <f t="shared" si="248"/>
        <v>0</v>
      </c>
      <c r="C217" s="847">
        <f t="shared" si="233"/>
        <v>0</v>
      </c>
      <c r="D217" s="847">
        <f t="shared" si="234"/>
        <v>0</v>
      </c>
      <c r="E217" s="847">
        <f t="shared" si="224"/>
        <v>0</v>
      </c>
      <c r="F217" s="847">
        <f t="shared" si="260"/>
        <v>0</v>
      </c>
      <c r="G217" s="847">
        <f t="shared" si="235"/>
        <v>0</v>
      </c>
      <c r="H217" s="847">
        <f t="shared" si="249"/>
        <v>0</v>
      </c>
      <c r="I217" s="839">
        <f t="shared" si="225"/>
        <v>0</v>
      </c>
      <c r="J217" s="839">
        <f t="shared" si="226"/>
        <v>0</v>
      </c>
      <c r="K217" s="839">
        <f t="shared" si="209"/>
        <v>0</v>
      </c>
      <c r="L217" s="847">
        <f t="shared" si="250"/>
        <v>0</v>
      </c>
      <c r="M217" s="848">
        <f t="shared" si="236"/>
        <v>0</v>
      </c>
      <c r="N217" s="841"/>
      <c r="O217" s="863">
        <f t="shared" si="237"/>
        <v>30</v>
      </c>
      <c r="P217" s="847">
        <f t="shared" si="251"/>
        <v>0</v>
      </c>
      <c r="Q217" s="847">
        <f t="shared" si="238"/>
        <v>0</v>
      </c>
      <c r="R217" s="847">
        <f t="shared" si="239"/>
        <v>0</v>
      </c>
      <c r="S217" s="847">
        <f t="shared" si="227"/>
        <v>0</v>
      </c>
      <c r="T217" s="847">
        <f t="shared" si="261"/>
        <v>0</v>
      </c>
      <c r="U217" s="847">
        <f t="shared" si="240"/>
        <v>0</v>
      </c>
      <c r="V217" s="847">
        <f t="shared" si="252"/>
        <v>0</v>
      </c>
      <c r="W217" s="839">
        <f t="shared" si="210"/>
        <v>0</v>
      </c>
      <c r="X217" s="839">
        <f t="shared" si="228"/>
        <v>0</v>
      </c>
      <c r="Y217" s="839">
        <f t="shared" si="211"/>
        <v>0</v>
      </c>
      <c r="Z217" s="847">
        <f t="shared" si="253"/>
        <v>0</v>
      </c>
      <c r="AA217" s="848">
        <f t="shared" si="241"/>
        <v>0</v>
      </c>
      <c r="AB217" s="868"/>
      <c r="AC217" s="863">
        <f t="shared" si="242"/>
        <v>30</v>
      </c>
      <c r="AD217" s="847">
        <f t="shared" si="254"/>
        <v>0</v>
      </c>
      <c r="AE217" s="847">
        <f t="shared" si="243"/>
        <v>0</v>
      </c>
      <c r="AF217" s="847">
        <f t="shared" si="244"/>
        <v>0</v>
      </c>
      <c r="AG217" s="847">
        <f t="shared" si="229"/>
        <v>0</v>
      </c>
      <c r="AH217" s="847">
        <f t="shared" si="262"/>
        <v>0</v>
      </c>
      <c r="AI217" s="847">
        <f t="shared" si="245"/>
        <v>0</v>
      </c>
      <c r="AJ217" s="847">
        <f t="shared" si="255"/>
        <v>0</v>
      </c>
      <c r="AK217" s="839">
        <f t="shared" si="212"/>
        <v>0</v>
      </c>
      <c r="AL217" s="839">
        <f t="shared" si="230"/>
        <v>0</v>
      </c>
      <c r="AM217" s="839">
        <f t="shared" si="213"/>
        <v>0</v>
      </c>
      <c r="AN217" s="847">
        <f t="shared" si="256"/>
        <v>0</v>
      </c>
      <c r="AO217" s="848">
        <f t="shared" si="246"/>
        <v>0</v>
      </c>
      <c r="AQ217" s="863">
        <f t="shared" si="247"/>
        <v>30</v>
      </c>
      <c r="AR217" s="847">
        <f t="shared" si="231"/>
        <v>0</v>
      </c>
      <c r="AS217" s="847">
        <f t="shared" si="214"/>
        <v>0</v>
      </c>
      <c r="AT217" s="847">
        <f t="shared" si="215"/>
        <v>0</v>
      </c>
      <c r="AU217" s="847">
        <f t="shared" si="216"/>
        <v>0</v>
      </c>
      <c r="AV217" s="847">
        <f t="shared" si="217"/>
        <v>0</v>
      </c>
      <c r="AW217" s="847">
        <f t="shared" si="218"/>
        <v>0</v>
      </c>
      <c r="AX217" s="847">
        <f t="shared" si="219"/>
        <v>0</v>
      </c>
      <c r="AY217" s="839">
        <f t="shared" si="220"/>
        <v>0</v>
      </c>
      <c r="AZ217" s="839">
        <f t="shared" si="221"/>
        <v>0</v>
      </c>
      <c r="BA217" s="839">
        <f t="shared" si="222"/>
        <v>0</v>
      </c>
      <c r="BB217" s="847">
        <f t="shared" si="223"/>
        <v>0</v>
      </c>
      <c r="BC217" s="848">
        <f t="shared" si="223"/>
        <v>0</v>
      </c>
    </row>
    <row r="218" spans="1:55" x14ac:dyDescent="0.25">
      <c r="A218" s="863">
        <f t="shared" si="232"/>
        <v>31</v>
      </c>
      <c r="B218" s="847">
        <f t="shared" si="248"/>
        <v>0</v>
      </c>
      <c r="C218" s="847">
        <f t="shared" si="233"/>
        <v>0</v>
      </c>
      <c r="D218" s="847">
        <f t="shared" si="234"/>
        <v>0</v>
      </c>
      <c r="E218" s="847">
        <f t="shared" si="224"/>
        <v>0</v>
      </c>
      <c r="F218" s="847">
        <f t="shared" si="260"/>
        <v>0</v>
      </c>
      <c r="G218" s="847">
        <f t="shared" si="235"/>
        <v>0</v>
      </c>
      <c r="H218" s="847">
        <f t="shared" si="249"/>
        <v>0</v>
      </c>
      <c r="I218" s="839">
        <f t="shared" si="225"/>
        <v>0</v>
      </c>
      <c r="J218" s="839">
        <f t="shared" si="226"/>
        <v>0</v>
      </c>
      <c r="K218" s="839">
        <f t="shared" si="209"/>
        <v>0</v>
      </c>
      <c r="L218" s="847">
        <f t="shared" si="250"/>
        <v>0</v>
      </c>
      <c r="M218" s="848">
        <f t="shared" si="236"/>
        <v>0</v>
      </c>
      <c r="N218" s="841"/>
      <c r="O218" s="863">
        <f t="shared" si="237"/>
        <v>31</v>
      </c>
      <c r="P218" s="847">
        <f t="shared" si="251"/>
        <v>0</v>
      </c>
      <c r="Q218" s="847">
        <f t="shared" si="238"/>
        <v>0</v>
      </c>
      <c r="R218" s="847">
        <f t="shared" si="239"/>
        <v>0</v>
      </c>
      <c r="S218" s="847">
        <f t="shared" si="227"/>
        <v>0</v>
      </c>
      <c r="T218" s="847">
        <f t="shared" si="261"/>
        <v>0</v>
      </c>
      <c r="U218" s="847">
        <f t="shared" si="240"/>
        <v>0</v>
      </c>
      <c r="V218" s="847">
        <f t="shared" si="252"/>
        <v>0</v>
      </c>
      <c r="W218" s="839">
        <f t="shared" si="210"/>
        <v>0</v>
      </c>
      <c r="X218" s="839">
        <f t="shared" si="228"/>
        <v>0</v>
      </c>
      <c r="Y218" s="839">
        <f t="shared" si="211"/>
        <v>0</v>
      </c>
      <c r="Z218" s="847">
        <f t="shared" si="253"/>
        <v>0</v>
      </c>
      <c r="AA218" s="848">
        <f t="shared" si="241"/>
        <v>0</v>
      </c>
      <c r="AB218" s="868"/>
      <c r="AC218" s="863">
        <f t="shared" si="242"/>
        <v>31</v>
      </c>
      <c r="AD218" s="847">
        <f t="shared" si="254"/>
        <v>0</v>
      </c>
      <c r="AE218" s="847">
        <f t="shared" si="243"/>
        <v>0</v>
      </c>
      <c r="AF218" s="847">
        <f t="shared" si="244"/>
        <v>0</v>
      </c>
      <c r="AG218" s="847">
        <f t="shared" si="229"/>
        <v>0</v>
      </c>
      <c r="AH218" s="847">
        <f t="shared" si="262"/>
        <v>0</v>
      </c>
      <c r="AI218" s="847">
        <f t="shared" si="245"/>
        <v>0</v>
      </c>
      <c r="AJ218" s="847">
        <f t="shared" si="255"/>
        <v>0</v>
      </c>
      <c r="AK218" s="839">
        <f t="shared" si="212"/>
        <v>0</v>
      </c>
      <c r="AL218" s="839">
        <f t="shared" si="230"/>
        <v>0</v>
      </c>
      <c r="AM218" s="839">
        <f t="shared" si="213"/>
        <v>0</v>
      </c>
      <c r="AN218" s="847">
        <f t="shared" si="256"/>
        <v>0</v>
      </c>
      <c r="AO218" s="848">
        <f t="shared" si="246"/>
        <v>0</v>
      </c>
      <c r="AQ218" s="863">
        <f t="shared" si="247"/>
        <v>31</v>
      </c>
      <c r="AR218" s="847">
        <f t="shared" si="231"/>
        <v>0</v>
      </c>
      <c r="AS218" s="847">
        <f t="shared" si="214"/>
        <v>0</v>
      </c>
      <c r="AT218" s="847">
        <f t="shared" si="215"/>
        <v>0</v>
      </c>
      <c r="AU218" s="847">
        <f t="shared" si="216"/>
        <v>0</v>
      </c>
      <c r="AV218" s="847">
        <f t="shared" si="217"/>
        <v>0</v>
      </c>
      <c r="AW218" s="847">
        <f t="shared" si="218"/>
        <v>0</v>
      </c>
      <c r="AX218" s="847">
        <f t="shared" si="219"/>
        <v>0</v>
      </c>
      <c r="AY218" s="839">
        <f t="shared" si="220"/>
        <v>0</v>
      </c>
      <c r="AZ218" s="839">
        <f t="shared" si="221"/>
        <v>0</v>
      </c>
      <c r="BA218" s="839">
        <f t="shared" si="222"/>
        <v>0</v>
      </c>
      <c r="BB218" s="847">
        <f t="shared" si="223"/>
        <v>0</v>
      </c>
      <c r="BC218" s="848">
        <f t="shared" si="223"/>
        <v>0</v>
      </c>
    </row>
    <row r="219" spans="1:55" x14ac:dyDescent="0.25">
      <c r="A219" s="863">
        <f t="shared" si="232"/>
        <v>32</v>
      </c>
      <c r="B219" s="847">
        <f t="shared" si="248"/>
        <v>0</v>
      </c>
      <c r="C219" s="847">
        <f t="shared" si="233"/>
        <v>0</v>
      </c>
      <c r="D219" s="847">
        <f t="shared" si="234"/>
        <v>0</v>
      </c>
      <c r="E219" s="847">
        <f t="shared" si="224"/>
        <v>0</v>
      </c>
      <c r="F219" s="847">
        <f t="shared" si="260"/>
        <v>0</v>
      </c>
      <c r="G219" s="847">
        <f t="shared" si="235"/>
        <v>0</v>
      </c>
      <c r="H219" s="847">
        <f t="shared" si="249"/>
        <v>0</v>
      </c>
      <c r="I219" s="839">
        <f t="shared" si="225"/>
        <v>0</v>
      </c>
      <c r="J219" s="839">
        <f t="shared" si="226"/>
        <v>0</v>
      </c>
      <c r="K219" s="839">
        <f t="shared" si="209"/>
        <v>0</v>
      </c>
      <c r="L219" s="847">
        <f t="shared" si="250"/>
        <v>0</v>
      </c>
      <c r="M219" s="848">
        <f t="shared" si="236"/>
        <v>0</v>
      </c>
      <c r="N219" s="841"/>
      <c r="O219" s="863">
        <f t="shared" si="237"/>
        <v>32</v>
      </c>
      <c r="P219" s="847">
        <f t="shared" si="251"/>
        <v>0</v>
      </c>
      <c r="Q219" s="847">
        <f t="shared" si="238"/>
        <v>0</v>
      </c>
      <c r="R219" s="847">
        <f t="shared" si="239"/>
        <v>0</v>
      </c>
      <c r="S219" s="847">
        <f t="shared" si="227"/>
        <v>0</v>
      </c>
      <c r="T219" s="847">
        <f t="shared" si="261"/>
        <v>0</v>
      </c>
      <c r="U219" s="847">
        <f t="shared" si="240"/>
        <v>0</v>
      </c>
      <c r="V219" s="847">
        <f t="shared" si="252"/>
        <v>0</v>
      </c>
      <c r="W219" s="839">
        <f t="shared" si="210"/>
        <v>0</v>
      </c>
      <c r="X219" s="839">
        <f t="shared" si="228"/>
        <v>0</v>
      </c>
      <c r="Y219" s="839">
        <f t="shared" si="211"/>
        <v>0</v>
      </c>
      <c r="Z219" s="847">
        <f t="shared" si="253"/>
        <v>0</v>
      </c>
      <c r="AA219" s="848">
        <f t="shared" si="241"/>
        <v>0</v>
      </c>
      <c r="AB219" s="868"/>
      <c r="AC219" s="863">
        <f t="shared" si="242"/>
        <v>32</v>
      </c>
      <c r="AD219" s="847">
        <f t="shared" si="254"/>
        <v>0</v>
      </c>
      <c r="AE219" s="847">
        <f t="shared" si="243"/>
        <v>0</v>
      </c>
      <c r="AF219" s="847">
        <f t="shared" si="244"/>
        <v>0</v>
      </c>
      <c r="AG219" s="847">
        <f t="shared" si="229"/>
        <v>0</v>
      </c>
      <c r="AH219" s="847">
        <f t="shared" si="262"/>
        <v>0</v>
      </c>
      <c r="AI219" s="847">
        <f t="shared" si="245"/>
        <v>0</v>
      </c>
      <c r="AJ219" s="847">
        <f t="shared" si="255"/>
        <v>0</v>
      </c>
      <c r="AK219" s="839">
        <f t="shared" si="212"/>
        <v>0</v>
      </c>
      <c r="AL219" s="839">
        <f t="shared" si="230"/>
        <v>0</v>
      </c>
      <c r="AM219" s="839">
        <f t="shared" si="213"/>
        <v>0</v>
      </c>
      <c r="AN219" s="847">
        <f t="shared" si="256"/>
        <v>0</v>
      </c>
      <c r="AO219" s="848">
        <f t="shared" si="246"/>
        <v>0</v>
      </c>
      <c r="AQ219" s="863">
        <f t="shared" si="247"/>
        <v>32</v>
      </c>
      <c r="AR219" s="847">
        <f t="shared" si="231"/>
        <v>0</v>
      </c>
      <c r="AS219" s="847">
        <f t="shared" si="214"/>
        <v>0</v>
      </c>
      <c r="AT219" s="847">
        <f t="shared" si="215"/>
        <v>0</v>
      </c>
      <c r="AU219" s="847">
        <f t="shared" si="216"/>
        <v>0</v>
      </c>
      <c r="AV219" s="847">
        <f t="shared" si="217"/>
        <v>0</v>
      </c>
      <c r="AW219" s="847">
        <f t="shared" si="218"/>
        <v>0</v>
      </c>
      <c r="AX219" s="847">
        <f t="shared" si="219"/>
        <v>0</v>
      </c>
      <c r="AY219" s="839">
        <f t="shared" si="220"/>
        <v>0</v>
      </c>
      <c r="AZ219" s="839">
        <f t="shared" si="221"/>
        <v>0</v>
      </c>
      <c r="BA219" s="839">
        <f t="shared" si="222"/>
        <v>0</v>
      </c>
      <c r="BB219" s="847">
        <f t="shared" si="223"/>
        <v>0</v>
      </c>
      <c r="BC219" s="848">
        <f t="shared" si="223"/>
        <v>0</v>
      </c>
    </row>
    <row r="220" spans="1:55" x14ac:dyDescent="0.25">
      <c r="A220" s="863">
        <f t="shared" si="232"/>
        <v>33</v>
      </c>
      <c r="B220" s="847">
        <f t="shared" si="248"/>
        <v>0</v>
      </c>
      <c r="C220" s="847">
        <f t="shared" si="233"/>
        <v>0</v>
      </c>
      <c r="D220" s="847">
        <f t="shared" si="234"/>
        <v>0</v>
      </c>
      <c r="E220" s="847">
        <f t="shared" si="224"/>
        <v>0</v>
      </c>
      <c r="F220" s="847">
        <f t="shared" si="260"/>
        <v>0</v>
      </c>
      <c r="G220" s="847">
        <f t="shared" si="235"/>
        <v>0</v>
      </c>
      <c r="H220" s="847">
        <f t="shared" si="249"/>
        <v>0</v>
      </c>
      <c r="I220" s="839">
        <f t="shared" si="225"/>
        <v>0</v>
      </c>
      <c r="J220" s="839">
        <f t="shared" si="226"/>
        <v>0</v>
      </c>
      <c r="K220" s="839">
        <f t="shared" ref="K220:K251" si="263">IF(C$183*12&gt;A220,(C$183*12-A220)*C$184,0)</f>
        <v>0</v>
      </c>
      <c r="L220" s="847">
        <f t="shared" si="250"/>
        <v>0</v>
      </c>
      <c r="M220" s="848">
        <f t="shared" si="236"/>
        <v>0</v>
      </c>
      <c r="N220" s="841"/>
      <c r="O220" s="863">
        <f t="shared" si="237"/>
        <v>33</v>
      </c>
      <c r="P220" s="847">
        <f t="shared" si="251"/>
        <v>0</v>
      </c>
      <c r="Q220" s="847">
        <f t="shared" si="238"/>
        <v>0</v>
      </c>
      <c r="R220" s="847">
        <f t="shared" si="239"/>
        <v>0</v>
      </c>
      <c r="S220" s="847">
        <f t="shared" si="227"/>
        <v>0</v>
      </c>
      <c r="T220" s="847">
        <f t="shared" si="261"/>
        <v>0</v>
      </c>
      <c r="U220" s="847">
        <f t="shared" si="240"/>
        <v>0</v>
      </c>
      <c r="V220" s="847">
        <f t="shared" si="252"/>
        <v>0</v>
      </c>
      <c r="W220" s="839">
        <f t="shared" si="210"/>
        <v>0</v>
      </c>
      <c r="X220" s="839">
        <f t="shared" si="228"/>
        <v>0</v>
      </c>
      <c r="Y220" s="839">
        <f t="shared" ref="Y220:Y251" si="264">IF(Q$183*12&gt;O220,(Q$183*12-O220)*Q$184,0)</f>
        <v>0</v>
      </c>
      <c r="Z220" s="847">
        <f t="shared" si="253"/>
        <v>0</v>
      </c>
      <c r="AA220" s="848">
        <f t="shared" si="241"/>
        <v>0</v>
      </c>
      <c r="AB220" s="868"/>
      <c r="AC220" s="863">
        <f t="shared" si="242"/>
        <v>33</v>
      </c>
      <c r="AD220" s="847">
        <f t="shared" si="254"/>
        <v>0</v>
      </c>
      <c r="AE220" s="847">
        <f t="shared" si="243"/>
        <v>0</v>
      </c>
      <c r="AF220" s="847">
        <f t="shared" si="244"/>
        <v>0</v>
      </c>
      <c r="AG220" s="847">
        <f t="shared" si="229"/>
        <v>0</v>
      </c>
      <c r="AH220" s="847">
        <f t="shared" si="262"/>
        <v>0</v>
      </c>
      <c r="AI220" s="847">
        <f t="shared" si="245"/>
        <v>0</v>
      </c>
      <c r="AJ220" s="847">
        <f t="shared" si="255"/>
        <v>0</v>
      </c>
      <c r="AK220" s="839">
        <f t="shared" si="212"/>
        <v>0</v>
      </c>
      <c r="AL220" s="839">
        <f t="shared" si="230"/>
        <v>0</v>
      </c>
      <c r="AM220" s="839">
        <f t="shared" ref="AM220:AM251" si="265">IF(AE$183*12&gt;AC220,(AE$183*12-AC220)*AE$184,0)</f>
        <v>0</v>
      </c>
      <c r="AN220" s="847">
        <f t="shared" si="256"/>
        <v>0</v>
      </c>
      <c r="AO220" s="848">
        <f t="shared" si="246"/>
        <v>0</v>
      </c>
      <c r="AQ220" s="863">
        <f t="shared" si="247"/>
        <v>33</v>
      </c>
      <c r="AR220" s="847">
        <f t="shared" si="231"/>
        <v>0</v>
      </c>
      <c r="AS220" s="847">
        <f t="shared" si="214"/>
        <v>0</v>
      </c>
      <c r="AT220" s="847">
        <f t="shared" si="215"/>
        <v>0</v>
      </c>
      <c r="AU220" s="847">
        <f t="shared" si="216"/>
        <v>0</v>
      </c>
      <c r="AV220" s="847">
        <f t="shared" si="217"/>
        <v>0</v>
      </c>
      <c r="AW220" s="847">
        <f t="shared" si="218"/>
        <v>0</v>
      </c>
      <c r="AX220" s="847">
        <f t="shared" si="219"/>
        <v>0</v>
      </c>
      <c r="AY220" s="839">
        <f t="shared" si="220"/>
        <v>0</v>
      </c>
      <c r="AZ220" s="839">
        <f t="shared" si="221"/>
        <v>0</v>
      </c>
      <c r="BA220" s="839">
        <f t="shared" si="222"/>
        <v>0</v>
      </c>
      <c r="BB220" s="847">
        <f t="shared" si="223"/>
        <v>0</v>
      </c>
      <c r="BC220" s="848">
        <f t="shared" si="223"/>
        <v>0</v>
      </c>
    </row>
    <row r="221" spans="1:55" x14ac:dyDescent="0.25">
      <c r="A221" s="863">
        <f t="shared" si="232"/>
        <v>34</v>
      </c>
      <c r="B221" s="847">
        <f t="shared" si="248"/>
        <v>0</v>
      </c>
      <c r="C221" s="847">
        <f t="shared" si="233"/>
        <v>0</v>
      </c>
      <c r="D221" s="847">
        <f t="shared" si="234"/>
        <v>0</v>
      </c>
      <c r="E221" s="847">
        <f t="shared" ref="E221:E252" si="266">L220*C$181/12</f>
        <v>0</v>
      </c>
      <c r="F221" s="847">
        <f t="shared" si="260"/>
        <v>0</v>
      </c>
      <c r="G221" s="847">
        <f t="shared" si="235"/>
        <v>0</v>
      </c>
      <c r="H221" s="847">
        <f t="shared" si="249"/>
        <v>0</v>
      </c>
      <c r="I221" s="839">
        <f t="shared" si="225"/>
        <v>0</v>
      </c>
      <c r="J221" s="839">
        <f t="shared" si="226"/>
        <v>0</v>
      </c>
      <c r="K221" s="839">
        <f t="shared" si="263"/>
        <v>0</v>
      </c>
      <c r="L221" s="847">
        <f t="shared" si="250"/>
        <v>0</v>
      </c>
      <c r="M221" s="848">
        <f t="shared" si="236"/>
        <v>0</v>
      </c>
      <c r="N221" s="841"/>
      <c r="O221" s="863">
        <f t="shared" si="237"/>
        <v>34</v>
      </c>
      <c r="P221" s="847">
        <f t="shared" si="251"/>
        <v>0</v>
      </c>
      <c r="Q221" s="847">
        <f t="shared" si="238"/>
        <v>0</v>
      </c>
      <c r="R221" s="847">
        <f t="shared" si="239"/>
        <v>0</v>
      </c>
      <c r="S221" s="847">
        <f t="shared" ref="S221:S252" si="267">Z220*Q$181/12</f>
        <v>0</v>
      </c>
      <c r="T221" s="847">
        <f t="shared" si="261"/>
        <v>0</v>
      </c>
      <c r="U221" s="847">
        <f t="shared" si="240"/>
        <v>0</v>
      </c>
      <c r="V221" s="847">
        <f t="shared" si="252"/>
        <v>0</v>
      </c>
      <c r="W221" s="839">
        <f t="shared" si="210"/>
        <v>0</v>
      </c>
      <c r="X221" s="839">
        <f t="shared" si="228"/>
        <v>0</v>
      </c>
      <c r="Y221" s="839">
        <f t="shared" si="264"/>
        <v>0</v>
      </c>
      <c r="Z221" s="847">
        <f t="shared" si="253"/>
        <v>0</v>
      </c>
      <c r="AA221" s="848">
        <f t="shared" si="241"/>
        <v>0</v>
      </c>
      <c r="AB221" s="868"/>
      <c r="AC221" s="863">
        <f t="shared" si="242"/>
        <v>34</v>
      </c>
      <c r="AD221" s="847">
        <f t="shared" si="254"/>
        <v>0</v>
      </c>
      <c r="AE221" s="847">
        <f t="shared" si="243"/>
        <v>0</v>
      </c>
      <c r="AF221" s="847">
        <f t="shared" si="244"/>
        <v>0</v>
      </c>
      <c r="AG221" s="847">
        <f t="shared" ref="AG221:AG252" si="268">AN220*AE$181/12</f>
        <v>0</v>
      </c>
      <c r="AH221" s="847">
        <f t="shared" si="262"/>
        <v>0</v>
      </c>
      <c r="AI221" s="847">
        <f t="shared" si="245"/>
        <v>0</v>
      </c>
      <c r="AJ221" s="847">
        <f t="shared" si="255"/>
        <v>0</v>
      </c>
      <c r="AK221" s="839">
        <f t="shared" si="212"/>
        <v>0</v>
      </c>
      <c r="AL221" s="839">
        <f t="shared" si="230"/>
        <v>0</v>
      </c>
      <c r="AM221" s="839">
        <f t="shared" si="265"/>
        <v>0</v>
      </c>
      <c r="AN221" s="847">
        <f t="shared" si="256"/>
        <v>0</v>
      </c>
      <c r="AO221" s="848">
        <f t="shared" si="246"/>
        <v>0</v>
      </c>
      <c r="AQ221" s="863">
        <f t="shared" si="247"/>
        <v>34</v>
      </c>
      <c r="AR221" s="847">
        <f t="shared" si="231"/>
        <v>0</v>
      </c>
      <c r="AS221" s="847">
        <f t="shared" si="214"/>
        <v>0</v>
      </c>
      <c r="AT221" s="847">
        <f t="shared" si="215"/>
        <v>0</v>
      </c>
      <c r="AU221" s="847">
        <f t="shared" si="216"/>
        <v>0</v>
      </c>
      <c r="AV221" s="847">
        <f t="shared" si="217"/>
        <v>0</v>
      </c>
      <c r="AW221" s="847">
        <f t="shared" si="218"/>
        <v>0</v>
      </c>
      <c r="AX221" s="847">
        <f t="shared" si="219"/>
        <v>0</v>
      </c>
      <c r="AY221" s="839">
        <f t="shared" si="220"/>
        <v>0</v>
      </c>
      <c r="AZ221" s="839">
        <f t="shared" si="221"/>
        <v>0</v>
      </c>
      <c r="BA221" s="839">
        <f t="shared" si="222"/>
        <v>0</v>
      </c>
      <c r="BB221" s="847">
        <f t="shared" si="223"/>
        <v>0</v>
      </c>
      <c r="BC221" s="848">
        <f t="shared" si="223"/>
        <v>0</v>
      </c>
    </row>
    <row r="222" spans="1:55" x14ac:dyDescent="0.25">
      <c r="A222" s="863">
        <f t="shared" si="232"/>
        <v>35</v>
      </c>
      <c r="B222" s="847">
        <f t="shared" si="248"/>
        <v>0</v>
      </c>
      <c r="C222" s="847">
        <f t="shared" si="233"/>
        <v>0</v>
      </c>
      <c r="D222" s="847">
        <f t="shared" si="234"/>
        <v>0</v>
      </c>
      <c r="E222" s="847">
        <f t="shared" si="266"/>
        <v>0</v>
      </c>
      <c r="F222" s="847">
        <f t="shared" si="260"/>
        <v>0</v>
      </c>
      <c r="G222" s="847">
        <f t="shared" ref="G222:G253" si="269">IF(ABS(C$180-H221)&lt;1,0,G221*(1+C$181/12))</f>
        <v>0</v>
      </c>
      <c r="H222" s="847">
        <f t="shared" si="249"/>
        <v>0</v>
      </c>
      <c r="I222" s="839">
        <f t="shared" si="225"/>
        <v>0</v>
      </c>
      <c r="J222" s="839">
        <f t="shared" si="226"/>
        <v>0</v>
      </c>
      <c r="K222" s="839">
        <f t="shared" si="263"/>
        <v>0</v>
      </c>
      <c r="L222" s="847">
        <f t="shared" si="250"/>
        <v>0</v>
      </c>
      <c r="M222" s="848">
        <f t="shared" si="236"/>
        <v>0</v>
      </c>
      <c r="N222" s="841"/>
      <c r="O222" s="863">
        <f t="shared" si="237"/>
        <v>35</v>
      </c>
      <c r="P222" s="847">
        <f t="shared" si="251"/>
        <v>0</v>
      </c>
      <c r="Q222" s="847">
        <f t="shared" si="238"/>
        <v>0</v>
      </c>
      <c r="R222" s="847">
        <f t="shared" si="239"/>
        <v>0</v>
      </c>
      <c r="S222" s="847">
        <f t="shared" si="267"/>
        <v>0</v>
      </c>
      <c r="T222" s="847">
        <f t="shared" si="261"/>
        <v>0</v>
      </c>
      <c r="U222" s="847">
        <f t="shared" ref="U222:U253" si="270">IF(ABS(Q$180-V221)&lt;1,0,U221*(1+Q$181/12))</f>
        <v>0</v>
      </c>
      <c r="V222" s="847">
        <f t="shared" si="252"/>
        <v>0</v>
      </c>
      <c r="W222" s="839">
        <f t="shared" si="210"/>
        <v>0</v>
      </c>
      <c r="X222" s="839">
        <f t="shared" si="228"/>
        <v>0</v>
      </c>
      <c r="Y222" s="839">
        <f t="shared" si="264"/>
        <v>0</v>
      </c>
      <c r="Z222" s="847">
        <f t="shared" si="253"/>
        <v>0</v>
      </c>
      <c r="AA222" s="848">
        <f t="shared" si="241"/>
        <v>0</v>
      </c>
      <c r="AB222" s="868"/>
      <c r="AC222" s="863">
        <f t="shared" si="242"/>
        <v>35</v>
      </c>
      <c r="AD222" s="847">
        <f t="shared" si="254"/>
        <v>0</v>
      </c>
      <c r="AE222" s="847">
        <f t="shared" si="243"/>
        <v>0</v>
      </c>
      <c r="AF222" s="847">
        <f t="shared" si="244"/>
        <v>0</v>
      </c>
      <c r="AG222" s="847">
        <f t="shared" si="268"/>
        <v>0</v>
      </c>
      <c r="AH222" s="847">
        <f t="shared" si="262"/>
        <v>0</v>
      </c>
      <c r="AI222" s="847">
        <f t="shared" ref="AI222:AI253" si="271">IF(ABS(AE$180-AJ221)&lt;1,0,AI221*(1+AE$181/12))</f>
        <v>0</v>
      </c>
      <c r="AJ222" s="847">
        <f t="shared" si="255"/>
        <v>0</v>
      </c>
      <c r="AK222" s="839">
        <f t="shared" si="212"/>
        <v>0</v>
      </c>
      <c r="AL222" s="839">
        <f t="shared" si="230"/>
        <v>0</v>
      </c>
      <c r="AM222" s="839">
        <f t="shared" si="265"/>
        <v>0</v>
      </c>
      <c r="AN222" s="847">
        <f t="shared" si="256"/>
        <v>0</v>
      </c>
      <c r="AO222" s="848">
        <f t="shared" si="246"/>
        <v>0</v>
      </c>
      <c r="AQ222" s="863">
        <f t="shared" si="247"/>
        <v>35</v>
      </c>
      <c r="AR222" s="847">
        <f t="shared" si="231"/>
        <v>0</v>
      </c>
      <c r="AS222" s="847">
        <f t="shared" si="214"/>
        <v>0</v>
      </c>
      <c r="AT222" s="847">
        <f t="shared" si="215"/>
        <v>0</v>
      </c>
      <c r="AU222" s="847">
        <f t="shared" si="216"/>
        <v>0</v>
      </c>
      <c r="AV222" s="847">
        <f t="shared" si="217"/>
        <v>0</v>
      </c>
      <c r="AW222" s="847">
        <f t="shared" si="218"/>
        <v>0</v>
      </c>
      <c r="AX222" s="847">
        <f t="shared" si="219"/>
        <v>0</v>
      </c>
      <c r="AY222" s="839">
        <f t="shared" si="220"/>
        <v>0</v>
      </c>
      <c r="AZ222" s="839">
        <f t="shared" si="221"/>
        <v>0</v>
      </c>
      <c r="BA222" s="839">
        <f t="shared" si="222"/>
        <v>0</v>
      </c>
      <c r="BB222" s="847">
        <f t="shared" si="223"/>
        <v>0</v>
      </c>
      <c r="BC222" s="848">
        <f t="shared" si="223"/>
        <v>0</v>
      </c>
    </row>
    <row r="223" spans="1:55" x14ac:dyDescent="0.25">
      <c r="A223" s="863">
        <f t="shared" si="232"/>
        <v>36</v>
      </c>
      <c r="B223" s="847">
        <f t="shared" si="248"/>
        <v>0</v>
      </c>
      <c r="C223" s="847">
        <f t="shared" si="233"/>
        <v>0</v>
      </c>
      <c r="D223" s="847">
        <f t="shared" si="234"/>
        <v>0</v>
      </c>
      <c r="E223" s="847">
        <f t="shared" si="266"/>
        <v>0</v>
      </c>
      <c r="F223" s="847">
        <f t="shared" si="260"/>
        <v>0</v>
      </c>
      <c r="G223" s="847">
        <f t="shared" si="269"/>
        <v>0</v>
      </c>
      <c r="H223" s="847">
        <f t="shared" si="249"/>
        <v>0</v>
      </c>
      <c r="I223" s="839">
        <f t="shared" si="225"/>
        <v>0</v>
      </c>
      <c r="J223" s="839">
        <f t="shared" si="226"/>
        <v>0</v>
      </c>
      <c r="K223" s="839">
        <f t="shared" si="263"/>
        <v>0</v>
      </c>
      <c r="L223" s="847">
        <f t="shared" si="250"/>
        <v>0</v>
      </c>
      <c r="M223" s="848">
        <f t="shared" si="236"/>
        <v>0</v>
      </c>
      <c r="N223" s="841"/>
      <c r="O223" s="863">
        <f t="shared" si="237"/>
        <v>36</v>
      </c>
      <c r="P223" s="847">
        <f t="shared" si="251"/>
        <v>0</v>
      </c>
      <c r="Q223" s="847">
        <f t="shared" si="238"/>
        <v>0</v>
      </c>
      <c r="R223" s="847">
        <f t="shared" si="239"/>
        <v>0</v>
      </c>
      <c r="S223" s="847">
        <f t="shared" si="267"/>
        <v>0</v>
      </c>
      <c r="T223" s="847">
        <f t="shared" si="261"/>
        <v>0</v>
      </c>
      <c r="U223" s="847">
        <f t="shared" si="270"/>
        <v>0</v>
      </c>
      <c r="V223" s="847">
        <f t="shared" si="252"/>
        <v>0</v>
      </c>
      <c r="W223" s="839">
        <f t="shared" si="210"/>
        <v>0</v>
      </c>
      <c r="X223" s="839">
        <f t="shared" si="228"/>
        <v>0</v>
      </c>
      <c r="Y223" s="839">
        <f t="shared" si="264"/>
        <v>0</v>
      </c>
      <c r="Z223" s="847">
        <f t="shared" si="253"/>
        <v>0</v>
      </c>
      <c r="AA223" s="848">
        <f t="shared" si="241"/>
        <v>0</v>
      </c>
      <c r="AB223" s="868"/>
      <c r="AC223" s="863">
        <f t="shared" si="242"/>
        <v>36</v>
      </c>
      <c r="AD223" s="847">
        <f t="shared" si="254"/>
        <v>0</v>
      </c>
      <c r="AE223" s="847">
        <f t="shared" si="243"/>
        <v>0</v>
      </c>
      <c r="AF223" s="847">
        <f t="shared" si="244"/>
        <v>0</v>
      </c>
      <c r="AG223" s="847">
        <f t="shared" si="268"/>
        <v>0</v>
      </c>
      <c r="AH223" s="847">
        <f t="shared" si="262"/>
        <v>0</v>
      </c>
      <c r="AI223" s="847">
        <f t="shared" si="271"/>
        <v>0</v>
      </c>
      <c r="AJ223" s="847">
        <f t="shared" si="255"/>
        <v>0</v>
      </c>
      <c r="AK223" s="839">
        <f t="shared" si="212"/>
        <v>0</v>
      </c>
      <c r="AL223" s="839">
        <f t="shared" si="230"/>
        <v>0</v>
      </c>
      <c r="AM223" s="839">
        <f t="shared" si="265"/>
        <v>0</v>
      </c>
      <c r="AN223" s="847">
        <f t="shared" si="256"/>
        <v>0</v>
      </c>
      <c r="AO223" s="848">
        <f t="shared" si="246"/>
        <v>0</v>
      </c>
      <c r="AQ223" s="863">
        <f t="shared" si="247"/>
        <v>36</v>
      </c>
      <c r="AR223" s="847">
        <f t="shared" si="231"/>
        <v>0</v>
      </c>
      <c r="AS223" s="847">
        <f t="shared" si="214"/>
        <v>0</v>
      </c>
      <c r="AT223" s="847">
        <f t="shared" si="215"/>
        <v>0</v>
      </c>
      <c r="AU223" s="847">
        <f t="shared" si="216"/>
        <v>0</v>
      </c>
      <c r="AV223" s="847">
        <f t="shared" si="217"/>
        <v>0</v>
      </c>
      <c r="AW223" s="847">
        <f t="shared" si="218"/>
        <v>0</v>
      </c>
      <c r="AX223" s="847">
        <f t="shared" si="219"/>
        <v>0</v>
      </c>
      <c r="AY223" s="839">
        <f t="shared" si="220"/>
        <v>0</v>
      </c>
      <c r="AZ223" s="839">
        <f t="shared" si="221"/>
        <v>0</v>
      </c>
      <c r="BA223" s="839">
        <f t="shared" si="222"/>
        <v>0</v>
      </c>
      <c r="BB223" s="847">
        <f t="shared" si="223"/>
        <v>0</v>
      </c>
      <c r="BC223" s="848">
        <f t="shared" si="223"/>
        <v>0</v>
      </c>
    </row>
    <row r="224" spans="1:55" x14ac:dyDescent="0.25">
      <c r="A224" s="863">
        <f t="shared" si="232"/>
        <v>37</v>
      </c>
      <c r="B224" s="847">
        <f t="shared" si="248"/>
        <v>0</v>
      </c>
      <c r="C224" s="847">
        <f>IF(B224=0,0,C223)</f>
        <v>0</v>
      </c>
      <c r="D224" s="847">
        <f>IF(C224=0,0,C224+D223)</f>
        <v>0</v>
      </c>
      <c r="E224" s="847">
        <f t="shared" si="266"/>
        <v>0</v>
      </c>
      <c r="F224" s="847">
        <f t="shared" si="260"/>
        <v>0</v>
      </c>
      <c r="G224" s="847">
        <f t="shared" si="269"/>
        <v>0</v>
      </c>
      <c r="H224" s="847">
        <f>IF(B224=0,0,G224+H223)</f>
        <v>0</v>
      </c>
      <c r="I224" s="839">
        <f t="shared" si="225"/>
        <v>0</v>
      </c>
      <c r="J224" s="839">
        <f t="shared" si="226"/>
        <v>0</v>
      </c>
      <c r="K224" s="839">
        <f t="shared" si="263"/>
        <v>0</v>
      </c>
      <c r="L224" s="847">
        <f t="shared" si="250"/>
        <v>0</v>
      </c>
      <c r="M224" s="848">
        <f t="shared" si="236"/>
        <v>0</v>
      </c>
      <c r="N224" s="841"/>
      <c r="O224" s="863">
        <f t="shared" si="237"/>
        <v>37</v>
      </c>
      <c r="P224" s="847">
        <f t="shared" si="251"/>
        <v>0</v>
      </c>
      <c r="Q224" s="847">
        <f>IF(P224=0,0,Q223)</f>
        <v>0</v>
      </c>
      <c r="R224" s="847">
        <f>IF(Q224=0,0,Q224+R223)</f>
        <v>0</v>
      </c>
      <c r="S224" s="847">
        <f t="shared" si="267"/>
        <v>0</v>
      </c>
      <c r="T224" s="847">
        <f t="shared" si="261"/>
        <v>0</v>
      </c>
      <c r="U224" s="847">
        <f t="shared" si="270"/>
        <v>0</v>
      </c>
      <c r="V224" s="847">
        <f>IF(P224=0,0,U224+V223)</f>
        <v>0</v>
      </c>
      <c r="W224" s="839">
        <f t="shared" si="210"/>
        <v>0</v>
      </c>
      <c r="X224" s="839">
        <f t="shared" si="228"/>
        <v>0</v>
      </c>
      <c r="Y224" s="839">
        <f t="shared" si="264"/>
        <v>0</v>
      </c>
      <c r="Z224" s="847">
        <f t="shared" si="253"/>
        <v>0</v>
      </c>
      <c r="AA224" s="848">
        <f t="shared" si="241"/>
        <v>0</v>
      </c>
      <c r="AB224" s="868"/>
      <c r="AC224" s="863">
        <f t="shared" si="242"/>
        <v>37</v>
      </c>
      <c r="AD224" s="847">
        <f t="shared" si="254"/>
        <v>0</v>
      </c>
      <c r="AE224" s="847">
        <f>IF(AD224=0,0,AE223)</f>
        <v>0</v>
      </c>
      <c r="AF224" s="847">
        <f>IF(AE224=0,0,AE224+AF223)</f>
        <v>0</v>
      </c>
      <c r="AG224" s="847">
        <f t="shared" si="268"/>
        <v>0</v>
      </c>
      <c r="AH224" s="847">
        <f t="shared" si="262"/>
        <v>0</v>
      </c>
      <c r="AI224" s="847">
        <f t="shared" si="271"/>
        <v>0</v>
      </c>
      <c r="AJ224" s="847">
        <f>IF(AD224=0,0,AI224+AJ223)</f>
        <v>0</v>
      </c>
      <c r="AK224" s="839">
        <f t="shared" si="212"/>
        <v>0</v>
      </c>
      <c r="AL224" s="839">
        <f t="shared" si="230"/>
        <v>0</v>
      </c>
      <c r="AM224" s="839">
        <f t="shared" si="265"/>
        <v>0</v>
      </c>
      <c r="AN224" s="847">
        <f t="shared" si="256"/>
        <v>0</v>
      </c>
      <c r="AO224" s="848">
        <f t="shared" si="246"/>
        <v>0</v>
      </c>
      <c r="AQ224" s="863">
        <f t="shared" si="247"/>
        <v>37</v>
      </c>
      <c r="AR224" s="847">
        <f t="shared" si="231"/>
        <v>0</v>
      </c>
      <c r="AS224" s="847">
        <f t="shared" si="214"/>
        <v>0</v>
      </c>
      <c r="AT224" s="847">
        <f t="shared" si="215"/>
        <v>0</v>
      </c>
      <c r="AU224" s="847">
        <f t="shared" si="216"/>
        <v>0</v>
      </c>
      <c r="AV224" s="847">
        <f t="shared" si="217"/>
        <v>0</v>
      </c>
      <c r="AW224" s="847">
        <f t="shared" si="218"/>
        <v>0</v>
      </c>
      <c r="AX224" s="847">
        <f t="shared" si="219"/>
        <v>0</v>
      </c>
      <c r="AY224" s="839">
        <f t="shared" si="220"/>
        <v>0</v>
      </c>
      <c r="AZ224" s="839">
        <f t="shared" si="221"/>
        <v>0</v>
      </c>
      <c r="BA224" s="839">
        <f t="shared" si="222"/>
        <v>0</v>
      </c>
      <c r="BB224" s="847">
        <f t="shared" si="223"/>
        <v>0</v>
      </c>
      <c r="BC224" s="848">
        <f t="shared" si="223"/>
        <v>0</v>
      </c>
    </row>
    <row r="225" spans="1:55" x14ac:dyDescent="0.25">
      <c r="A225" s="863">
        <f t="shared" si="232"/>
        <v>38</v>
      </c>
      <c r="B225" s="847">
        <f t="shared" si="248"/>
        <v>0</v>
      </c>
      <c r="C225" s="847">
        <f t="shared" ref="C225:C259" si="272">IF(AND(B225=0,G225=0),0,C224)</f>
        <v>0</v>
      </c>
      <c r="D225" s="847">
        <f t="shared" ref="D225:D259" si="273">IF(C225=0,0,C225+D224)</f>
        <v>0</v>
      </c>
      <c r="E225" s="847">
        <f t="shared" si="266"/>
        <v>0</v>
      </c>
      <c r="F225" s="847">
        <f t="shared" si="260"/>
        <v>0</v>
      </c>
      <c r="G225" s="847">
        <f t="shared" si="269"/>
        <v>0</v>
      </c>
      <c r="H225" s="847">
        <f t="shared" ref="H225:H259" si="274">IF(B225=0,0,G225+H224)</f>
        <v>0</v>
      </c>
      <c r="I225" s="839">
        <f t="shared" si="225"/>
        <v>0</v>
      </c>
      <c r="J225" s="839">
        <f t="shared" si="226"/>
        <v>0</v>
      </c>
      <c r="K225" s="839">
        <f t="shared" si="263"/>
        <v>0</v>
      </c>
      <c r="L225" s="847">
        <f t="shared" ref="L225:L259" si="275">IF(H225=0,0,C$180-H225)</f>
        <v>0</v>
      </c>
      <c r="M225" s="848">
        <f t="shared" si="236"/>
        <v>0</v>
      </c>
      <c r="N225" s="841"/>
      <c r="O225" s="863">
        <f t="shared" si="237"/>
        <v>38</v>
      </c>
      <c r="P225" s="847">
        <f t="shared" si="251"/>
        <v>0</v>
      </c>
      <c r="Q225" s="847">
        <f t="shared" ref="Q225:Q259" si="276">IF(AND(P225=0,U225=0),0,Q224)</f>
        <v>0</v>
      </c>
      <c r="R225" s="847">
        <f t="shared" ref="R225:R259" si="277">IF(Q225=0,0,Q225+R224)</f>
        <v>0</v>
      </c>
      <c r="S225" s="847">
        <f t="shared" si="267"/>
        <v>0</v>
      </c>
      <c r="T225" s="847">
        <f t="shared" si="261"/>
        <v>0</v>
      </c>
      <c r="U225" s="847">
        <f t="shared" si="270"/>
        <v>0</v>
      </c>
      <c r="V225" s="847">
        <f t="shared" ref="V225:V259" si="278">IF(P225=0,0,U225+V224)</f>
        <v>0</v>
      </c>
      <c r="W225" s="839">
        <f t="shared" si="210"/>
        <v>0</v>
      </c>
      <c r="X225" s="839">
        <f t="shared" si="228"/>
        <v>0</v>
      </c>
      <c r="Y225" s="839">
        <f t="shared" si="264"/>
        <v>0</v>
      </c>
      <c r="Z225" s="847">
        <f t="shared" ref="Z225:Z259" si="279">IF(V225=0,0,Q$180-V225)</f>
        <v>0</v>
      </c>
      <c r="AA225" s="848">
        <f t="shared" si="241"/>
        <v>0</v>
      </c>
      <c r="AB225" s="868"/>
      <c r="AC225" s="863">
        <f t="shared" si="242"/>
        <v>38</v>
      </c>
      <c r="AD225" s="847">
        <f t="shared" si="254"/>
        <v>0</v>
      </c>
      <c r="AE225" s="847">
        <f t="shared" ref="AE225:AE259" si="280">IF(AND(AD225=0,AI225=0),0,AE224)</f>
        <v>0</v>
      </c>
      <c r="AF225" s="847">
        <f t="shared" ref="AF225:AF259" si="281">IF(AE225=0,0,AE225+AF224)</f>
        <v>0</v>
      </c>
      <c r="AG225" s="847">
        <f t="shared" si="268"/>
        <v>0</v>
      </c>
      <c r="AH225" s="847">
        <f t="shared" si="262"/>
        <v>0</v>
      </c>
      <c r="AI225" s="847">
        <f t="shared" si="271"/>
        <v>0</v>
      </c>
      <c r="AJ225" s="847">
        <f t="shared" ref="AJ225:AJ259" si="282">IF(AD225=0,0,AI225+AJ224)</f>
        <v>0</v>
      </c>
      <c r="AK225" s="839">
        <f t="shared" si="212"/>
        <v>0</v>
      </c>
      <c r="AL225" s="839">
        <f t="shared" si="230"/>
        <v>0</v>
      </c>
      <c r="AM225" s="839">
        <f t="shared" si="265"/>
        <v>0</v>
      </c>
      <c r="AN225" s="847">
        <f t="shared" ref="AN225:AN259" si="283">IF(AJ225=0,0,AE$180-AJ225)</f>
        <v>0</v>
      </c>
      <c r="AO225" s="848">
        <f t="shared" si="246"/>
        <v>0</v>
      </c>
      <c r="AQ225" s="863">
        <f t="shared" si="247"/>
        <v>38</v>
      </c>
      <c r="AR225" s="847">
        <f t="shared" si="231"/>
        <v>0</v>
      </c>
      <c r="AS225" s="847">
        <f t="shared" si="214"/>
        <v>0</v>
      </c>
      <c r="AT225" s="847">
        <f t="shared" si="215"/>
        <v>0</v>
      </c>
      <c r="AU225" s="847">
        <f t="shared" si="216"/>
        <v>0</v>
      </c>
      <c r="AV225" s="847">
        <f t="shared" si="217"/>
        <v>0</v>
      </c>
      <c r="AW225" s="847">
        <f t="shared" si="218"/>
        <v>0</v>
      </c>
      <c r="AX225" s="847">
        <f t="shared" si="219"/>
        <v>0</v>
      </c>
      <c r="AY225" s="839">
        <f t="shared" si="220"/>
        <v>0</v>
      </c>
      <c r="AZ225" s="839">
        <f t="shared" si="221"/>
        <v>0</v>
      </c>
      <c r="BA225" s="839">
        <f t="shared" si="222"/>
        <v>0</v>
      </c>
      <c r="BB225" s="847">
        <f t="shared" si="223"/>
        <v>0</v>
      </c>
      <c r="BC225" s="848">
        <f t="shared" si="223"/>
        <v>0</v>
      </c>
    </row>
    <row r="226" spans="1:55" x14ac:dyDescent="0.25">
      <c r="A226" s="863">
        <f t="shared" si="232"/>
        <v>39</v>
      </c>
      <c r="B226" s="847">
        <f t="shared" si="248"/>
        <v>0</v>
      </c>
      <c r="C226" s="847">
        <f t="shared" si="272"/>
        <v>0</v>
      </c>
      <c r="D226" s="847">
        <f t="shared" si="273"/>
        <v>0</v>
      </c>
      <c r="E226" s="847">
        <f t="shared" si="266"/>
        <v>0</v>
      </c>
      <c r="F226" s="847">
        <f t="shared" si="260"/>
        <v>0</v>
      </c>
      <c r="G226" s="847">
        <f t="shared" si="269"/>
        <v>0</v>
      </c>
      <c r="H226" s="847">
        <f t="shared" si="274"/>
        <v>0</v>
      </c>
      <c r="I226" s="839">
        <f t="shared" si="225"/>
        <v>0</v>
      </c>
      <c r="J226" s="839">
        <f t="shared" si="226"/>
        <v>0</v>
      </c>
      <c r="K226" s="839">
        <f t="shared" si="263"/>
        <v>0</v>
      </c>
      <c r="L226" s="847">
        <f t="shared" si="275"/>
        <v>0</v>
      </c>
      <c r="M226" s="848">
        <f t="shared" si="236"/>
        <v>0</v>
      </c>
      <c r="N226" s="841"/>
      <c r="O226" s="863">
        <f t="shared" si="237"/>
        <v>39</v>
      </c>
      <c r="P226" s="847">
        <f t="shared" si="251"/>
        <v>0</v>
      </c>
      <c r="Q226" s="847">
        <f t="shared" si="276"/>
        <v>0</v>
      </c>
      <c r="R226" s="847">
        <f t="shared" si="277"/>
        <v>0</v>
      </c>
      <c r="S226" s="847">
        <f t="shared" si="267"/>
        <v>0</v>
      </c>
      <c r="T226" s="847">
        <f t="shared" si="261"/>
        <v>0</v>
      </c>
      <c r="U226" s="847">
        <f t="shared" si="270"/>
        <v>0</v>
      </c>
      <c r="V226" s="847">
        <f t="shared" si="278"/>
        <v>0</v>
      </c>
      <c r="W226" s="839">
        <f t="shared" si="210"/>
        <v>0</v>
      </c>
      <c r="X226" s="839">
        <f t="shared" si="228"/>
        <v>0</v>
      </c>
      <c r="Y226" s="839">
        <f t="shared" si="264"/>
        <v>0</v>
      </c>
      <c r="Z226" s="847">
        <f t="shared" si="279"/>
        <v>0</v>
      </c>
      <c r="AA226" s="848">
        <f t="shared" si="241"/>
        <v>0</v>
      </c>
      <c r="AB226" s="868"/>
      <c r="AC226" s="863">
        <f t="shared" si="242"/>
        <v>39</v>
      </c>
      <c r="AD226" s="847">
        <f t="shared" si="254"/>
        <v>0</v>
      </c>
      <c r="AE226" s="847">
        <f t="shared" si="280"/>
        <v>0</v>
      </c>
      <c r="AF226" s="847">
        <f t="shared" si="281"/>
        <v>0</v>
      </c>
      <c r="AG226" s="847">
        <f t="shared" si="268"/>
        <v>0</v>
      </c>
      <c r="AH226" s="847">
        <f t="shared" si="262"/>
        <v>0</v>
      </c>
      <c r="AI226" s="847">
        <f t="shared" si="271"/>
        <v>0</v>
      </c>
      <c r="AJ226" s="847">
        <f t="shared" si="282"/>
        <v>0</v>
      </c>
      <c r="AK226" s="839">
        <f t="shared" si="212"/>
        <v>0</v>
      </c>
      <c r="AL226" s="839">
        <f t="shared" si="230"/>
        <v>0</v>
      </c>
      <c r="AM226" s="839">
        <f t="shared" si="265"/>
        <v>0</v>
      </c>
      <c r="AN226" s="847">
        <f t="shared" si="283"/>
        <v>0</v>
      </c>
      <c r="AO226" s="848">
        <f t="shared" si="246"/>
        <v>0</v>
      </c>
      <c r="AQ226" s="863">
        <f t="shared" si="247"/>
        <v>39</v>
      </c>
      <c r="AR226" s="847">
        <f t="shared" si="231"/>
        <v>0</v>
      </c>
      <c r="AS226" s="847">
        <f t="shared" si="214"/>
        <v>0</v>
      </c>
      <c r="AT226" s="847">
        <f t="shared" si="215"/>
        <v>0</v>
      </c>
      <c r="AU226" s="847">
        <f t="shared" si="216"/>
        <v>0</v>
      </c>
      <c r="AV226" s="847">
        <f t="shared" si="217"/>
        <v>0</v>
      </c>
      <c r="AW226" s="847">
        <f t="shared" si="218"/>
        <v>0</v>
      </c>
      <c r="AX226" s="847">
        <f t="shared" si="219"/>
        <v>0</v>
      </c>
      <c r="AY226" s="839">
        <f t="shared" si="220"/>
        <v>0</v>
      </c>
      <c r="AZ226" s="839">
        <f t="shared" si="221"/>
        <v>0</v>
      </c>
      <c r="BA226" s="839">
        <f t="shared" si="222"/>
        <v>0</v>
      </c>
      <c r="BB226" s="847">
        <f t="shared" si="223"/>
        <v>0</v>
      </c>
      <c r="BC226" s="848">
        <f t="shared" si="223"/>
        <v>0</v>
      </c>
    </row>
    <row r="227" spans="1:55" x14ac:dyDescent="0.25">
      <c r="A227" s="863">
        <f t="shared" si="232"/>
        <v>40</v>
      </c>
      <c r="B227" s="847">
        <f t="shared" si="248"/>
        <v>0</v>
      </c>
      <c r="C227" s="847">
        <f t="shared" si="272"/>
        <v>0</v>
      </c>
      <c r="D227" s="847">
        <f t="shared" si="273"/>
        <v>0</v>
      </c>
      <c r="E227" s="847">
        <f t="shared" si="266"/>
        <v>0</v>
      </c>
      <c r="F227" s="847">
        <f t="shared" si="260"/>
        <v>0</v>
      </c>
      <c r="G227" s="847">
        <f t="shared" si="269"/>
        <v>0</v>
      </c>
      <c r="H227" s="847">
        <f t="shared" si="274"/>
        <v>0</v>
      </c>
      <c r="I227" s="839">
        <f t="shared" si="225"/>
        <v>0</v>
      </c>
      <c r="J227" s="839">
        <f t="shared" si="226"/>
        <v>0</v>
      </c>
      <c r="K227" s="839">
        <f t="shared" si="263"/>
        <v>0</v>
      </c>
      <c r="L227" s="847">
        <f t="shared" si="275"/>
        <v>0</v>
      </c>
      <c r="M227" s="848">
        <f t="shared" si="236"/>
        <v>0</v>
      </c>
      <c r="N227" s="841"/>
      <c r="O227" s="863">
        <f t="shared" si="237"/>
        <v>40</v>
      </c>
      <c r="P227" s="847">
        <f t="shared" si="251"/>
        <v>0</v>
      </c>
      <c r="Q227" s="847">
        <f t="shared" si="276"/>
        <v>0</v>
      </c>
      <c r="R227" s="847">
        <f t="shared" si="277"/>
        <v>0</v>
      </c>
      <c r="S227" s="847">
        <f t="shared" si="267"/>
        <v>0</v>
      </c>
      <c r="T227" s="847">
        <f t="shared" si="261"/>
        <v>0</v>
      </c>
      <c r="U227" s="847">
        <f t="shared" si="270"/>
        <v>0</v>
      </c>
      <c r="V227" s="847">
        <f t="shared" si="278"/>
        <v>0</v>
      </c>
      <c r="W227" s="839">
        <f t="shared" si="210"/>
        <v>0</v>
      </c>
      <c r="X227" s="839">
        <f t="shared" si="228"/>
        <v>0</v>
      </c>
      <c r="Y227" s="839">
        <f t="shared" si="264"/>
        <v>0</v>
      </c>
      <c r="Z227" s="847">
        <f t="shared" si="279"/>
        <v>0</v>
      </c>
      <c r="AA227" s="848">
        <f t="shared" si="241"/>
        <v>0</v>
      </c>
      <c r="AB227" s="868"/>
      <c r="AC227" s="863">
        <f t="shared" si="242"/>
        <v>40</v>
      </c>
      <c r="AD227" s="847">
        <f t="shared" si="254"/>
        <v>0</v>
      </c>
      <c r="AE227" s="847">
        <f t="shared" si="280"/>
        <v>0</v>
      </c>
      <c r="AF227" s="847">
        <f t="shared" si="281"/>
        <v>0</v>
      </c>
      <c r="AG227" s="847">
        <f t="shared" si="268"/>
        <v>0</v>
      </c>
      <c r="AH227" s="847">
        <f t="shared" si="262"/>
        <v>0</v>
      </c>
      <c r="AI227" s="847">
        <f t="shared" si="271"/>
        <v>0</v>
      </c>
      <c r="AJ227" s="847">
        <f t="shared" si="282"/>
        <v>0</v>
      </c>
      <c r="AK227" s="839">
        <f t="shared" si="212"/>
        <v>0</v>
      </c>
      <c r="AL227" s="839">
        <f t="shared" si="230"/>
        <v>0</v>
      </c>
      <c r="AM227" s="839">
        <f t="shared" si="265"/>
        <v>0</v>
      </c>
      <c r="AN227" s="847">
        <f t="shared" si="283"/>
        <v>0</v>
      </c>
      <c r="AO227" s="848">
        <f t="shared" si="246"/>
        <v>0</v>
      </c>
      <c r="AQ227" s="863">
        <f t="shared" si="247"/>
        <v>40</v>
      </c>
      <c r="AR227" s="847">
        <f t="shared" si="231"/>
        <v>0</v>
      </c>
      <c r="AS227" s="847">
        <f t="shared" si="214"/>
        <v>0</v>
      </c>
      <c r="AT227" s="847">
        <f t="shared" si="215"/>
        <v>0</v>
      </c>
      <c r="AU227" s="847">
        <f t="shared" si="216"/>
        <v>0</v>
      </c>
      <c r="AV227" s="847">
        <f t="shared" si="217"/>
        <v>0</v>
      </c>
      <c r="AW227" s="847">
        <f t="shared" si="218"/>
        <v>0</v>
      </c>
      <c r="AX227" s="847">
        <f t="shared" si="219"/>
        <v>0</v>
      </c>
      <c r="AY227" s="839">
        <f t="shared" si="220"/>
        <v>0</v>
      </c>
      <c r="AZ227" s="839">
        <f t="shared" si="221"/>
        <v>0</v>
      </c>
      <c r="BA227" s="839">
        <f t="shared" si="222"/>
        <v>0</v>
      </c>
      <c r="BB227" s="847">
        <f t="shared" si="223"/>
        <v>0</v>
      </c>
      <c r="BC227" s="848">
        <f t="shared" si="223"/>
        <v>0</v>
      </c>
    </row>
    <row r="228" spans="1:55" x14ac:dyDescent="0.25">
      <c r="A228" s="863">
        <f t="shared" si="232"/>
        <v>41</v>
      </c>
      <c r="B228" s="847">
        <f t="shared" si="248"/>
        <v>0</v>
      </c>
      <c r="C228" s="847">
        <f t="shared" si="272"/>
        <v>0</v>
      </c>
      <c r="D228" s="847">
        <f t="shared" si="273"/>
        <v>0</v>
      </c>
      <c r="E228" s="847">
        <f t="shared" si="266"/>
        <v>0</v>
      </c>
      <c r="F228" s="847">
        <f t="shared" si="260"/>
        <v>0</v>
      </c>
      <c r="G228" s="847">
        <f t="shared" si="269"/>
        <v>0</v>
      </c>
      <c r="H228" s="847">
        <f t="shared" si="274"/>
        <v>0</v>
      </c>
      <c r="I228" s="839">
        <f t="shared" si="225"/>
        <v>0</v>
      </c>
      <c r="J228" s="839">
        <f t="shared" si="226"/>
        <v>0</v>
      </c>
      <c r="K228" s="839">
        <f t="shared" si="263"/>
        <v>0</v>
      </c>
      <c r="L228" s="847">
        <f t="shared" si="275"/>
        <v>0</v>
      </c>
      <c r="M228" s="848">
        <f t="shared" si="236"/>
        <v>0</v>
      </c>
      <c r="N228" s="841"/>
      <c r="O228" s="863">
        <f t="shared" si="237"/>
        <v>41</v>
      </c>
      <c r="P228" s="847">
        <f t="shared" si="251"/>
        <v>0</v>
      </c>
      <c r="Q228" s="847">
        <f t="shared" si="276"/>
        <v>0</v>
      </c>
      <c r="R228" s="847">
        <f t="shared" si="277"/>
        <v>0</v>
      </c>
      <c r="S228" s="847">
        <f t="shared" si="267"/>
        <v>0</v>
      </c>
      <c r="T228" s="847">
        <f t="shared" si="261"/>
        <v>0</v>
      </c>
      <c r="U228" s="847">
        <f t="shared" si="270"/>
        <v>0</v>
      </c>
      <c r="V228" s="847">
        <f t="shared" si="278"/>
        <v>0</v>
      </c>
      <c r="W228" s="839">
        <f t="shared" si="210"/>
        <v>0</v>
      </c>
      <c r="X228" s="839">
        <f t="shared" si="228"/>
        <v>0</v>
      </c>
      <c r="Y228" s="839">
        <f t="shared" si="264"/>
        <v>0</v>
      </c>
      <c r="Z228" s="847">
        <f t="shared" si="279"/>
        <v>0</v>
      </c>
      <c r="AA228" s="848">
        <f t="shared" si="241"/>
        <v>0</v>
      </c>
      <c r="AB228" s="868"/>
      <c r="AC228" s="863">
        <f t="shared" si="242"/>
        <v>41</v>
      </c>
      <c r="AD228" s="847">
        <f t="shared" si="254"/>
        <v>0</v>
      </c>
      <c r="AE228" s="847">
        <f t="shared" si="280"/>
        <v>0</v>
      </c>
      <c r="AF228" s="847">
        <f t="shared" si="281"/>
        <v>0</v>
      </c>
      <c r="AG228" s="847">
        <f t="shared" si="268"/>
        <v>0</v>
      </c>
      <c r="AH228" s="847">
        <f t="shared" si="262"/>
        <v>0</v>
      </c>
      <c r="AI228" s="847">
        <f t="shared" si="271"/>
        <v>0</v>
      </c>
      <c r="AJ228" s="847">
        <f t="shared" si="282"/>
        <v>0</v>
      </c>
      <c r="AK228" s="839">
        <f t="shared" si="212"/>
        <v>0</v>
      </c>
      <c r="AL228" s="839">
        <f t="shared" si="230"/>
        <v>0</v>
      </c>
      <c r="AM228" s="839">
        <f t="shared" si="265"/>
        <v>0</v>
      </c>
      <c r="AN228" s="847">
        <f t="shared" si="283"/>
        <v>0</v>
      </c>
      <c r="AO228" s="848">
        <f t="shared" si="246"/>
        <v>0</v>
      </c>
      <c r="AQ228" s="863">
        <f t="shared" si="247"/>
        <v>41</v>
      </c>
      <c r="AR228" s="847">
        <f t="shared" si="231"/>
        <v>0</v>
      </c>
      <c r="AS228" s="847">
        <f t="shared" si="214"/>
        <v>0</v>
      </c>
      <c r="AT228" s="847">
        <f t="shared" si="215"/>
        <v>0</v>
      </c>
      <c r="AU228" s="847">
        <f t="shared" si="216"/>
        <v>0</v>
      </c>
      <c r="AV228" s="847">
        <f t="shared" si="217"/>
        <v>0</v>
      </c>
      <c r="AW228" s="847">
        <f t="shared" si="218"/>
        <v>0</v>
      </c>
      <c r="AX228" s="847">
        <f t="shared" si="219"/>
        <v>0</v>
      </c>
      <c r="AY228" s="839">
        <f t="shared" si="220"/>
        <v>0</v>
      </c>
      <c r="AZ228" s="839">
        <f t="shared" si="221"/>
        <v>0</v>
      </c>
      <c r="BA228" s="839">
        <f t="shared" si="222"/>
        <v>0</v>
      </c>
      <c r="BB228" s="847">
        <f t="shared" si="223"/>
        <v>0</v>
      </c>
      <c r="BC228" s="848">
        <f t="shared" si="223"/>
        <v>0</v>
      </c>
    </row>
    <row r="229" spans="1:55" x14ac:dyDescent="0.25">
      <c r="A229" s="863">
        <f t="shared" si="232"/>
        <v>42</v>
      </c>
      <c r="B229" s="847">
        <f t="shared" si="248"/>
        <v>0</v>
      </c>
      <c r="C229" s="847">
        <f t="shared" si="272"/>
        <v>0</v>
      </c>
      <c r="D229" s="847">
        <f t="shared" si="273"/>
        <v>0</v>
      </c>
      <c r="E229" s="847">
        <f t="shared" si="266"/>
        <v>0</v>
      </c>
      <c r="F229" s="847">
        <f t="shared" si="260"/>
        <v>0</v>
      </c>
      <c r="G229" s="847">
        <f t="shared" si="269"/>
        <v>0</v>
      </c>
      <c r="H229" s="847">
        <f t="shared" si="274"/>
        <v>0</v>
      </c>
      <c r="I229" s="839">
        <f t="shared" si="225"/>
        <v>0</v>
      </c>
      <c r="J229" s="839">
        <f t="shared" si="226"/>
        <v>0</v>
      </c>
      <c r="K229" s="839">
        <f t="shared" si="263"/>
        <v>0</v>
      </c>
      <c r="L229" s="847">
        <f t="shared" si="275"/>
        <v>0</v>
      </c>
      <c r="M229" s="848">
        <f t="shared" si="236"/>
        <v>0</v>
      </c>
      <c r="N229" s="841"/>
      <c r="O229" s="863">
        <f t="shared" si="237"/>
        <v>42</v>
      </c>
      <c r="P229" s="847">
        <f t="shared" si="251"/>
        <v>0</v>
      </c>
      <c r="Q229" s="847">
        <f t="shared" si="276"/>
        <v>0</v>
      </c>
      <c r="R229" s="847">
        <f t="shared" si="277"/>
        <v>0</v>
      </c>
      <c r="S229" s="847">
        <f t="shared" si="267"/>
        <v>0</v>
      </c>
      <c r="T229" s="847">
        <f t="shared" si="261"/>
        <v>0</v>
      </c>
      <c r="U229" s="847">
        <f t="shared" si="270"/>
        <v>0</v>
      </c>
      <c r="V229" s="847">
        <f t="shared" si="278"/>
        <v>0</v>
      </c>
      <c r="W229" s="839">
        <f t="shared" si="210"/>
        <v>0</v>
      </c>
      <c r="X229" s="839">
        <f t="shared" si="228"/>
        <v>0</v>
      </c>
      <c r="Y229" s="839">
        <f t="shared" si="264"/>
        <v>0</v>
      </c>
      <c r="Z229" s="847">
        <f t="shared" si="279"/>
        <v>0</v>
      </c>
      <c r="AA229" s="848">
        <f t="shared" si="241"/>
        <v>0</v>
      </c>
      <c r="AB229" s="868"/>
      <c r="AC229" s="863">
        <f t="shared" si="242"/>
        <v>42</v>
      </c>
      <c r="AD229" s="847">
        <f t="shared" si="254"/>
        <v>0</v>
      </c>
      <c r="AE229" s="847">
        <f t="shared" si="280"/>
        <v>0</v>
      </c>
      <c r="AF229" s="847">
        <f t="shared" si="281"/>
        <v>0</v>
      </c>
      <c r="AG229" s="847">
        <f t="shared" si="268"/>
        <v>0</v>
      </c>
      <c r="AH229" s="847">
        <f t="shared" si="262"/>
        <v>0</v>
      </c>
      <c r="AI229" s="847">
        <f t="shared" si="271"/>
        <v>0</v>
      </c>
      <c r="AJ229" s="847">
        <f t="shared" si="282"/>
        <v>0</v>
      </c>
      <c r="AK229" s="839">
        <f t="shared" si="212"/>
        <v>0</v>
      </c>
      <c r="AL229" s="839">
        <f t="shared" si="230"/>
        <v>0</v>
      </c>
      <c r="AM229" s="839">
        <f t="shared" si="265"/>
        <v>0</v>
      </c>
      <c r="AN229" s="847">
        <f t="shared" si="283"/>
        <v>0</v>
      </c>
      <c r="AO229" s="848">
        <f t="shared" si="246"/>
        <v>0</v>
      </c>
      <c r="AQ229" s="863">
        <f t="shared" si="247"/>
        <v>42</v>
      </c>
      <c r="AR229" s="847">
        <f t="shared" si="231"/>
        <v>0</v>
      </c>
      <c r="AS229" s="847">
        <f t="shared" si="214"/>
        <v>0</v>
      </c>
      <c r="AT229" s="847">
        <f t="shared" si="215"/>
        <v>0</v>
      </c>
      <c r="AU229" s="847">
        <f t="shared" si="216"/>
        <v>0</v>
      </c>
      <c r="AV229" s="847">
        <f t="shared" si="217"/>
        <v>0</v>
      </c>
      <c r="AW229" s="847">
        <f t="shared" si="218"/>
        <v>0</v>
      </c>
      <c r="AX229" s="847">
        <f t="shared" si="219"/>
        <v>0</v>
      </c>
      <c r="AY229" s="839">
        <f t="shared" si="220"/>
        <v>0</v>
      </c>
      <c r="AZ229" s="839">
        <f t="shared" si="221"/>
        <v>0</v>
      </c>
      <c r="BA229" s="839">
        <f t="shared" si="222"/>
        <v>0</v>
      </c>
      <c r="BB229" s="847">
        <f t="shared" si="223"/>
        <v>0</v>
      </c>
      <c r="BC229" s="848">
        <f t="shared" si="223"/>
        <v>0</v>
      </c>
    </row>
    <row r="230" spans="1:55" x14ac:dyDescent="0.25">
      <c r="A230" s="863">
        <f t="shared" si="232"/>
        <v>43</v>
      </c>
      <c r="B230" s="847">
        <f t="shared" si="248"/>
        <v>0</v>
      </c>
      <c r="C230" s="847">
        <f t="shared" si="272"/>
        <v>0</v>
      </c>
      <c r="D230" s="847">
        <f t="shared" si="273"/>
        <v>0</v>
      </c>
      <c r="E230" s="847">
        <f t="shared" si="266"/>
        <v>0</v>
      </c>
      <c r="F230" s="847">
        <f t="shared" si="260"/>
        <v>0</v>
      </c>
      <c r="G230" s="847">
        <f t="shared" si="269"/>
        <v>0</v>
      </c>
      <c r="H230" s="847">
        <f t="shared" si="274"/>
        <v>0</v>
      </c>
      <c r="I230" s="839">
        <f t="shared" si="225"/>
        <v>0</v>
      </c>
      <c r="J230" s="839">
        <f t="shared" si="226"/>
        <v>0</v>
      </c>
      <c r="K230" s="839">
        <f t="shared" si="263"/>
        <v>0</v>
      </c>
      <c r="L230" s="847">
        <f t="shared" si="275"/>
        <v>0</v>
      </c>
      <c r="M230" s="848">
        <f t="shared" si="236"/>
        <v>0</v>
      </c>
      <c r="N230" s="841"/>
      <c r="O230" s="863">
        <f t="shared" si="237"/>
        <v>43</v>
      </c>
      <c r="P230" s="847">
        <f t="shared" si="251"/>
        <v>0</v>
      </c>
      <c r="Q230" s="847">
        <f t="shared" si="276"/>
        <v>0</v>
      </c>
      <c r="R230" s="847">
        <f t="shared" si="277"/>
        <v>0</v>
      </c>
      <c r="S230" s="847">
        <f t="shared" si="267"/>
        <v>0</v>
      </c>
      <c r="T230" s="847">
        <f t="shared" si="261"/>
        <v>0</v>
      </c>
      <c r="U230" s="847">
        <f t="shared" si="270"/>
        <v>0</v>
      </c>
      <c r="V230" s="847">
        <f t="shared" si="278"/>
        <v>0</v>
      </c>
      <c r="W230" s="839">
        <f t="shared" si="210"/>
        <v>0</v>
      </c>
      <c r="X230" s="839">
        <f t="shared" si="228"/>
        <v>0</v>
      </c>
      <c r="Y230" s="839">
        <f t="shared" si="264"/>
        <v>0</v>
      </c>
      <c r="Z230" s="847">
        <f t="shared" si="279"/>
        <v>0</v>
      </c>
      <c r="AA230" s="848">
        <f t="shared" si="241"/>
        <v>0</v>
      </c>
      <c r="AB230" s="868"/>
      <c r="AC230" s="863">
        <f t="shared" si="242"/>
        <v>43</v>
      </c>
      <c r="AD230" s="847">
        <f t="shared" si="254"/>
        <v>0</v>
      </c>
      <c r="AE230" s="847">
        <f t="shared" si="280"/>
        <v>0</v>
      </c>
      <c r="AF230" s="847">
        <f t="shared" si="281"/>
        <v>0</v>
      </c>
      <c r="AG230" s="847">
        <f t="shared" si="268"/>
        <v>0</v>
      </c>
      <c r="AH230" s="847">
        <f t="shared" si="262"/>
        <v>0</v>
      </c>
      <c r="AI230" s="847">
        <f t="shared" si="271"/>
        <v>0</v>
      </c>
      <c r="AJ230" s="847">
        <f t="shared" si="282"/>
        <v>0</v>
      </c>
      <c r="AK230" s="839">
        <f t="shared" si="212"/>
        <v>0</v>
      </c>
      <c r="AL230" s="839">
        <f t="shared" si="230"/>
        <v>0</v>
      </c>
      <c r="AM230" s="839">
        <f t="shared" si="265"/>
        <v>0</v>
      </c>
      <c r="AN230" s="847">
        <f t="shared" si="283"/>
        <v>0</v>
      </c>
      <c r="AO230" s="848">
        <f t="shared" si="246"/>
        <v>0</v>
      </c>
      <c r="AQ230" s="863">
        <f t="shared" si="247"/>
        <v>43</v>
      </c>
      <c r="AR230" s="847">
        <f t="shared" si="231"/>
        <v>0</v>
      </c>
      <c r="AS230" s="847">
        <f t="shared" si="214"/>
        <v>0</v>
      </c>
      <c r="AT230" s="847">
        <f t="shared" si="215"/>
        <v>0</v>
      </c>
      <c r="AU230" s="847">
        <f t="shared" si="216"/>
        <v>0</v>
      </c>
      <c r="AV230" s="847">
        <f t="shared" si="217"/>
        <v>0</v>
      </c>
      <c r="AW230" s="847">
        <f t="shared" si="218"/>
        <v>0</v>
      </c>
      <c r="AX230" s="847">
        <f t="shared" si="219"/>
        <v>0</v>
      </c>
      <c r="AY230" s="839">
        <f t="shared" si="220"/>
        <v>0</v>
      </c>
      <c r="AZ230" s="839">
        <f t="shared" si="221"/>
        <v>0</v>
      </c>
      <c r="BA230" s="839">
        <f t="shared" si="222"/>
        <v>0</v>
      </c>
      <c r="BB230" s="847">
        <f t="shared" si="223"/>
        <v>0</v>
      </c>
      <c r="BC230" s="848">
        <f t="shared" si="223"/>
        <v>0</v>
      </c>
    </row>
    <row r="231" spans="1:55" x14ac:dyDescent="0.25">
      <c r="A231" s="863">
        <f t="shared" si="232"/>
        <v>44</v>
      </c>
      <c r="B231" s="847">
        <f t="shared" si="248"/>
        <v>0</v>
      </c>
      <c r="C231" s="847">
        <f t="shared" si="272"/>
        <v>0</v>
      </c>
      <c r="D231" s="847">
        <f t="shared" si="273"/>
        <v>0</v>
      </c>
      <c r="E231" s="847">
        <f t="shared" si="266"/>
        <v>0</v>
      </c>
      <c r="F231" s="847">
        <f t="shared" si="260"/>
        <v>0</v>
      </c>
      <c r="G231" s="847">
        <f t="shared" si="269"/>
        <v>0</v>
      </c>
      <c r="H231" s="847">
        <f t="shared" si="274"/>
        <v>0</v>
      </c>
      <c r="I231" s="839">
        <f t="shared" si="225"/>
        <v>0</v>
      </c>
      <c r="J231" s="839">
        <f t="shared" si="226"/>
        <v>0</v>
      </c>
      <c r="K231" s="839">
        <f t="shared" si="263"/>
        <v>0</v>
      </c>
      <c r="L231" s="847">
        <f t="shared" si="275"/>
        <v>0</v>
      </c>
      <c r="M231" s="848">
        <f t="shared" si="236"/>
        <v>0</v>
      </c>
      <c r="N231" s="841"/>
      <c r="O231" s="863">
        <f t="shared" si="237"/>
        <v>44</v>
      </c>
      <c r="P231" s="847">
        <f t="shared" si="251"/>
        <v>0</v>
      </c>
      <c r="Q231" s="847">
        <f t="shared" si="276"/>
        <v>0</v>
      </c>
      <c r="R231" s="847">
        <f t="shared" si="277"/>
        <v>0</v>
      </c>
      <c r="S231" s="847">
        <f t="shared" si="267"/>
        <v>0</v>
      </c>
      <c r="T231" s="847">
        <f t="shared" si="261"/>
        <v>0</v>
      </c>
      <c r="U231" s="847">
        <f t="shared" si="270"/>
        <v>0</v>
      </c>
      <c r="V231" s="847">
        <f t="shared" si="278"/>
        <v>0</v>
      </c>
      <c r="W231" s="839">
        <f t="shared" si="210"/>
        <v>0</v>
      </c>
      <c r="X231" s="839">
        <f t="shared" si="228"/>
        <v>0</v>
      </c>
      <c r="Y231" s="839">
        <f t="shared" si="264"/>
        <v>0</v>
      </c>
      <c r="Z231" s="847">
        <f t="shared" si="279"/>
        <v>0</v>
      </c>
      <c r="AA231" s="848">
        <f t="shared" si="241"/>
        <v>0</v>
      </c>
      <c r="AB231" s="868"/>
      <c r="AC231" s="863">
        <f t="shared" si="242"/>
        <v>44</v>
      </c>
      <c r="AD231" s="847">
        <f t="shared" si="254"/>
        <v>0</v>
      </c>
      <c r="AE231" s="847">
        <f t="shared" si="280"/>
        <v>0</v>
      </c>
      <c r="AF231" s="847">
        <f t="shared" si="281"/>
        <v>0</v>
      </c>
      <c r="AG231" s="847">
        <f t="shared" si="268"/>
        <v>0</v>
      </c>
      <c r="AH231" s="847">
        <f t="shared" si="262"/>
        <v>0</v>
      </c>
      <c r="AI231" s="847">
        <f t="shared" si="271"/>
        <v>0</v>
      </c>
      <c r="AJ231" s="847">
        <f t="shared" si="282"/>
        <v>0</v>
      </c>
      <c r="AK231" s="839">
        <f t="shared" si="212"/>
        <v>0</v>
      </c>
      <c r="AL231" s="839">
        <f t="shared" si="230"/>
        <v>0</v>
      </c>
      <c r="AM231" s="839">
        <f t="shared" si="265"/>
        <v>0</v>
      </c>
      <c r="AN231" s="847">
        <f t="shared" si="283"/>
        <v>0</v>
      </c>
      <c r="AO231" s="848">
        <f t="shared" si="246"/>
        <v>0</v>
      </c>
      <c r="AQ231" s="863">
        <f t="shared" si="247"/>
        <v>44</v>
      </c>
      <c r="AR231" s="847">
        <f t="shared" si="231"/>
        <v>0</v>
      </c>
      <c r="AS231" s="847">
        <f t="shared" si="214"/>
        <v>0</v>
      </c>
      <c r="AT231" s="847">
        <f t="shared" si="215"/>
        <v>0</v>
      </c>
      <c r="AU231" s="847">
        <f t="shared" si="216"/>
        <v>0</v>
      </c>
      <c r="AV231" s="847">
        <f t="shared" si="217"/>
        <v>0</v>
      </c>
      <c r="AW231" s="847">
        <f t="shared" si="218"/>
        <v>0</v>
      </c>
      <c r="AX231" s="847">
        <f t="shared" si="219"/>
        <v>0</v>
      </c>
      <c r="AY231" s="839">
        <f t="shared" si="220"/>
        <v>0</v>
      </c>
      <c r="AZ231" s="839">
        <f t="shared" si="221"/>
        <v>0</v>
      </c>
      <c r="BA231" s="839">
        <f t="shared" si="222"/>
        <v>0</v>
      </c>
      <c r="BB231" s="847">
        <f t="shared" si="223"/>
        <v>0</v>
      </c>
      <c r="BC231" s="848">
        <f t="shared" si="223"/>
        <v>0</v>
      </c>
    </row>
    <row r="232" spans="1:55" x14ac:dyDescent="0.25">
      <c r="A232" s="863">
        <f t="shared" si="232"/>
        <v>45</v>
      </c>
      <c r="B232" s="847">
        <f t="shared" si="248"/>
        <v>0</v>
      </c>
      <c r="C232" s="847">
        <f t="shared" si="272"/>
        <v>0</v>
      </c>
      <c r="D232" s="847">
        <f t="shared" si="273"/>
        <v>0</v>
      </c>
      <c r="E232" s="847">
        <f t="shared" si="266"/>
        <v>0</v>
      </c>
      <c r="F232" s="847">
        <f t="shared" si="260"/>
        <v>0</v>
      </c>
      <c r="G232" s="847">
        <f t="shared" si="269"/>
        <v>0</v>
      </c>
      <c r="H232" s="847">
        <f t="shared" si="274"/>
        <v>0</v>
      </c>
      <c r="I232" s="839">
        <f t="shared" si="225"/>
        <v>0</v>
      </c>
      <c r="J232" s="839">
        <f t="shared" si="226"/>
        <v>0</v>
      </c>
      <c r="K232" s="839">
        <f t="shared" si="263"/>
        <v>0</v>
      </c>
      <c r="L232" s="847">
        <f t="shared" si="275"/>
        <v>0</v>
      </c>
      <c r="M232" s="848">
        <f t="shared" si="236"/>
        <v>0</v>
      </c>
      <c r="N232" s="841"/>
      <c r="O232" s="863">
        <f t="shared" si="237"/>
        <v>45</v>
      </c>
      <c r="P232" s="847">
        <f t="shared" si="251"/>
        <v>0</v>
      </c>
      <c r="Q232" s="847">
        <f t="shared" si="276"/>
        <v>0</v>
      </c>
      <c r="R232" s="847">
        <f t="shared" si="277"/>
        <v>0</v>
      </c>
      <c r="S232" s="847">
        <f t="shared" si="267"/>
        <v>0</v>
      </c>
      <c r="T232" s="847">
        <f t="shared" si="261"/>
        <v>0</v>
      </c>
      <c r="U232" s="847">
        <f t="shared" si="270"/>
        <v>0</v>
      </c>
      <c r="V232" s="847">
        <f t="shared" si="278"/>
        <v>0</v>
      </c>
      <c r="W232" s="839">
        <f t="shared" si="210"/>
        <v>0</v>
      </c>
      <c r="X232" s="839">
        <f t="shared" si="228"/>
        <v>0</v>
      </c>
      <c r="Y232" s="839">
        <f t="shared" si="264"/>
        <v>0</v>
      </c>
      <c r="Z232" s="847">
        <f t="shared" si="279"/>
        <v>0</v>
      </c>
      <c r="AA232" s="848">
        <f t="shared" si="241"/>
        <v>0</v>
      </c>
      <c r="AB232" s="868"/>
      <c r="AC232" s="863">
        <f t="shared" si="242"/>
        <v>45</v>
      </c>
      <c r="AD232" s="847">
        <f t="shared" si="254"/>
        <v>0</v>
      </c>
      <c r="AE232" s="847">
        <f t="shared" si="280"/>
        <v>0</v>
      </c>
      <c r="AF232" s="847">
        <f t="shared" si="281"/>
        <v>0</v>
      </c>
      <c r="AG232" s="847">
        <f t="shared" si="268"/>
        <v>0</v>
      </c>
      <c r="AH232" s="847">
        <f t="shared" si="262"/>
        <v>0</v>
      </c>
      <c r="AI232" s="847">
        <f t="shared" si="271"/>
        <v>0</v>
      </c>
      <c r="AJ232" s="847">
        <f t="shared" si="282"/>
        <v>0</v>
      </c>
      <c r="AK232" s="839">
        <f t="shared" si="212"/>
        <v>0</v>
      </c>
      <c r="AL232" s="839">
        <f t="shared" si="230"/>
        <v>0</v>
      </c>
      <c r="AM232" s="839">
        <f t="shared" si="265"/>
        <v>0</v>
      </c>
      <c r="AN232" s="847">
        <f t="shared" si="283"/>
        <v>0</v>
      </c>
      <c r="AO232" s="848">
        <f t="shared" si="246"/>
        <v>0</v>
      </c>
      <c r="AQ232" s="863">
        <f t="shared" si="247"/>
        <v>45</v>
      </c>
      <c r="AR232" s="847">
        <f t="shared" si="231"/>
        <v>0</v>
      </c>
      <c r="AS232" s="847">
        <f t="shared" si="214"/>
        <v>0</v>
      </c>
      <c r="AT232" s="847">
        <f t="shared" si="215"/>
        <v>0</v>
      </c>
      <c r="AU232" s="847">
        <f t="shared" si="216"/>
        <v>0</v>
      </c>
      <c r="AV232" s="847">
        <f t="shared" si="217"/>
        <v>0</v>
      </c>
      <c r="AW232" s="847">
        <f t="shared" si="218"/>
        <v>0</v>
      </c>
      <c r="AX232" s="847">
        <f t="shared" si="219"/>
        <v>0</v>
      </c>
      <c r="AY232" s="839">
        <f t="shared" si="220"/>
        <v>0</v>
      </c>
      <c r="AZ232" s="839">
        <f t="shared" si="221"/>
        <v>0</v>
      </c>
      <c r="BA232" s="839">
        <f t="shared" si="222"/>
        <v>0</v>
      </c>
      <c r="BB232" s="847">
        <f t="shared" si="223"/>
        <v>0</v>
      </c>
      <c r="BC232" s="848">
        <f t="shared" si="223"/>
        <v>0</v>
      </c>
    </row>
    <row r="233" spans="1:55" x14ac:dyDescent="0.25">
      <c r="A233" s="863">
        <f t="shared" si="232"/>
        <v>46</v>
      </c>
      <c r="B233" s="847">
        <f t="shared" si="248"/>
        <v>0</v>
      </c>
      <c r="C233" s="847">
        <f t="shared" si="272"/>
        <v>0</v>
      </c>
      <c r="D233" s="847">
        <f t="shared" si="273"/>
        <v>0</v>
      </c>
      <c r="E233" s="847">
        <f t="shared" si="266"/>
        <v>0</v>
      </c>
      <c r="F233" s="847">
        <f t="shared" si="260"/>
        <v>0</v>
      </c>
      <c r="G233" s="847">
        <f t="shared" si="269"/>
        <v>0</v>
      </c>
      <c r="H233" s="847">
        <f t="shared" si="274"/>
        <v>0</v>
      </c>
      <c r="I233" s="839">
        <f t="shared" si="225"/>
        <v>0</v>
      </c>
      <c r="J233" s="839">
        <f t="shared" si="226"/>
        <v>0</v>
      </c>
      <c r="K233" s="839">
        <f t="shared" si="263"/>
        <v>0</v>
      </c>
      <c r="L233" s="847">
        <f t="shared" si="275"/>
        <v>0</v>
      </c>
      <c r="M233" s="848">
        <f t="shared" si="236"/>
        <v>0</v>
      </c>
      <c r="N233" s="841"/>
      <c r="O233" s="863">
        <f t="shared" si="237"/>
        <v>46</v>
      </c>
      <c r="P233" s="847">
        <f t="shared" si="251"/>
        <v>0</v>
      </c>
      <c r="Q233" s="847">
        <f t="shared" si="276"/>
        <v>0</v>
      </c>
      <c r="R233" s="847">
        <f t="shared" si="277"/>
        <v>0</v>
      </c>
      <c r="S233" s="847">
        <f t="shared" si="267"/>
        <v>0</v>
      </c>
      <c r="T233" s="847">
        <f t="shared" si="261"/>
        <v>0</v>
      </c>
      <c r="U233" s="847">
        <f t="shared" si="270"/>
        <v>0</v>
      </c>
      <c r="V233" s="847">
        <f t="shared" si="278"/>
        <v>0</v>
      </c>
      <c r="W233" s="839">
        <f t="shared" si="210"/>
        <v>0</v>
      </c>
      <c r="X233" s="839">
        <f t="shared" si="228"/>
        <v>0</v>
      </c>
      <c r="Y233" s="839">
        <f t="shared" si="264"/>
        <v>0</v>
      </c>
      <c r="Z233" s="847">
        <f t="shared" si="279"/>
        <v>0</v>
      </c>
      <c r="AA233" s="848">
        <f t="shared" si="241"/>
        <v>0</v>
      </c>
      <c r="AB233" s="868"/>
      <c r="AC233" s="863">
        <f t="shared" si="242"/>
        <v>46</v>
      </c>
      <c r="AD233" s="847">
        <f t="shared" si="254"/>
        <v>0</v>
      </c>
      <c r="AE233" s="847">
        <f t="shared" si="280"/>
        <v>0</v>
      </c>
      <c r="AF233" s="847">
        <f t="shared" si="281"/>
        <v>0</v>
      </c>
      <c r="AG233" s="847">
        <f t="shared" si="268"/>
        <v>0</v>
      </c>
      <c r="AH233" s="847">
        <f t="shared" si="262"/>
        <v>0</v>
      </c>
      <c r="AI233" s="847">
        <f t="shared" si="271"/>
        <v>0</v>
      </c>
      <c r="AJ233" s="847">
        <f t="shared" si="282"/>
        <v>0</v>
      </c>
      <c r="AK233" s="839">
        <f t="shared" si="212"/>
        <v>0</v>
      </c>
      <c r="AL233" s="839">
        <f t="shared" si="230"/>
        <v>0</v>
      </c>
      <c r="AM233" s="839">
        <f t="shared" si="265"/>
        <v>0</v>
      </c>
      <c r="AN233" s="847">
        <f t="shared" si="283"/>
        <v>0</v>
      </c>
      <c r="AO233" s="848">
        <f t="shared" si="246"/>
        <v>0</v>
      </c>
      <c r="AQ233" s="863">
        <f t="shared" si="247"/>
        <v>46</v>
      </c>
      <c r="AR233" s="847">
        <f t="shared" si="231"/>
        <v>0</v>
      </c>
      <c r="AS233" s="847">
        <f t="shared" si="214"/>
        <v>0</v>
      </c>
      <c r="AT233" s="847">
        <f t="shared" si="215"/>
        <v>0</v>
      </c>
      <c r="AU233" s="847">
        <f t="shared" si="216"/>
        <v>0</v>
      </c>
      <c r="AV233" s="847">
        <f t="shared" si="217"/>
        <v>0</v>
      </c>
      <c r="AW233" s="847">
        <f t="shared" si="218"/>
        <v>0</v>
      </c>
      <c r="AX233" s="847">
        <f t="shared" si="219"/>
        <v>0</v>
      </c>
      <c r="AY233" s="839">
        <f t="shared" si="220"/>
        <v>0</v>
      </c>
      <c r="AZ233" s="839">
        <f t="shared" si="221"/>
        <v>0</v>
      </c>
      <c r="BA233" s="839">
        <f t="shared" si="222"/>
        <v>0</v>
      </c>
      <c r="BB233" s="847">
        <f t="shared" si="223"/>
        <v>0</v>
      </c>
      <c r="BC233" s="848">
        <f t="shared" si="223"/>
        <v>0</v>
      </c>
    </row>
    <row r="234" spans="1:55" x14ac:dyDescent="0.25">
      <c r="A234" s="863">
        <f t="shared" si="232"/>
        <v>47</v>
      </c>
      <c r="B234" s="847">
        <f t="shared" si="248"/>
        <v>0</v>
      </c>
      <c r="C234" s="847">
        <f t="shared" si="272"/>
        <v>0</v>
      </c>
      <c r="D234" s="847">
        <f t="shared" si="273"/>
        <v>0</v>
      </c>
      <c r="E234" s="847">
        <f t="shared" si="266"/>
        <v>0</v>
      </c>
      <c r="F234" s="847">
        <f t="shared" si="260"/>
        <v>0</v>
      </c>
      <c r="G234" s="847">
        <f t="shared" si="269"/>
        <v>0</v>
      </c>
      <c r="H234" s="847">
        <f t="shared" si="274"/>
        <v>0</v>
      </c>
      <c r="I234" s="839">
        <f t="shared" si="225"/>
        <v>0</v>
      </c>
      <c r="J234" s="839">
        <f t="shared" si="226"/>
        <v>0</v>
      </c>
      <c r="K234" s="839">
        <f t="shared" si="263"/>
        <v>0</v>
      </c>
      <c r="L234" s="847">
        <f t="shared" si="275"/>
        <v>0</v>
      </c>
      <c r="M234" s="848">
        <f t="shared" si="236"/>
        <v>0</v>
      </c>
      <c r="N234" s="841"/>
      <c r="O234" s="863">
        <f t="shared" si="237"/>
        <v>47</v>
      </c>
      <c r="P234" s="847">
        <f t="shared" si="251"/>
        <v>0</v>
      </c>
      <c r="Q234" s="847">
        <f t="shared" si="276"/>
        <v>0</v>
      </c>
      <c r="R234" s="847">
        <f t="shared" si="277"/>
        <v>0</v>
      </c>
      <c r="S234" s="847">
        <f t="shared" si="267"/>
        <v>0</v>
      </c>
      <c r="T234" s="847">
        <f t="shared" si="261"/>
        <v>0</v>
      </c>
      <c r="U234" s="847">
        <f t="shared" si="270"/>
        <v>0</v>
      </c>
      <c r="V234" s="847">
        <f t="shared" si="278"/>
        <v>0</v>
      </c>
      <c r="W234" s="839">
        <f t="shared" si="210"/>
        <v>0</v>
      </c>
      <c r="X234" s="839">
        <f t="shared" si="228"/>
        <v>0</v>
      </c>
      <c r="Y234" s="839">
        <f t="shared" si="264"/>
        <v>0</v>
      </c>
      <c r="Z234" s="847">
        <f t="shared" si="279"/>
        <v>0</v>
      </c>
      <c r="AA234" s="848">
        <f t="shared" si="241"/>
        <v>0</v>
      </c>
      <c r="AB234" s="868"/>
      <c r="AC234" s="863">
        <f t="shared" si="242"/>
        <v>47</v>
      </c>
      <c r="AD234" s="847">
        <f t="shared" si="254"/>
        <v>0</v>
      </c>
      <c r="AE234" s="847">
        <f t="shared" si="280"/>
        <v>0</v>
      </c>
      <c r="AF234" s="847">
        <f t="shared" si="281"/>
        <v>0</v>
      </c>
      <c r="AG234" s="847">
        <f t="shared" si="268"/>
        <v>0</v>
      </c>
      <c r="AH234" s="847">
        <f t="shared" si="262"/>
        <v>0</v>
      </c>
      <c r="AI234" s="847">
        <f t="shared" si="271"/>
        <v>0</v>
      </c>
      <c r="AJ234" s="847">
        <f t="shared" si="282"/>
        <v>0</v>
      </c>
      <c r="AK234" s="839">
        <f t="shared" si="212"/>
        <v>0</v>
      </c>
      <c r="AL234" s="839">
        <f t="shared" si="230"/>
        <v>0</v>
      </c>
      <c r="AM234" s="839">
        <f t="shared" si="265"/>
        <v>0</v>
      </c>
      <c r="AN234" s="847">
        <f t="shared" si="283"/>
        <v>0</v>
      </c>
      <c r="AO234" s="848">
        <f t="shared" si="246"/>
        <v>0</v>
      </c>
      <c r="AQ234" s="863">
        <f t="shared" si="247"/>
        <v>47</v>
      </c>
      <c r="AR234" s="847">
        <f t="shared" si="231"/>
        <v>0</v>
      </c>
      <c r="AS234" s="847">
        <f t="shared" si="214"/>
        <v>0</v>
      </c>
      <c r="AT234" s="847">
        <f t="shared" si="215"/>
        <v>0</v>
      </c>
      <c r="AU234" s="847">
        <f t="shared" si="216"/>
        <v>0</v>
      </c>
      <c r="AV234" s="847">
        <f t="shared" si="217"/>
        <v>0</v>
      </c>
      <c r="AW234" s="847">
        <f t="shared" si="218"/>
        <v>0</v>
      </c>
      <c r="AX234" s="847">
        <f t="shared" si="219"/>
        <v>0</v>
      </c>
      <c r="AY234" s="839">
        <f t="shared" si="220"/>
        <v>0</v>
      </c>
      <c r="AZ234" s="839">
        <f t="shared" si="221"/>
        <v>0</v>
      </c>
      <c r="BA234" s="839">
        <f t="shared" si="222"/>
        <v>0</v>
      </c>
      <c r="BB234" s="847">
        <f t="shared" si="223"/>
        <v>0</v>
      </c>
      <c r="BC234" s="848">
        <f t="shared" si="223"/>
        <v>0</v>
      </c>
    </row>
    <row r="235" spans="1:55" x14ac:dyDescent="0.25">
      <c r="A235" s="863">
        <f t="shared" si="232"/>
        <v>48</v>
      </c>
      <c r="B235" s="847">
        <f t="shared" si="248"/>
        <v>0</v>
      </c>
      <c r="C235" s="847">
        <f t="shared" si="272"/>
        <v>0</v>
      </c>
      <c r="D235" s="847">
        <f t="shared" si="273"/>
        <v>0</v>
      </c>
      <c r="E235" s="847">
        <f t="shared" si="266"/>
        <v>0</v>
      </c>
      <c r="F235" s="847">
        <f t="shared" si="260"/>
        <v>0</v>
      </c>
      <c r="G235" s="847">
        <f t="shared" si="269"/>
        <v>0</v>
      </c>
      <c r="H235" s="847">
        <f t="shared" si="274"/>
        <v>0</v>
      </c>
      <c r="I235" s="839">
        <f t="shared" si="225"/>
        <v>0</v>
      </c>
      <c r="J235" s="839">
        <f t="shared" si="226"/>
        <v>0</v>
      </c>
      <c r="K235" s="839">
        <f t="shared" si="263"/>
        <v>0</v>
      </c>
      <c r="L235" s="847">
        <f t="shared" si="275"/>
        <v>0</v>
      </c>
      <c r="M235" s="848">
        <f t="shared" si="236"/>
        <v>0</v>
      </c>
      <c r="N235" s="841"/>
      <c r="O235" s="863">
        <f t="shared" si="237"/>
        <v>48</v>
      </c>
      <c r="P235" s="847">
        <f t="shared" si="251"/>
        <v>0</v>
      </c>
      <c r="Q235" s="847">
        <f t="shared" si="276"/>
        <v>0</v>
      </c>
      <c r="R235" s="847">
        <f t="shared" si="277"/>
        <v>0</v>
      </c>
      <c r="S235" s="847">
        <f t="shared" si="267"/>
        <v>0</v>
      </c>
      <c r="T235" s="847">
        <f t="shared" si="261"/>
        <v>0</v>
      </c>
      <c r="U235" s="847">
        <f t="shared" si="270"/>
        <v>0</v>
      </c>
      <c r="V235" s="847">
        <f t="shared" si="278"/>
        <v>0</v>
      </c>
      <c r="W235" s="839">
        <f t="shared" si="210"/>
        <v>0</v>
      </c>
      <c r="X235" s="839">
        <f t="shared" si="228"/>
        <v>0</v>
      </c>
      <c r="Y235" s="839">
        <f t="shared" si="264"/>
        <v>0</v>
      </c>
      <c r="Z235" s="847">
        <f t="shared" si="279"/>
        <v>0</v>
      </c>
      <c r="AA235" s="848">
        <f t="shared" si="241"/>
        <v>0</v>
      </c>
      <c r="AB235" s="868"/>
      <c r="AC235" s="863">
        <f t="shared" si="242"/>
        <v>48</v>
      </c>
      <c r="AD235" s="847">
        <f t="shared" si="254"/>
        <v>0</v>
      </c>
      <c r="AE235" s="847">
        <f t="shared" si="280"/>
        <v>0</v>
      </c>
      <c r="AF235" s="847">
        <f t="shared" si="281"/>
        <v>0</v>
      </c>
      <c r="AG235" s="847">
        <f t="shared" si="268"/>
        <v>0</v>
      </c>
      <c r="AH235" s="847">
        <f t="shared" si="262"/>
        <v>0</v>
      </c>
      <c r="AI235" s="847">
        <f t="shared" si="271"/>
        <v>0</v>
      </c>
      <c r="AJ235" s="847">
        <f t="shared" si="282"/>
        <v>0</v>
      </c>
      <c r="AK235" s="839">
        <f t="shared" si="212"/>
        <v>0</v>
      </c>
      <c r="AL235" s="839">
        <f t="shared" si="230"/>
        <v>0</v>
      </c>
      <c r="AM235" s="839">
        <f t="shared" si="265"/>
        <v>0</v>
      </c>
      <c r="AN235" s="847">
        <f t="shared" si="283"/>
        <v>0</v>
      </c>
      <c r="AO235" s="848">
        <f t="shared" si="246"/>
        <v>0</v>
      </c>
      <c r="AQ235" s="863">
        <f t="shared" si="247"/>
        <v>48</v>
      </c>
      <c r="AR235" s="847">
        <f t="shared" si="231"/>
        <v>0</v>
      </c>
      <c r="AS235" s="847">
        <f t="shared" si="214"/>
        <v>0</v>
      </c>
      <c r="AT235" s="847">
        <f t="shared" si="215"/>
        <v>0</v>
      </c>
      <c r="AU235" s="847">
        <f t="shared" si="216"/>
        <v>0</v>
      </c>
      <c r="AV235" s="847">
        <f t="shared" si="217"/>
        <v>0</v>
      </c>
      <c r="AW235" s="847">
        <f t="shared" si="218"/>
        <v>0</v>
      </c>
      <c r="AX235" s="847">
        <f t="shared" si="219"/>
        <v>0</v>
      </c>
      <c r="AY235" s="839">
        <f t="shared" si="220"/>
        <v>0</v>
      </c>
      <c r="AZ235" s="839">
        <f t="shared" si="221"/>
        <v>0</v>
      </c>
      <c r="BA235" s="839">
        <f t="shared" si="222"/>
        <v>0</v>
      </c>
      <c r="BB235" s="847">
        <f t="shared" si="223"/>
        <v>0</v>
      </c>
      <c r="BC235" s="848">
        <f t="shared" si="223"/>
        <v>0</v>
      </c>
    </row>
    <row r="236" spans="1:55" x14ac:dyDescent="0.25">
      <c r="A236" s="863">
        <f t="shared" si="232"/>
        <v>49</v>
      </c>
      <c r="B236" s="847">
        <f t="shared" si="248"/>
        <v>0</v>
      </c>
      <c r="C236" s="847">
        <f t="shared" si="272"/>
        <v>0</v>
      </c>
      <c r="D236" s="847">
        <f t="shared" si="273"/>
        <v>0</v>
      </c>
      <c r="E236" s="847">
        <f t="shared" si="266"/>
        <v>0</v>
      </c>
      <c r="F236" s="847">
        <f t="shared" si="260"/>
        <v>0</v>
      </c>
      <c r="G236" s="847">
        <f t="shared" si="269"/>
        <v>0</v>
      </c>
      <c r="H236" s="847">
        <f t="shared" si="274"/>
        <v>0</v>
      </c>
      <c r="I236" s="839">
        <f t="shared" si="225"/>
        <v>0</v>
      </c>
      <c r="J236" s="839">
        <f t="shared" si="226"/>
        <v>0</v>
      </c>
      <c r="K236" s="839">
        <f t="shared" si="263"/>
        <v>0</v>
      </c>
      <c r="L236" s="847">
        <f t="shared" si="275"/>
        <v>0</v>
      </c>
      <c r="M236" s="848">
        <f t="shared" si="236"/>
        <v>0</v>
      </c>
      <c r="N236" s="841"/>
      <c r="O236" s="863">
        <f t="shared" si="237"/>
        <v>49</v>
      </c>
      <c r="P236" s="847">
        <f t="shared" si="251"/>
        <v>0</v>
      </c>
      <c r="Q236" s="847">
        <f t="shared" si="276"/>
        <v>0</v>
      </c>
      <c r="R236" s="847">
        <f t="shared" si="277"/>
        <v>0</v>
      </c>
      <c r="S236" s="847">
        <f t="shared" si="267"/>
        <v>0</v>
      </c>
      <c r="T236" s="847">
        <f t="shared" si="261"/>
        <v>0</v>
      </c>
      <c r="U236" s="847">
        <f t="shared" si="270"/>
        <v>0</v>
      </c>
      <c r="V236" s="847">
        <f t="shared" si="278"/>
        <v>0</v>
      </c>
      <c r="W236" s="839">
        <f t="shared" si="210"/>
        <v>0</v>
      </c>
      <c r="X236" s="839">
        <f t="shared" si="228"/>
        <v>0</v>
      </c>
      <c r="Y236" s="839">
        <f t="shared" si="264"/>
        <v>0</v>
      </c>
      <c r="Z236" s="847">
        <f t="shared" si="279"/>
        <v>0</v>
      </c>
      <c r="AA236" s="848">
        <f t="shared" si="241"/>
        <v>0</v>
      </c>
      <c r="AB236" s="868"/>
      <c r="AC236" s="863">
        <f t="shared" si="242"/>
        <v>49</v>
      </c>
      <c r="AD236" s="847">
        <f t="shared" si="254"/>
        <v>0</v>
      </c>
      <c r="AE236" s="847">
        <f t="shared" si="280"/>
        <v>0</v>
      </c>
      <c r="AF236" s="847">
        <f t="shared" si="281"/>
        <v>0</v>
      </c>
      <c r="AG236" s="847">
        <f t="shared" si="268"/>
        <v>0</v>
      </c>
      <c r="AH236" s="847">
        <f t="shared" si="262"/>
        <v>0</v>
      </c>
      <c r="AI236" s="847">
        <f t="shared" si="271"/>
        <v>0</v>
      </c>
      <c r="AJ236" s="847">
        <f t="shared" si="282"/>
        <v>0</v>
      </c>
      <c r="AK236" s="839">
        <f t="shared" si="212"/>
        <v>0</v>
      </c>
      <c r="AL236" s="839">
        <f t="shared" si="230"/>
        <v>0</v>
      </c>
      <c r="AM236" s="839">
        <f t="shared" si="265"/>
        <v>0</v>
      </c>
      <c r="AN236" s="847">
        <f t="shared" si="283"/>
        <v>0</v>
      </c>
      <c r="AO236" s="848">
        <f t="shared" si="246"/>
        <v>0</v>
      </c>
      <c r="AQ236" s="863">
        <f t="shared" si="247"/>
        <v>49</v>
      </c>
      <c r="AR236" s="847">
        <f t="shared" si="231"/>
        <v>0</v>
      </c>
      <c r="AS236" s="847">
        <f t="shared" si="214"/>
        <v>0</v>
      </c>
      <c r="AT236" s="847">
        <f t="shared" si="215"/>
        <v>0</v>
      </c>
      <c r="AU236" s="847">
        <f t="shared" si="216"/>
        <v>0</v>
      </c>
      <c r="AV236" s="847">
        <f t="shared" si="217"/>
        <v>0</v>
      </c>
      <c r="AW236" s="847">
        <f t="shared" si="218"/>
        <v>0</v>
      </c>
      <c r="AX236" s="847">
        <f t="shared" si="219"/>
        <v>0</v>
      </c>
      <c r="AY236" s="839">
        <f t="shared" si="220"/>
        <v>0</v>
      </c>
      <c r="AZ236" s="839">
        <f t="shared" si="221"/>
        <v>0</v>
      </c>
      <c r="BA236" s="839">
        <f t="shared" si="222"/>
        <v>0</v>
      </c>
      <c r="BB236" s="847">
        <f t="shared" si="223"/>
        <v>0</v>
      </c>
      <c r="BC236" s="848">
        <f t="shared" si="223"/>
        <v>0</v>
      </c>
    </row>
    <row r="237" spans="1:55" x14ac:dyDescent="0.25">
      <c r="A237" s="863">
        <f t="shared" si="232"/>
        <v>50</v>
      </c>
      <c r="B237" s="847">
        <f t="shared" si="248"/>
        <v>0</v>
      </c>
      <c r="C237" s="847">
        <f t="shared" si="272"/>
        <v>0</v>
      </c>
      <c r="D237" s="847">
        <f t="shared" si="273"/>
        <v>0</v>
      </c>
      <c r="E237" s="847">
        <f t="shared" si="266"/>
        <v>0</v>
      </c>
      <c r="F237" s="847">
        <f t="shared" si="260"/>
        <v>0</v>
      </c>
      <c r="G237" s="847">
        <f t="shared" si="269"/>
        <v>0</v>
      </c>
      <c r="H237" s="847">
        <f t="shared" si="274"/>
        <v>0</v>
      </c>
      <c r="I237" s="839">
        <f t="shared" si="225"/>
        <v>0</v>
      </c>
      <c r="J237" s="839">
        <f t="shared" si="226"/>
        <v>0</v>
      </c>
      <c r="K237" s="839">
        <f t="shared" si="263"/>
        <v>0</v>
      </c>
      <c r="L237" s="847">
        <f t="shared" si="275"/>
        <v>0</v>
      </c>
      <c r="M237" s="848">
        <f t="shared" si="236"/>
        <v>0</v>
      </c>
      <c r="N237" s="841"/>
      <c r="O237" s="863">
        <f t="shared" si="237"/>
        <v>50</v>
      </c>
      <c r="P237" s="847">
        <f t="shared" si="251"/>
        <v>0</v>
      </c>
      <c r="Q237" s="847">
        <f t="shared" si="276"/>
        <v>0</v>
      </c>
      <c r="R237" s="847">
        <f t="shared" si="277"/>
        <v>0</v>
      </c>
      <c r="S237" s="847">
        <f t="shared" si="267"/>
        <v>0</v>
      </c>
      <c r="T237" s="847">
        <f t="shared" si="261"/>
        <v>0</v>
      </c>
      <c r="U237" s="847">
        <f t="shared" si="270"/>
        <v>0</v>
      </c>
      <c r="V237" s="847">
        <f t="shared" si="278"/>
        <v>0</v>
      </c>
      <c r="W237" s="839">
        <f t="shared" si="210"/>
        <v>0</v>
      </c>
      <c r="X237" s="839">
        <f t="shared" si="228"/>
        <v>0</v>
      </c>
      <c r="Y237" s="839">
        <f t="shared" si="264"/>
        <v>0</v>
      </c>
      <c r="Z237" s="847">
        <f t="shared" si="279"/>
        <v>0</v>
      </c>
      <c r="AA237" s="848">
        <f t="shared" si="241"/>
        <v>0</v>
      </c>
      <c r="AB237" s="868"/>
      <c r="AC237" s="863">
        <f t="shared" si="242"/>
        <v>50</v>
      </c>
      <c r="AD237" s="847">
        <f t="shared" si="254"/>
        <v>0</v>
      </c>
      <c r="AE237" s="847">
        <f t="shared" si="280"/>
        <v>0</v>
      </c>
      <c r="AF237" s="847">
        <f t="shared" si="281"/>
        <v>0</v>
      </c>
      <c r="AG237" s="847">
        <f t="shared" si="268"/>
        <v>0</v>
      </c>
      <c r="AH237" s="847">
        <f t="shared" si="262"/>
        <v>0</v>
      </c>
      <c r="AI237" s="847">
        <f t="shared" si="271"/>
        <v>0</v>
      </c>
      <c r="AJ237" s="847">
        <f t="shared" si="282"/>
        <v>0</v>
      </c>
      <c r="AK237" s="839">
        <f t="shared" si="212"/>
        <v>0</v>
      </c>
      <c r="AL237" s="839">
        <f t="shared" si="230"/>
        <v>0</v>
      </c>
      <c r="AM237" s="839">
        <f t="shared" si="265"/>
        <v>0</v>
      </c>
      <c r="AN237" s="847">
        <f t="shared" si="283"/>
        <v>0</v>
      </c>
      <c r="AO237" s="848">
        <f t="shared" si="246"/>
        <v>0</v>
      </c>
      <c r="AQ237" s="863">
        <f t="shared" si="247"/>
        <v>50</v>
      </c>
      <c r="AR237" s="847">
        <f t="shared" si="231"/>
        <v>0</v>
      </c>
      <c r="AS237" s="847">
        <f t="shared" si="214"/>
        <v>0</v>
      </c>
      <c r="AT237" s="847">
        <f t="shared" si="215"/>
        <v>0</v>
      </c>
      <c r="AU237" s="847">
        <f t="shared" si="216"/>
        <v>0</v>
      </c>
      <c r="AV237" s="847">
        <f t="shared" si="217"/>
        <v>0</v>
      </c>
      <c r="AW237" s="847">
        <f t="shared" si="218"/>
        <v>0</v>
      </c>
      <c r="AX237" s="847">
        <f t="shared" si="219"/>
        <v>0</v>
      </c>
      <c r="AY237" s="839">
        <f t="shared" si="220"/>
        <v>0</v>
      </c>
      <c r="AZ237" s="839">
        <f t="shared" si="221"/>
        <v>0</v>
      </c>
      <c r="BA237" s="839">
        <f t="shared" si="222"/>
        <v>0</v>
      </c>
      <c r="BB237" s="847">
        <f t="shared" si="223"/>
        <v>0</v>
      </c>
      <c r="BC237" s="848">
        <f t="shared" si="223"/>
        <v>0</v>
      </c>
    </row>
    <row r="238" spans="1:55" x14ac:dyDescent="0.25">
      <c r="A238" s="863">
        <f t="shared" si="232"/>
        <v>51</v>
      </c>
      <c r="B238" s="847">
        <f t="shared" si="248"/>
        <v>0</v>
      </c>
      <c r="C238" s="847">
        <f t="shared" si="272"/>
        <v>0</v>
      </c>
      <c r="D238" s="847">
        <f t="shared" si="273"/>
        <v>0</v>
      </c>
      <c r="E238" s="847">
        <f t="shared" si="266"/>
        <v>0</v>
      </c>
      <c r="F238" s="847">
        <f t="shared" si="260"/>
        <v>0</v>
      </c>
      <c r="G238" s="847">
        <f t="shared" si="269"/>
        <v>0</v>
      </c>
      <c r="H238" s="847">
        <f t="shared" si="274"/>
        <v>0</v>
      </c>
      <c r="I238" s="839">
        <f t="shared" si="225"/>
        <v>0</v>
      </c>
      <c r="J238" s="839">
        <f t="shared" si="226"/>
        <v>0</v>
      </c>
      <c r="K238" s="839">
        <f t="shared" si="263"/>
        <v>0</v>
      </c>
      <c r="L238" s="847">
        <f t="shared" si="275"/>
        <v>0</v>
      </c>
      <c r="M238" s="848">
        <f t="shared" si="236"/>
        <v>0</v>
      </c>
      <c r="N238" s="841"/>
      <c r="O238" s="863">
        <f t="shared" si="237"/>
        <v>51</v>
      </c>
      <c r="P238" s="847">
        <f t="shared" si="251"/>
        <v>0</v>
      </c>
      <c r="Q238" s="847">
        <f t="shared" si="276"/>
        <v>0</v>
      </c>
      <c r="R238" s="847">
        <f t="shared" si="277"/>
        <v>0</v>
      </c>
      <c r="S238" s="847">
        <f t="shared" si="267"/>
        <v>0</v>
      </c>
      <c r="T238" s="847">
        <f t="shared" si="261"/>
        <v>0</v>
      </c>
      <c r="U238" s="847">
        <f t="shared" si="270"/>
        <v>0</v>
      </c>
      <c r="V238" s="847">
        <f t="shared" si="278"/>
        <v>0</v>
      </c>
      <c r="W238" s="839">
        <f t="shared" si="210"/>
        <v>0</v>
      </c>
      <c r="X238" s="839">
        <f t="shared" si="228"/>
        <v>0</v>
      </c>
      <c r="Y238" s="839">
        <f t="shared" si="264"/>
        <v>0</v>
      </c>
      <c r="Z238" s="847">
        <f t="shared" si="279"/>
        <v>0</v>
      </c>
      <c r="AA238" s="848">
        <f t="shared" si="241"/>
        <v>0</v>
      </c>
      <c r="AB238" s="868"/>
      <c r="AC238" s="863">
        <f t="shared" si="242"/>
        <v>51</v>
      </c>
      <c r="AD238" s="847">
        <f t="shared" si="254"/>
        <v>0</v>
      </c>
      <c r="AE238" s="847">
        <f t="shared" si="280"/>
        <v>0</v>
      </c>
      <c r="AF238" s="847">
        <f t="shared" si="281"/>
        <v>0</v>
      </c>
      <c r="AG238" s="847">
        <f t="shared" si="268"/>
        <v>0</v>
      </c>
      <c r="AH238" s="847">
        <f t="shared" si="262"/>
        <v>0</v>
      </c>
      <c r="AI238" s="847">
        <f t="shared" si="271"/>
        <v>0</v>
      </c>
      <c r="AJ238" s="847">
        <f t="shared" si="282"/>
        <v>0</v>
      </c>
      <c r="AK238" s="839">
        <f t="shared" si="212"/>
        <v>0</v>
      </c>
      <c r="AL238" s="839">
        <f t="shared" si="230"/>
        <v>0</v>
      </c>
      <c r="AM238" s="839">
        <f t="shared" si="265"/>
        <v>0</v>
      </c>
      <c r="AN238" s="847">
        <f t="shared" si="283"/>
        <v>0</v>
      </c>
      <c r="AO238" s="848">
        <f t="shared" si="246"/>
        <v>0</v>
      </c>
      <c r="AQ238" s="863">
        <f t="shared" si="247"/>
        <v>51</v>
      </c>
      <c r="AR238" s="847">
        <f t="shared" si="231"/>
        <v>0</v>
      </c>
      <c r="AS238" s="847">
        <f t="shared" si="214"/>
        <v>0</v>
      </c>
      <c r="AT238" s="847">
        <f t="shared" si="215"/>
        <v>0</v>
      </c>
      <c r="AU238" s="847">
        <f t="shared" si="216"/>
        <v>0</v>
      </c>
      <c r="AV238" s="847">
        <f t="shared" si="217"/>
        <v>0</v>
      </c>
      <c r="AW238" s="847">
        <f t="shared" si="218"/>
        <v>0</v>
      </c>
      <c r="AX238" s="847">
        <f t="shared" si="219"/>
        <v>0</v>
      </c>
      <c r="AY238" s="839">
        <f t="shared" si="220"/>
        <v>0</v>
      </c>
      <c r="AZ238" s="839">
        <f t="shared" si="221"/>
        <v>0</v>
      </c>
      <c r="BA238" s="839">
        <f t="shared" si="222"/>
        <v>0</v>
      </c>
      <c r="BB238" s="847">
        <f t="shared" si="223"/>
        <v>0</v>
      </c>
      <c r="BC238" s="848">
        <f t="shared" si="223"/>
        <v>0</v>
      </c>
    </row>
    <row r="239" spans="1:55" x14ac:dyDescent="0.25">
      <c r="A239" s="863">
        <f t="shared" si="232"/>
        <v>52</v>
      </c>
      <c r="B239" s="847">
        <f t="shared" si="248"/>
        <v>0</v>
      </c>
      <c r="C239" s="847">
        <f t="shared" si="272"/>
        <v>0</v>
      </c>
      <c r="D239" s="847">
        <f t="shared" si="273"/>
        <v>0</v>
      </c>
      <c r="E239" s="847">
        <f t="shared" si="266"/>
        <v>0</v>
      </c>
      <c r="F239" s="847">
        <f t="shared" si="260"/>
        <v>0</v>
      </c>
      <c r="G239" s="847">
        <f t="shared" si="269"/>
        <v>0</v>
      </c>
      <c r="H239" s="847">
        <f t="shared" si="274"/>
        <v>0</v>
      </c>
      <c r="I239" s="839">
        <f t="shared" si="225"/>
        <v>0</v>
      </c>
      <c r="J239" s="839">
        <f t="shared" si="226"/>
        <v>0</v>
      </c>
      <c r="K239" s="839">
        <f t="shared" si="263"/>
        <v>0</v>
      </c>
      <c r="L239" s="847">
        <f t="shared" si="275"/>
        <v>0</v>
      </c>
      <c r="M239" s="848">
        <f t="shared" si="236"/>
        <v>0</v>
      </c>
      <c r="N239" s="841"/>
      <c r="O239" s="863">
        <f t="shared" si="237"/>
        <v>52</v>
      </c>
      <c r="P239" s="847">
        <f t="shared" si="251"/>
        <v>0</v>
      </c>
      <c r="Q239" s="847">
        <f t="shared" si="276"/>
        <v>0</v>
      </c>
      <c r="R239" s="847">
        <f t="shared" si="277"/>
        <v>0</v>
      </c>
      <c r="S239" s="847">
        <f t="shared" si="267"/>
        <v>0</v>
      </c>
      <c r="T239" s="847">
        <f t="shared" si="261"/>
        <v>0</v>
      </c>
      <c r="U239" s="847">
        <f t="shared" si="270"/>
        <v>0</v>
      </c>
      <c r="V239" s="847">
        <f t="shared" si="278"/>
        <v>0</v>
      </c>
      <c r="W239" s="839">
        <f t="shared" si="210"/>
        <v>0</v>
      </c>
      <c r="X239" s="839">
        <f t="shared" si="228"/>
        <v>0</v>
      </c>
      <c r="Y239" s="839">
        <f t="shared" si="264"/>
        <v>0</v>
      </c>
      <c r="Z239" s="847">
        <f t="shared" si="279"/>
        <v>0</v>
      </c>
      <c r="AA239" s="848">
        <f t="shared" si="241"/>
        <v>0</v>
      </c>
      <c r="AB239" s="868"/>
      <c r="AC239" s="863">
        <f t="shared" si="242"/>
        <v>52</v>
      </c>
      <c r="AD239" s="847">
        <f t="shared" si="254"/>
        <v>0</v>
      </c>
      <c r="AE239" s="847">
        <f t="shared" si="280"/>
        <v>0</v>
      </c>
      <c r="AF239" s="847">
        <f t="shared" si="281"/>
        <v>0</v>
      </c>
      <c r="AG239" s="847">
        <f t="shared" si="268"/>
        <v>0</v>
      </c>
      <c r="AH239" s="847">
        <f t="shared" si="262"/>
        <v>0</v>
      </c>
      <c r="AI239" s="847">
        <f t="shared" si="271"/>
        <v>0</v>
      </c>
      <c r="AJ239" s="847">
        <f t="shared" si="282"/>
        <v>0</v>
      </c>
      <c r="AK239" s="839">
        <f t="shared" si="212"/>
        <v>0</v>
      </c>
      <c r="AL239" s="839">
        <f t="shared" si="230"/>
        <v>0</v>
      </c>
      <c r="AM239" s="839">
        <f t="shared" si="265"/>
        <v>0</v>
      </c>
      <c r="AN239" s="847">
        <f t="shared" si="283"/>
        <v>0</v>
      </c>
      <c r="AO239" s="848">
        <f t="shared" si="246"/>
        <v>0</v>
      </c>
      <c r="AQ239" s="863">
        <f t="shared" si="247"/>
        <v>52</v>
      </c>
      <c r="AR239" s="847">
        <f t="shared" si="231"/>
        <v>0</v>
      </c>
      <c r="AS239" s="847">
        <f t="shared" si="214"/>
        <v>0</v>
      </c>
      <c r="AT239" s="847">
        <f t="shared" si="215"/>
        <v>0</v>
      </c>
      <c r="AU239" s="847">
        <f t="shared" si="216"/>
        <v>0</v>
      </c>
      <c r="AV239" s="847">
        <f t="shared" si="217"/>
        <v>0</v>
      </c>
      <c r="AW239" s="847">
        <f t="shared" si="218"/>
        <v>0</v>
      </c>
      <c r="AX239" s="847">
        <f t="shared" si="219"/>
        <v>0</v>
      </c>
      <c r="AY239" s="839">
        <f t="shared" si="220"/>
        <v>0</v>
      </c>
      <c r="AZ239" s="839">
        <f t="shared" si="221"/>
        <v>0</v>
      </c>
      <c r="BA239" s="839">
        <f t="shared" si="222"/>
        <v>0</v>
      </c>
      <c r="BB239" s="847">
        <f t="shared" si="223"/>
        <v>0</v>
      </c>
      <c r="BC239" s="848">
        <f t="shared" si="223"/>
        <v>0</v>
      </c>
    </row>
    <row r="240" spans="1:55" x14ac:dyDescent="0.25">
      <c r="A240" s="863">
        <f t="shared" si="232"/>
        <v>53</v>
      </c>
      <c r="B240" s="847">
        <f t="shared" si="248"/>
        <v>0</v>
      </c>
      <c r="C240" s="847">
        <f t="shared" si="272"/>
        <v>0</v>
      </c>
      <c r="D240" s="847">
        <f t="shared" si="273"/>
        <v>0</v>
      </c>
      <c r="E240" s="847">
        <f t="shared" si="266"/>
        <v>0</v>
      </c>
      <c r="F240" s="847">
        <f t="shared" si="260"/>
        <v>0</v>
      </c>
      <c r="G240" s="847">
        <f t="shared" si="269"/>
        <v>0</v>
      </c>
      <c r="H240" s="847">
        <f t="shared" si="274"/>
        <v>0</v>
      </c>
      <c r="I240" s="839">
        <f t="shared" si="225"/>
        <v>0</v>
      </c>
      <c r="J240" s="839">
        <f t="shared" si="226"/>
        <v>0</v>
      </c>
      <c r="K240" s="839">
        <f t="shared" si="263"/>
        <v>0</v>
      </c>
      <c r="L240" s="847">
        <f t="shared" si="275"/>
        <v>0</v>
      </c>
      <c r="M240" s="848">
        <f t="shared" si="236"/>
        <v>0</v>
      </c>
      <c r="N240" s="841"/>
      <c r="O240" s="863">
        <f t="shared" si="237"/>
        <v>53</v>
      </c>
      <c r="P240" s="847">
        <f t="shared" si="251"/>
        <v>0</v>
      </c>
      <c r="Q240" s="847">
        <f t="shared" si="276"/>
        <v>0</v>
      </c>
      <c r="R240" s="847">
        <f t="shared" si="277"/>
        <v>0</v>
      </c>
      <c r="S240" s="847">
        <f t="shared" si="267"/>
        <v>0</v>
      </c>
      <c r="T240" s="847">
        <f t="shared" si="261"/>
        <v>0</v>
      </c>
      <c r="U240" s="847">
        <f t="shared" si="270"/>
        <v>0</v>
      </c>
      <c r="V240" s="847">
        <f t="shared" si="278"/>
        <v>0</v>
      </c>
      <c r="W240" s="839">
        <f t="shared" si="210"/>
        <v>0</v>
      </c>
      <c r="X240" s="839">
        <f t="shared" si="228"/>
        <v>0</v>
      </c>
      <c r="Y240" s="839">
        <f t="shared" si="264"/>
        <v>0</v>
      </c>
      <c r="Z240" s="847">
        <f t="shared" si="279"/>
        <v>0</v>
      </c>
      <c r="AA240" s="848">
        <f t="shared" si="241"/>
        <v>0</v>
      </c>
      <c r="AB240" s="868"/>
      <c r="AC240" s="863">
        <f t="shared" si="242"/>
        <v>53</v>
      </c>
      <c r="AD240" s="847">
        <f t="shared" si="254"/>
        <v>0</v>
      </c>
      <c r="AE240" s="847">
        <f t="shared" si="280"/>
        <v>0</v>
      </c>
      <c r="AF240" s="847">
        <f t="shared" si="281"/>
        <v>0</v>
      </c>
      <c r="AG240" s="847">
        <f t="shared" si="268"/>
        <v>0</v>
      </c>
      <c r="AH240" s="847">
        <f t="shared" si="262"/>
        <v>0</v>
      </c>
      <c r="AI240" s="847">
        <f t="shared" si="271"/>
        <v>0</v>
      </c>
      <c r="AJ240" s="847">
        <f t="shared" si="282"/>
        <v>0</v>
      </c>
      <c r="AK240" s="839">
        <f t="shared" si="212"/>
        <v>0</v>
      </c>
      <c r="AL240" s="839">
        <f t="shared" si="230"/>
        <v>0</v>
      </c>
      <c r="AM240" s="839">
        <f t="shared" si="265"/>
        <v>0</v>
      </c>
      <c r="AN240" s="847">
        <f t="shared" si="283"/>
        <v>0</v>
      </c>
      <c r="AO240" s="848">
        <f t="shared" si="246"/>
        <v>0</v>
      </c>
      <c r="AQ240" s="863">
        <f t="shared" si="247"/>
        <v>53</v>
      </c>
      <c r="AR240" s="847">
        <f t="shared" si="231"/>
        <v>0</v>
      </c>
      <c r="AS240" s="847">
        <f t="shared" si="214"/>
        <v>0</v>
      </c>
      <c r="AT240" s="847">
        <f t="shared" si="215"/>
        <v>0</v>
      </c>
      <c r="AU240" s="847">
        <f t="shared" si="216"/>
        <v>0</v>
      </c>
      <c r="AV240" s="847">
        <f t="shared" si="217"/>
        <v>0</v>
      </c>
      <c r="AW240" s="847">
        <f t="shared" si="218"/>
        <v>0</v>
      </c>
      <c r="AX240" s="847">
        <f t="shared" si="219"/>
        <v>0</v>
      </c>
      <c r="AY240" s="839">
        <f t="shared" si="220"/>
        <v>0</v>
      </c>
      <c r="AZ240" s="839">
        <f t="shared" si="221"/>
        <v>0</v>
      </c>
      <c r="BA240" s="839">
        <f t="shared" si="222"/>
        <v>0</v>
      </c>
      <c r="BB240" s="847">
        <f t="shared" si="223"/>
        <v>0</v>
      </c>
      <c r="BC240" s="848">
        <f t="shared" si="223"/>
        <v>0</v>
      </c>
    </row>
    <row r="241" spans="1:55" x14ac:dyDescent="0.25">
      <c r="A241" s="863">
        <f t="shared" si="232"/>
        <v>54</v>
      </c>
      <c r="B241" s="847">
        <f t="shared" si="248"/>
        <v>0</v>
      </c>
      <c r="C241" s="847">
        <f t="shared" si="272"/>
        <v>0</v>
      </c>
      <c r="D241" s="847">
        <f t="shared" si="273"/>
        <v>0</v>
      </c>
      <c r="E241" s="847">
        <f t="shared" si="266"/>
        <v>0</v>
      </c>
      <c r="F241" s="847">
        <f t="shared" si="260"/>
        <v>0</v>
      </c>
      <c r="G241" s="847">
        <f t="shared" si="269"/>
        <v>0</v>
      </c>
      <c r="H241" s="847">
        <f t="shared" si="274"/>
        <v>0</v>
      </c>
      <c r="I241" s="839">
        <f t="shared" si="225"/>
        <v>0</v>
      </c>
      <c r="J241" s="839">
        <f t="shared" si="226"/>
        <v>0</v>
      </c>
      <c r="K241" s="839">
        <f t="shared" si="263"/>
        <v>0</v>
      </c>
      <c r="L241" s="847">
        <f t="shared" si="275"/>
        <v>0</v>
      </c>
      <c r="M241" s="848">
        <f>M240-E241</f>
        <v>0</v>
      </c>
      <c r="N241" s="841"/>
      <c r="O241" s="863">
        <f t="shared" si="237"/>
        <v>54</v>
      </c>
      <c r="P241" s="847">
        <f t="shared" si="251"/>
        <v>0</v>
      </c>
      <c r="Q241" s="847">
        <f t="shared" si="276"/>
        <v>0</v>
      </c>
      <c r="R241" s="847">
        <f t="shared" si="277"/>
        <v>0</v>
      </c>
      <c r="S241" s="847">
        <f t="shared" si="267"/>
        <v>0</v>
      </c>
      <c r="T241" s="847">
        <f t="shared" si="261"/>
        <v>0</v>
      </c>
      <c r="U241" s="847">
        <f t="shared" si="270"/>
        <v>0</v>
      </c>
      <c r="V241" s="847">
        <f t="shared" si="278"/>
        <v>0</v>
      </c>
      <c r="W241" s="839">
        <f t="shared" si="210"/>
        <v>0</v>
      </c>
      <c r="X241" s="839">
        <f t="shared" si="228"/>
        <v>0</v>
      </c>
      <c r="Y241" s="839">
        <f t="shared" si="264"/>
        <v>0</v>
      </c>
      <c r="Z241" s="847">
        <f t="shared" si="279"/>
        <v>0</v>
      </c>
      <c r="AA241" s="848">
        <f>AA240-S241</f>
        <v>0</v>
      </c>
      <c r="AB241" s="868"/>
      <c r="AC241" s="863">
        <f t="shared" si="242"/>
        <v>54</v>
      </c>
      <c r="AD241" s="847">
        <f t="shared" si="254"/>
        <v>0</v>
      </c>
      <c r="AE241" s="847">
        <f t="shared" si="280"/>
        <v>0</v>
      </c>
      <c r="AF241" s="847">
        <f t="shared" si="281"/>
        <v>0</v>
      </c>
      <c r="AG241" s="847">
        <f t="shared" si="268"/>
        <v>0</v>
      </c>
      <c r="AH241" s="847">
        <f t="shared" si="262"/>
        <v>0</v>
      </c>
      <c r="AI241" s="847">
        <f t="shared" si="271"/>
        <v>0</v>
      </c>
      <c r="AJ241" s="847">
        <f t="shared" si="282"/>
        <v>0</v>
      </c>
      <c r="AK241" s="839">
        <f t="shared" si="212"/>
        <v>0</v>
      </c>
      <c r="AL241" s="839">
        <f t="shared" si="230"/>
        <v>0</v>
      </c>
      <c r="AM241" s="839">
        <f t="shared" si="265"/>
        <v>0</v>
      </c>
      <c r="AN241" s="847">
        <f t="shared" si="283"/>
        <v>0</v>
      </c>
      <c r="AO241" s="848">
        <f>AO240-AG241</f>
        <v>0</v>
      </c>
      <c r="AQ241" s="863">
        <f t="shared" si="247"/>
        <v>54</v>
      </c>
      <c r="AR241" s="847">
        <f t="shared" si="231"/>
        <v>0</v>
      </c>
      <c r="AS241" s="847">
        <f t="shared" si="214"/>
        <v>0</v>
      </c>
      <c r="AT241" s="847">
        <f t="shared" si="215"/>
        <v>0</v>
      </c>
      <c r="AU241" s="847">
        <f t="shared" si="216"/>
        <v>0</v>
      </c>
      <c r="AV241" s="847">
        <f t="shared" si="217"/>
        <v>0</v>
      </c>
      <c r="AW241" s="847">
        <f t="shared" si="218"/>
        <v>0</v>
      </c>
      <c r="AX241" s="847">
        <f t="shared" si="219"/>
        <v>0</v>
      </c>
      <c r="AY241" s="839">
        <f t="shared" si="220"/>
        <v>0</v>
      </c>
      <c r="AZ241" s="839">
        <f t="shared" si="221"/>
        <v>0</v>
      </c>
      <c r="BA241" s="839">
        <f t="shared" si="222"/>
        <v>0</v>
      </c>
      <c r="BB241" s="847">
        <f t="shared" si="223"/>
        <v>0</v>
      </c>
      <c r="BC241" s="848">
        <f t="shared" si="223"/>
        <v>0</v>
      </c>
    </row>
    <row r="242" spans="1:55" x14ac:dyDescent="0.25">
      <c r="A242" s="863">
        <f t="shared" si="232"/>
        <v>55</v>
      </c>
      <c r="B242" s="847">
        <f t="shared" si="248"/>
        <v>0</v>
      </c>
      <c r="C242" s="847">
        <f t="shared" si="272"/>
        <v>0</v>
      </c>
      <c r="D242" s="847">
        <f t="shared" si="273"/>
        <v>0</v>
      </c>
      <c r="E242" s="847">
        <f t="shared" si="266"/>
        <v>0</v>
      </c>
      <c r="F242" s="847">
        <f t="shared" si="260"/>
        <v>0</v>
      </c>
      <c r="G242" s="847">
        <f t="shared" si="269"/>
        <v>0</v>
      </c>
      <c r="H242" s="847">
        <f t="shared" si="274"/>
        <v>0</v>
      </c>
      <c r="I242" s="839">
        <f t="shared" si="225"/>
        <v>0</v>
      </c>
      <c r="J242" s="839">
        <f t="shared" si="226"/>
        <v>0</v>
      </c>
      <c r="K242" s="839">
        <f t="shared" si="263"/>
        <v>0</v>
      </c>
      <c r="L242" s="847">
        <f t="shared" si="275"/>
        <v>0</v>
      </c>
      <c r="M242" s="848">
        <f t="shared" ref="M242:M259" si="284">M241-E242</f>
        <v>0</v>
      </c>
      <c r="N242" s="841"/>
      <c r="O242" s="863">
        <f t="shared" si="237"/>
        <v>55</v>
      </c>
      <c r="P242" s="847">
        <f t="shared" si="251"/>
        <v>0</v>
      </c>
      <c r="Q242" s="847">
        <f t="shared" si="276"/>
        <v>0</v>
      </c>
      <c r="R242" s="847">
        <f t="shared" si="277"/>
        <v>0</v>
      </c>
      <c r="S242" s="847">
        <f t="shared" si="267"/>
        <v>0</v>
      </c>
      <c r="T242" s="847">
        <f t="shared" si="261"/>
        <v>0</v>
      </c>
      <c r="U242" s="847">
        <f t="shared" si="270"/>
        <v>0</v>
      </c>
      <c r="V242" s="847">
        <f t="shared" si="278"/>
        <v>0</v>
      </c>
      <c r="W242" s="839">
        <f t="shared" si="210"/>
        <v>0</v>
      </c>
      <c r="X242" s="839">
        <f t="shared" si="228"/>
        <v>0</v>
      </c>
      <c r="Y242" s="839">
        <f t="shared" si="264"/>
        <v>0</v>
      </c>
      <c r="Z242" s="847">
        <f t="shared" si="279"/>
        <v>0</v>
      </c>
      <c r="AA242" s="848">
        <f t="shared" ref="AA242:AA259" si="285">AA241-S242</f>
        <v>0</v>
      </c>
      <c r="AB242" s="868"/>
      <c r="AC242" s="863">
        <f t="shared" si="242"/>
        <v>55</v>
      </c>
      <c r="AD242" s="847">
        <f t="shared" si="254"/>
        <v>0</v>
      </c>
      <c r="AE242" s="847">
        <f t="shared" si="280"/>
        <v>0</v>
      </c>
      <c r="AF242" s="847">
        <f t="shared" si="281"/>
        <v>0</v>
      </c>
      <c r="AG242" s="847">
        <f t="shared" si="268"/>
        <v>0</v>
      </c>
      <c r="AH242" s="847">
        <f t="shared" si="262"/>
        <v>0</v>
      </c>
      <c r="AI242" s="847">
        <f t="shared" si="271"/>
        <v>0</v>
      </c>
      <c r="AJ242" s="847">
        <f t="shared" si="282"/>
        <v>0</v>
      </c>
      <c r="AK242" s="839">
        <f t="shared" si="212"/>
        <v>0</v>
      </c>
      <c r="AL242" s="839">
        <f t="shared" si="230"/>
        <v>0</v>
      </c>
      <c r="AM242" s="839">
        <f t="shared" si="265"/>
        <v>0</v>
      </c>
      <c r="AN242" s="847">
        <f t="shared" si="283"/>
        <v>0</v>
      </c>
      <c r="AO242" s="848">
        <f t="shared" ref="AO242:AO259" si="286">AO241-AG242</f>
        <v>0</v>
      </c>
      <c r="AQ242" s="863">
        <f t="shared" si="247"/>
        <v>55</v>
      </c>
      <c r="AR242" s="847">
        <f t="shared" si="231"/>
        <v>0</v>
      </c>
      <c r="AS242" s="847">
        <f t="shared" si="214"/>
        <v>0</v>
      </c>
      <c r="AT242" s="847">
        <f t="shared" si="215"/>
        <v>0</v>
      </c>
      <c r="AU242" s="847">
        <f t="shared" si="216"/>
        <v>0</v>
      </c>
      <c r="AV242" s="847">
        <f t="shared" si="217"/>
        <v>0</v>
      </c>
      <c r="AW242" s="847">
        <f t="shared" si="218"/>
        <v>0</v>
      </c>
      <c r="AX242" s="847">
        <f t="shared" si="219"/>
        <v>0</v>
      </c>
      <c r="AY242" s="839">
        <f t="shared" si="220"/>
        <v>0</v>
      </c>
      <c r="AZ242" s="839">
        <f t="shared" si="221"/>
        <v>0</v>
      </c>
      <c r="BA242" s="839">
        <f t="shared" si="222"/>
        <v>0</v>
      </c>
      <c r="BB242" s="847">
        <f t="shared" si="223"/>
        <v>0</v>
      </c>
      <c r="BC242" s="848">
        <f t="shared" si="223"/>
        <v>0</v>
      </c>
    </row>
    <row r="243" spans="1:55" x14ac:dyDescent="0.25">
      <c r="A243" s="863">
        <f t="shared" si="232"/>
        <v>56</v>
      </c>
      <c r="B243" s="847">
        <f t="shared" si="248"/>
        <v>0</v>
      </c>
      <c r="C243" s="847">
        <f t="shared" si="272"/>
        <v>0</v>
      </c>
      <c r="D243" s="847">
        <f t="shared" si="273"/>
        <v>0</v>
      </c>
      <c r="E243" s="847">
        <f t="shared" si="266"/>
        <v>0</v>
      </c>
      <c r="F243" s="847">
        <f t="shared" si="260"/>
        <v>0</v>
      </c>
      <c r="G243" s="847">
        <f t="shared" si="269"/>
        <v>0</v>
      </c>
      <c r="H243" s="847">
        <f t="shared" si="274"/>
        <v>0</v>
      </c>
      <c r="I243" s="839">
        <f t="shared" si="225"/>
        <v>0</v>
      </c>
      <c r="J243" s="839">
        <f t="shared" si="226"/>
        <v>0</v>
      </c>
      <c r="K243" s="839">
        <f t="shared" si="263"/>
        <v>0</v>
      </c>
      <c r="L243" s="847">
        <f t="shared" si="275"/>
        <v>0</v>
      </c>
      <c r="M243" s="848">
        <f t="shared" si="284"/>
        <v>0</v>
      </c>
      <c r="N243" s="841"/>
      <c r="O243" s="863">
        <f t="shared" si="237"/>
        <v>56</v>
      </c>
      <c r="P243" s="847">
        <f t="shared" si="251"/>
        <v>0</v>
      </c>
      <c r="Q243" s="847">
        <f t="shared" si="276"/>
        <v>0</v>
      </c>
      <c r="R243" s="847">
        <f t="shared" si="277"/>
        <v>0</v>
      </c>
      <c r="S243" s="847">
        <f t="shared" si="267"/>
        <v>0</v>
      </c>
      <c r="T243" s="847">
        <f t="shared" si="261"/>
        <v>0</v>
      </c>
      <c r="U243" s="847">
        <f t="shared" si="270"/>
        <v>0</v>
      </c>
      <c r="V243" s="847">
        <f t="shared" si="278"/>
        <v>0</v>
      </c>
      <c r="W243" s="839">
        <f t="shared" si="210"/>
        <v>0</v>
      </c>
      <c r="X243" s="839">
        <f t="shared" si="228"/>
        <v>0</v>
      </c>
      <c r="Y243" s="839">
        <f t="shared" si="264"/>
        <v>0</v>
      </c>
      <c r="Z243" s="847">
        <f t="shared" si="279"/>
        <v>0</v>
      </c>
      <c r="AA243" s="848">
        <f t="shared" si="285"/>
        <v>0</v>
      </c>
      <c r="AB243" s="868"/>
      <c r="AC243" s="863">
        <f t="shared" si="242"/>
        <v>56</v>
      </c>
      <c r="AD243" s="847">
        <f t="shared" si="254"/>
        <v>0</v>
      </c>
      <c r="AE243" s="847">
        <f t="shared" si="280"/>
        <v>0</v>
      </c>
      <c r="AF243" s="847">
        <f t="shared" si="281"/>
        <v>0</v>
      </c>
      <c r="AG243" s="847">
        <f t="shared" si="268"/>
        <v>0</v>
      </c>
      <c r="AH243" s="847">
        <f t="shared" si="262"/>
        <v>0</v>
      </c>
      <c r="AI243" s="847">
        <f t="shared" si="271"/>
        <v>0</v>
      </c>
      <c r="AJ243" s="847">
        <f t="shared" si="282"/>
        <v>0</v>
      </c>
      <c r="AK243" s="839">
        <f t="shared" si="212"/>
        <v>0</v>
      </c>
      <c r="AL243" s="839">
        <f t="shared" si="230"/>
        <v>0</v>
      </c>
      <c r="AM243" s="839">
        <f t="shared" si="265"/>
        <v>0</v>
      </c>
      <c r="AN243" s="847">
        <f t="shared" si="283"/>
        <v>0</v>
      </c>
      <c r="AO243" s="848">
        <f t="shared" si="286"/>
        <v>0</v>
      </c>
      <c r="AQ243" s="863">
        <f t="shared" si="247"/>
        <v>56</v>
      </c>
      <c r="AR243" s="847">
        <f t="shared" si="231"/>
        <v>0</v>
      </c>
      <c r="AS243" s="847">
        <f t="shared" si="214"/>
        <v>0</v>
      </c>
      <c r="AT243" s="847">
        <f t="shared" si="215"/>
        <v>0</v>
      </c>
      <c r="AU243" s="847">
        <f t="shared" si="216"/>
        <v>0</v>
      </c>
      <c r="AV243" s="847">
        <f t="shared" si="217"/>
        <v>0</v>
      </c>
      <c r="AW243" s="847">
        <f t="shared" si="218"/>
        <v>0</v>
      </c>
      <c r="AX243" s="847">
        <f t="shared" si="219"/>
        <v>0</v>
      </c>
      <c r="AY243" s="839">
        <f t="shared" si="220"/>
        <v>0</v>
      </c>
      <c r="AZ243" s="839">
        <f t="shared" si="221"/>
        <v>0</v>
      </c>
      <c r="BA243" s="839">
        <f t="shared" si="222"/>
        <v>0</v>
      </c>
      <c r="BB243" s="847">
        <f t="shared" si="223"/>
        <v>0</v>
      </c>
      <c r="BC243" s="848">
        <f t="shared" si="223"/>
        <v>0</v>
      </c>
    </row>
    <row r="244" spans="1:55" x14ac:dyDescent="0.25">
      <c r="A244" s="863">
        <f t="shared" si="232"/>
        <v>57</v>
      </c>
      <c r="B244" s="847">
        <f t="shared" si="248"/>
        <v>0</v>
      </c>
      <c r="C244" s="847">
        <f t="shared" si="272"/>
        <v>0</v>
      </c>
      <c r="D244" s="847">
        <f t="shared" si="273"/>
        <v>0</v>
      </c>
      <c r="E244" s="847">
        <f t="shared" si="266"/>
        <v>0</v>
      </c>
      <c r="F244" s="847">
        <f t="shared" si="260"/>
        <v>0</v>
      </c>
      <c r="G244" s="847">
        <f t="shared" si="269"/>
        <v>0</v>
      </c>
      <c r="H244" s="847">
        <f t="shared" si="274"/>
        <v>0</v>
      </c>
      <c r="I244" s="839">
        <f t="shared" si="225"/>
        <v>0</v>
      </c>
      <c r="J244" s="839">
        <f t="shared" si="226"/>
        <v>0</v>
      </c>
      <c r="K244" s="839">
        <f t="shared" si="263"/>
        <v>0</v>
      </c>
      <c r="L244" s="847">
        <f t="shared" si="275"/>
        <v>0</v>
      </c>
      <c r="M244" s="848">
        <f t="shared" si="284"/>
        <v>0</v>
      </c>
      <c r="N244" s="841"/>
      <c r="O244" s="863">
        <f t="shared" si="237"/>
        <v>57</v>
      </c>
      <c r="P244" s="847">
        <f t="shared" si="251"/>
        <v>0</v>
      </c>
      <c r="Q244" s="847">
        <f t="shared" si="276"/>
        <v>0</v>
      </c>
      <c r="R244" s="847">
        <f t="shared" si="277"/>
        <v>0</v>
      </c>
      <c r="S244" s="847">
        <f t="shared" si="267"/>
        <v>0</v>
      </c>
      <c r="T244" s="847">
        <f t="shared" si="261"/>
        <v>0</v>
      </c>
      <c r="U244" s="847">
        <f t="shared" si="270"/>
        <v>0</v>
      </c>
      <c r="V244" s="847">
        <f t="shared" si="278"/>
        <v>0</v>
      </c>
      <c r="W244" s="839">
        <f t="shared" si="210"/>
        <v>0</v>
      </c>
      <c r="X244" s="839">
        <f t="shared" si="228"/>
        <v>0</v>
      </c>
      <c r="Y244" s="839">
        <f t="shared" si="264"/>
        <v>0</v>
      </c>
      <c r="Z244" s="847">
        <f t="shared" si="279"/>
        <v>0</v>
      </c>
      <c r="AA244" s="848">
        <f t="shared" si="285"/>
        <v>0</v>
      </c>
      <c r="AB244" s="868"/>
      <c r="AC244" s="863">
        <f t="shared" si="242"/>
        <v>57</v>
      </c>
      <c r="AD244" s="847">
        <f t="shared" si="254"/>
        <v>0</v>
      </c>
      <c r="AE244" s="847">
        <f t="shared" si="280"/>
        <v>0</v>
      </c>
      <c r="AF244" s="847">
        <f t="shared" si="281"/>
        <v>0</v>
      </c>
      <c r="AG244" s="847">
        <f t="shared" si="268"/>
        <v>0</v>
      </c>
      <c r="AH244" s="847">
        <f t="shared" si="262"/>
        <v>0</v>
      </c>
      <c r="AI244" s="847">
        <f t="shared" si="271"/>
        <v>0</v>
      </c>
      <c r="AJ244" s="847">
        <f t="shared" si="282"/>
        <v>0</v>
      </c>
      <c r="AK244" s="839">
        <f t="shared" si="212"/>
        <v>0</v>
      </c>
      <c r="AL244" s="839">
        <f t="shared" si="230"/>
        <v>0</v>
      </c>
      <c r="AM244" s="839">
        <f t="shared" si="265"/>
        <v>0</v>
      </c>
      <c r="AN244" s="847">
        <f t="shared" si="283"/>
        <v>0</v>
      </c>
      <c r="AO244" s="848">
        <f t="shared" si="286"/>
        <v>0</v>
      </c>
      <c r="AQ244" s="863">
        <f t="shared" si="247"/>
        <v>57</v>
      </c>
      <c r="AR244" s="847">
        <f t="shared" si="231"/>
        <v>0</v>
      </c>
      <c r="AS244" s="847">
        <f t="shared" si="214"/>
        <v>0</v>
      </c>
      <c r="AT244" s="847">
        <f t="shared" si="215"/>
        <v>0</v>
      </c>
      <c r="AU244" s="847">
        <f t="shared" si="216"/>
        <v>0</v>
      </c>
      <c r="AV244" s="847">
        <f t="shared" si="217"/>
        <v>0</v>
      </c>
      <c r="AW244" s="847">
        <f t="shared" si="218"/>
        <v>0</v>
      </c>
      <c r="AX244" s="847">
        <f t="shared" si="219"/>
        <v>0</v>
      </c>
      <c r="AY244" s="839">
        <f t="shared" si="220"/>
        <v>0</v>
      </c>
      <c r="AZ244" s="839">
        <f t="shared" si="221"/>
        <v>0</v>
      </c>
      <c r="BA244" s="839">
        <f t="shared" si="222"/>
        <v>0</v>
      </c>
      <c r="BB244" s="847">
        <f t="shared" si="223"/>
        <v>0</v>
      </c>
      <c r="BC244" s="848">
        <f t="shared" si="223"/>
        <v>0</v>
      </c>
    </row>
    <row r="245" spans="1:55" x14ac:dyDescent="0.25">
      <c r="A245" s="863">
        <f t="shared" si="232"/>
        <v>58</v>
      </c>
      <c r="B245" s="847">
        <f t="shared" si="248"/>
        <v>0</v>
      </c>
      <c r="C245" s="847">
        <f t="shared" si="272"/>
        <v>0</v>
      </c>
      <c r="D245" s="847">
        <f t="shared" si="273"/>
        <v>0</v>
      </c>
      <c r="E245" s="847">
        <f t="shared" si="266"/>
        <v>0</v>
      </c>
      <c r="F245" s="847">
        <f t="shared" si="260"/>
        <v>0</v>
      </c>
      <c r="G245" s="847">
        <f t="shared" si="269"/>
        <v>0</v>
      </c>
      <c r="H245" s="847">
        <f t="shared" si="274"/>
        <v>0</v>
      </c>
      <c r="I245" s="839">
        <f t="shared" si="225"/>
        <v>0</v>
      </c>
      <c r="J245" s="839">
        <f t="shared" si="226"/>
        <v>0</v>
      </c>
      <c r="K245" s="839">
        <f t="shared" si="263"/>
        <v>0</v>
      </c>
      <c r="L245" s="847">
        <f t="shared" si="275"/>
        <v>0</v>
      </c>
      <c r="M245" s="848">
        <f t="shared" si="284"/>
        <v>0</v>
      </c>
      <c r="N245" s="841"/>
      <c r="O245" s="863">
        <f t="shared" si="237"/>
        <v>58</v>
      </c>
      <c r="P245" s="847">
        <f t="shared" si="251"/>
        <v>0</v>
      </c>
      <c r="Q245" s="847">
        <f t="shared" si="276"/>
        <v>0</v>
      </c>
      <c r="R245" s="847">
        <f t="shared" si="277"/>
        <v>0</v>
      </c>
      <c r="S245" s="847">
        <f t="shared" si="267"/>
        <v>0</v>
      </c>
      <c r="T245" s="847">
        <f t="shared" si="261"/>
        <v>0</v>
      </c>
      <c r="U245" s="847">
        <f t="shared" si="270"/>
        <v>0</v>
      </c>
      <c r="V245" s="847">
        <f t="shared" si="278"/>
        <v>0</v>
      </c>
      <c r="W245" s="839">
        <f t="shared" si="210"/>
        <v>0</v>
      </c>
      <c r="X245" s="839">
        <f t="shared" si="228"/>
        <v>0</v>
      </c>
      <c r="Y245" s="839">
        <f t="shared" si="264"/>
        <v>0</v>
      </c>
      <c r="Z245" s="847">
        <f t="shared" si="279"/>
        <v>0</v>
      </c>
      <c r="AA245" s="848">
        <f t="shared" si="285"/>
        <v>0</v>
      </c>
      <c r="AB245" s="868"/>
      <c r="AC245" s="863">
        <f t="shared" si="242"/>
        <v>58</v>
      </c>
      <c r="AD245" s="847">
        <f t="shared" si="254"/>
        <v>0</v>
      </c>
      <c r="AE245" s="847">
        <f t="shared" si="280"/>
        <v>0</v>
      </c>
      <c r="AF245" s="847">
        <f t="shared" si="281"/>
        <v>0</v>
      </c>
      <c r="AG245" s="847">
        <f t="shared" si="268"/>
        <v>0</v>
      </c>
      <c r="AH245" s="847">
        <f t="shared" si="262"/>
        <v>0</v>
      </c>
      <c r="AI245" s="847">
        <f t="shared" si="271"/>
        <v>0</v>
      </c>
      <c r="AJ245" s="847">
        <f t="shared" si="282"/>
        <v>0</v>
      </c>
      <c r="AK245" s="839">
        <f t="shared" si="212"/>
        <v>0</v>
      </c>
      <c r="AL245" s="839">
        <f t="shared" si="230"/>
        <v>0</v>
      </c>
      <c r="AM245" s="839">
        <f t="shared" si="265"/>
        <v>0</v>
      </c>
      <c r="AN245" s="847">
        <f t="shared" si="283"/>
        <v>0</v>
      </c>
      <c r="AO245" s="848">
        <f t="shared" si="286"/>
        <v>0</v>
      </c>
      <c r="AQ245" s="863">
        <f t="shared" si="247"/>
        <v>58</v>
      </c>
      <c r="AR245" s="847">
        <f t="shared" si="231"/>
        <v>0</v>
      </c>
      <c r="AS245" s="847">
        <f t="shared" si="214"/>
        <v>0</v>
      </c>
      <c r="AT245" s="847">
        <f t="shared" si="215"/>
        <v>0</v>
      </c>
      <c r="AU245" s="847">
        <f t="shared" si="216"/>
        <v>0</v>
      </c>
      <c r="AV245" s="847">
        <f t="shared" si="217"/>
        <v>0</v>
      </c>
      <c r="AW245" s="847">
        <f t="shared" si="218"/>
        <v>0</v>
      </c>
      <c r="AX245" s="847">
        <f t="shared" si="219"/>
        <v>0</v>
      </c>
      <c r="AY245" s="839">
        <f t="shared" si="220"/>
        <v>0</v>
      </c>
      <c r="AZ245" s="839">
        <f t="shared" si="221"/>
        <v>0</v>
      </c>
      <c r="BA245" s="839">
        <f t="shared" si="222"/>
        <v>0</v>
      </c>
      <c r="BB245" s="847">
        <f t="shared" si="223"/>
        <v>0</v>
      </c>
      <c r="BC245" s="848">
        <f t="shared" si="223"/>
        <v>0</v>
      </c>
    </row>
    <row r="246" spans="1:55" x14ac:dyDescent="0.25">
      <c r="A246" s="863">
        <f t="shared" si="232"/>
        <v>59</v>
      </c>
      <c r="B246" s="847">
        <f t="shared" si="248"/>
        <v>0</v>
      </c>
      <c r="C246" s="847">
        <f t="shared" si="272"/>
        <v>0</v>
      </c>
      <c r="D246" s="847">
        <f t="shared" si="273"/>
        <v>0</v>
      </c>
      <c r="E246" s="847">
        <f t="shared" si="266"/>
        <v>0</v>
      </c>
      <c r="F246" s="847">
        <f t="shared" si="260"/>
        <v>0</v>
      </c>
      <c r="G246" s="847">
        <f t="shared" si="269"/>
        <v>0</v>
      </c>
      <c r="H246" s="847">
        <f t="shared" si="274"/>
        <v>0</v>
      </c>
      <c r="I246" s="839">
        <f t="shared" si="225"/>
        <v>0</v>
      </c>
      <c r="J246" s="839">
        <f t="shared" si="226"/>
        <v>0</v>
      </c>
      <c r="K246" s="839">
        <f t="shared" si="263"/>
        <v>0</v>
      </c>
      <c r="L246" s="847">
        <f t="shared" si="275"/>
        <v>0</v>
      </c>
      <c r="M246" s="848">
        <f t="shared" si="284"/>
        <v>0</v>
      </c>
      <c r="N246" s="841"/>
      <c r="O246" s="863">
        <f t="shared" si="237"/>
        <v>59</v>
      </c>
      <c r="P246" s="847">
        <f t="shared" si="251"/>
        <v>0</v>
      </c>
      <c r="Q246" s="847">
        <f t="shared" si="276"/>
        <v>0</v>
      </c>
      <c r="R246" s="847">
        <f t="shared" si="277"/>
        <v>0</v>
      </c>
      <c r="S246" s="847">
        <f t="shared" si="267"/>
        <v>0</v>
      </c>
      <c r="T246" s="847">
        <f t="shared" si="261"/>
        <v>0</v>
      </c>
      <c r="U246" s="847">
        <f t="shared" si="270"/>
        <v>0</v>
      </c>
      <c r="V246" s="847">
        <f t="shared" si="278"/>
        <v>0</v>
      </c>
      <c r="W246" s="839">
        <f t="shared" si="210"/>
        <v>0</v>
      </c>
      <c r="X246" s="839">
        <f t="shared" si="228"/>
        <v>0</v>
      </c>
      <c r="Y246" s="839">
        <f t="shared" si="264"/>
        <v>0</v>
      </c>
      <c r="Z246" s="847">
        <f t="shared" si="279"/>
        <v>0</v>
      </c>
      <c r="AA246" s="848">
        <f t="shared" si="285"/>
        <v>0</v>
      </c>
      <c r="AB246" s="868"/>
      <c r="AC246" s="863">
        <f t="shared" si="242"/>
        <v>59</v>
      </c>
      <c r="AD246" s="847">
        <f t="shared" si="254"/>
        <v>0</v>
      </c>
      <c r="AE246" s="847">
        <f t="shared" si="280"/>
        <v>0</v>
      </c>
      <c r="AF246" s="847">
        <f t="shared" si="281"/>
        <v>0</v>
      </c>
      <c r="AG246" s="847">
        <f t="shared" si="268"/>
        <v>0</v>
      </c>
      <c r="AH246" s="847">
        <f t="shared" si="262"/>
        <v>0</v>
      </c>
      <c r="AI246" s="847">
        <f t="shared" si="271"/>
        <v>0</v>
      </c>
      <c r="AJ246" s="847">
        <f t="shared" si="282"/>
        <v>0</v>
      </c>
      <c r="AK246" s="839">
        <f t="shared" si="212"/>
        <v>0</v>
      </c>
      <c r="AL246" s="839">
        <f t="shared" si="230"/>
        <v>0</v>
      </c>
      <c r="AM246" s="839">
        <f t="shared" si="265"/>
        <v>0</v>
      </c>
      <c r="AN246" s="847">
        <f t="shared" si="283"/>
        <v>0</v>
      </c>
      <c r="AO246" s="848">
        <f t="shared" si="286"/>
        <v>0</v>
      </c>
      <c r="AQ246" s="863">
        <f t="shared" si="247"/>
        <v>59</v>
      </c>
      <c r="AR246" s="847">
        <f t="shared" si="231"/>
        <v>0</v>
      </c>
      <c r="AS246" s="847">
        <f t="shared" si="214"/>
        <v>0</v>
      </c>
      <c r="AT246" s="847">
        <f t="shared" si="215"/>
        <v>0</v>
      </c>
      <c r="AU246" s="847">
        <f t="shared" si="216"/>
        <v>0</v>
      </c>
      <c r="AV246" s="847">
        <f t="shared" si="217"/>
        <v>0</v>
      </c>
      <c r="AW246" s="847">
        <f t="shared" si="218"/>
        <v>0</v>
      </c>
      <c r="AX246" s="847">
        <f t="shared" si="219"/>
        <v>0</v>
      </c>
      <c r="AY246" s="839">
        <f t="shared" si="220"/>
        <v>0</v>
      </c>
      <c r="AZ246" s="839">
        <f t="shared" si="221"/>
        <v>0</v>
      </c>
      <c r="BA246" s="839">
        <f t="shared" si="222"/>
        <v>0</v>
      </c>
      <c r="BB246" s="847">
        <f t="shared" si="223"/>
        <v>0</v>
      </c>
      <c r="BC246" s="848">
        <f t="shared" si="223"/>
        <v>0</v>
      </c>
    </row>
    <row r="247" spans="1:55" x14ac:dyDescent="0.25">
      <c r="A247" s="863">
        <f t="shared" si="232"/>
        <v>60</v>
      </c>
      <c r="B247" s="847">
        <f t="shared" si="248"/>
        <v>0</v>
      </c>
      <c r="C247" s="847">
        <f t="shared" si="272"/>
        <v>0</v>
      </c>
      <c r="D247" s="847">
        <f t="shared" si="273"/>
        <v>0</v>
      </c>
      <c r="E247" s="847">
        <f t="shared" si="266"/>
        <v>0</v>
      </c>
      <c r="F247" s="847">
        <f t="shared" si="260"/>
        <v>0</v>
      </c>
      <c r="G247" s="847">
        <f t="shared" si="269"/>
        <v>0</v>
      </c>
      <c r="H247" s="847">
        <f t="shared" si="274"/>
        <v>0</v>
      </c>
      <c r="I247" s="839">
        <f t="shared" si="225"/>
        <v>0</v>
      </c>
      <c r="J247" s="839">
        <f t="shared" si="226"/>
        <v>0</v>
      </c>
      <c r="K247" s="839">
        <f t="shared" si="263"/>
        <v>0</v>
      </c>
      <c r="L247" s="847">
        <f t="shared" si="275"/>
        <v>0</v>
      </c>
      <c r="M247" s="848">
        <f t="shared" si="284"/>
        <v>0</v>
      </c>
      <c r="N247" s="841"/>
      <c r="O247" s="863">
        <f t="shared" si="237"/>
        <v>60</v>
      </c>
      <c r="P247" s="847">
        <f t="shared" si="251"/>
        <v>0</v>
      </c>
      <c r="Q247" s="847">
        <f t="shared" si="276"/>
        <v>0</v>
      </c>
      <c r="R247" s="847">
        <f t="shared" si="277"/>
        <v>0</v>
      </c>
      <c r="S247" s="847">
        <f t="shared" si="267"/>
        <v>0</v>
      </c>
      <c r="T247" s="847">
        <f t="shared" si="261"/>
        <v>0</v>
      </c>
      <c r="U247" s="847">
        <f t="shared" si="270"/>
        <v>0</v>
      </c>
      <c r="V247" s="847">
        <f t="shared" si="278"/>
        <v>0</v>
      </c>
      <c r="W247" s="839">
        <f t="shared" si="210"/>
        <v>0</v>
      </c>
      <c r="X247" s="839">
        <f t="shared" si="228"/>
        <v>0</v>
      </c>
      <c r="Y247" s="839">
        <f t="shared" si="264"/>
        <v>0</v>
      </c>
      <c r="Z247" s="847">
        <f t="shared" si="279"/>
        <v>0</v>
      </c>
      <c r="AA247" s="848">
        <f t="shared" si="285"/>
        <v>0</v>
      </c>
      <c r="AB247" s="868"/>
      <c r="AC247" s="863">
        <f t="shared" si="242"/>
        <v>60</v>
      </c>
      <c r="AD247" s="847">
        <f t="shared" si="254"/>
        <v>0</v>
      </c>
      <c r="AE247" s="847">
        <f t="shared" si="280"/>
        <v>0</v>
      </c>
      <c r="AF247" s="847">
        <f t="shared" si="281"/>
        <v>0</v>
      </c>
      <c r="AG247" s="847">
        <f t="shared" si="268"/>
        <v>0</v>
      </c>
      <c r="AH247" s="847">
        <f t="shared" si="262"/>
        <v>0</v>
      </c>
      <c r="AI247" s="847">
        <f t="shared" si="271"/>
        <v>0</v>
      </c>
      <c r="AJ247" s="847">
        <f t="shared" si="282"/>
        <v>0</v>
      </c>
      <c r="AK247" s="839">
        <f t="shared" si="212"/>
        <v>0</v>
      </c>
      <c r="AL247" s="839">
        <f t="shared" si="230"/>
        <v>0</v>
      </c>
      <c r="AM247" s="839">
        <f t="shared" si="265"/>
        <v>0</v>
      </c>
      <c r="AN247" s="847">
        <f t="shared" si="283"/>
        <v>0</v>
      </c>
      <c r="AO247" s="848">
        <f t="shared" si="286"/>
        <v>0</v>
      </c>
      <c r="AQ247" s="863">
        <f t="shared" si="247"/>
        <v>60</v>
      </c>
      <c r="AR247" s="847">
        <f t="shared" si="231"/>
        <v>0</v>
      </c>
      <c r="AS247" s="847">
        <f t="shared" si="214"/>
        <v>0</v>
      </c>
      <c r="AT247" s="847">
        <f t="shared" si="215"/>
        <v>0</v>
      </c>
      <c r="AU247" s="847">
        <f t="shared" si="216"/>
        <v>0</v>
      </c>
      <c r="AV247" s="847">
        <f t="shared" si="217"/>
        <v>0</v>
      </c>
      <c r="AW247" s="847">
        <f t="shared" si="218"/>
        <v>0</v>
      </c>
      <c r="AX247" s="847">
        <f t="shared" si="219"/>
        <v>0</v>
      </c>
      <c r="AY247" s="839">
        <f t="shared" si="220"/>
        <v>0</v>
      </c>
      <c r="AZ247" s="839">
        <f t="shared" si="221"/>
        <v>0</v>
      </c>
      <c r="BA247" s="839">
        <f t="shared" si="222"/>
        <v>0</v>
      </c>
      <c r="BB247" s="847">
        <f t="shared" si="223"/>
        <v>0</v>
      </c>
      <c r="BC247" s="848">
        <f t="shared" si="223"/>
        <v>0</v>
      </c>
    </row>
    <row r="248" spans="1:55" x14ac:dyDescent="0.25">
      <c r="A248" s="863">
        <f t="shared" si="232"/>
        <v>61</v>
      </c>
      <c r="B248" s="847">
        <f t="shared" si="248"/>
        <v>0</v>
      </c>
      <c r="C248" s="847">
        <f t="shared" si="272"/>
        <v>0</v>
      </c>
      <c r="D248" s="847">
        <f t="shared" si="273"/>
        <v>0</v>
      </c>
      <c r="E248" s="847">
        <f t="shared" si="266"/>
        <v>0</v>
      </c>
      <c r="F248" s="847">
        <f t="shared" si="260"/>
        <v>0</v>
      </c>
      <c r="G248" s="847">
        <f t="shared" si="269"/>
        <v>0</v>
      </c>
      <c r="H248" s="847">
        <f t="shared" si="274"/>
        <v>0</v>
      </c>
      <c r="I248" s="839">
        <f t="shared" si="225"/>
        <v>0</v>
      </c>
      <c r="J248" s="839">
        <f t="shared" si="226"/>
        <v>0</v>
      </c>
      <c r="K248" s="839">
        <f t="shared" si="263"/>
        <v>0</v>
      </c>
      <c r="L248" s="847">
        <f t="shared" si="275"/>
        <v>0</v>
      </c>
      <c r="M248" s="848">
        <f t="shared" si="284"/>
        <v>0</v>
      </c>
      <c r="N248" s="841"/>
      <c r="O248" s="863">
        <f t="shared" si="237"/>
        <v>61</v>
      </c>
      <c r="P248" s="847">
        <f t="shared" si="251"/>
        <v>0</v>
      </c>
      <c r="Q248" s="847">
        <f t="shared" si="276"/>
        <v>0</v>
      </c>
      <c r="R248" s="847">
        <f t="shared" si="277"/>
        <v>0</v>
      </c>
      <c r="S248" s="847">
        <f t="shared" si="267"/>
        <v>0</v>
      </c>
      <c r="T248" s="847">
        <f t="shared" si="261"/>
        <v>0</v>
      </c>
      <c r="U248" s="847">
        <f t="shared" si="270"/>
        <v>0</v>
      </c>
      <c r="V248" s="847">
        <f t="shared" si="278"/>
        <v>0</v>
      </c>
      <c r="W248" s="839">
        <f t="shared" si="210"/>
        <v>0</v>
      </c>
      <c r="X248" s="839">
        <f t="shared" si="228"/>
        <v>0</v>
      </c>
      <c r="Y248" s="839">
        <f t="shared" si="264"/>
        <v>0</v>
      </c>
      <c r="Z248" s="847">
        <f t="shared" si="279"/>
        <v>0</v>
      </c>
      <c r="AA248" s="848">
        <f t="shared" si="285"/>
        <v>0</v>
      </c>
      <c r="AB248" s="868"/>
      <c r="AC248" s="863">
        <f t="shared" si="242"/>
        <v>61</v>
      </c>
      <c r="AD248" s="847">
        <f t="shared" si="254"/>
        <v>0</v>
      </c>
      <c r="AE248" s="847">
        <f t="shared" si="280"/>
        <v>0</v>
      </c>
      <c r="AF248" s="847">
        <f t="shared" si="281"/>
        <v>0</v>
      </c>
      <c r="AG248" s="847">
        <f t="shared" si="268"/>
        <v>0</v>
      </c>
      <c r="AH248" s="847">
        <f t="shared" si="262"/>
        <v>0</v>
      </c>
      <c r="AI248" s="847">
        <f t="shared" si="271"/>
        <v>0</v>
      </c>
      <c r="AJ248" s="847">
        <f t="shared" si="282"/>
        <v>0</v>
      </c>
      <c r="AK248" s="839">
        <f t="shared" si="212"/>
        <v>0</v>
      </c>
      <c r="AL248" s="839">
        <f t="shared" si="230"/>
        <v>0</v>
      </c>
      <c r="AM248" s="839">
        <f t="shared" si="265"/>
        <v>0</v>
      </c>
      <c r="AN248" s="847">
        <f t="shared" si="283"/>
        <v>0</v>
      </c>
      <c r="AO248" s="848">
        <f t="shared" si="286"/>
        <v>0</v>
      </c>
      <c r="AQ248" s="863">
        <f t="shared" si="247"/>
        <v>61</v>
      </c>
      <c r="AR248" s="847">
        <f t="shared" si="231"/>
        <v>0</v>
      </c>
      <c r="AS248" s="847">
        <f t="shared" si="214"/>
        <v>0</v>
      </c>
      <c r="AT248" s="847">
        <f t="shared" si="215"/>
        <v>0</v>
      </c>
      <c r="AU248" s="847">
        <f t="shared" si="216"/>
        <v>0</v>
      </c>
      <c r="AV248" s="847">
        <f t="shared" si="217"/>
        <v>0</v>
      </c>
      <c r="AW248" s="847">
        <f t="shared" si="218"/>
        <v>0</v>
      </c>
      <c r="AX248" s="847">
        <f t="shared" si="219"/>
        <v>0</v>
      </c>
      <c r="AY248" s="839">
        <f t="shared" si="220"/>
        <v>0</v>
      </c>
      <c r="AZ248" s="839">
        <f t="shared" si="221"/>
        <v>0</v>
      </c>
      <c r="BA248" s="839">
        <f t="shared" si="222"/>
        <v>0</v>
      </c>
      <c r="BB248" s="847">
        <f t="shared" si="223"/>
        <v>0</v>
      </c>
      <c r="BC248" s="848">
        <f t="shared" si="223"/>
        <v>0</v>
      </c>
    </row>
    <row r="249" spans="1:55" x14ac:dyDescent="0.25">
      <c r="A249" s="863">
        <f t="shared" si="232"/>
        <v>62</v>
      </c>
      <c r="B249" s="847">
        <f t="shared" si="248"/>
        <v>0</v>
      </c>
      <c r="C249" s="847">
        <f t="shared" si="272"/>
        <v>0</v>
      </c>
      <c r="D249" s="847">
        <f t="shared" si="273"/>
        <v>0</v>
      </c>
      <c r="E249" s="847">
        <f t="shared" si="266"/>
        <v>0</v>
      </c>
      <c r="F249" s="847">
        <f t="shared" si="260"/>
        <v>0</v>
      </c>
      <c r="G249" s="847">
        <f t="shared" si="269"/>
        <v>0</v>
      </c>
      <c r="H249" s="847">
        <f t="shared" si="274"/>
        <v>0</v>
      </c>
      <c r="I249" s="839">
        <f t="shared" si="225"/>
        <v>0</v>
      </c>
      <c r="J249" s="839">
        <f t="shared" si="226"/>
        <v>0</v>
      </c>
      <c r="K249" s="839">
        <f t="shared" si="263"/>
        <v>0</v>
      </c>
      <c r="L249" s="847">
        <f t="shared" si="275"/>
        <v>0</v>
      </c>
      <c r="M249" s="848">
        <f t="shared" si="284"/>
        <v>0</v>
      </c>
      <c r="N249" s="841"/>
      <c r="O249" s="863">
        <f t="shared" si="237"/>
        <v>62</v>
      </c>
      <c r="P249" s="847">
        <f t="shared" si="251"/>
        <v>0</v>
      </c>
      <c r="Q249" s="847">
        <f t="shared" si="276"/>
        <v>0</v>
      </c>
      <c r="R249" s="847">
        <f t="shared" si="277"/>
        <v>0</v>
      </c>
      <c r="S249" s="847">
        <f t="shared" si="267"/>
        <v>0</v>
      </c>
      <c r="T249" s="847">
        <f t="shared" si="261"/>
        <v>0</v>
      </c>
      <c r="U249" s="847">
        <f t="shared" si="270"/>
        <v>0</v>
      </c>
      <c r="V249" s="847">
        <f t="shared" si="278"/>
        <v>0</v>
      </c>
      <c r="W249" s="839">
        <f t="shared" si="210"/>
        <v>0</v>
      </c>
      <c r="X249" s="839">
        <f t="shared" si="228"/>
        <v>0</v>
      </c>
      <c r="Y249" s="839">
        <f t="shared" si="264"/>
        <v>0</v>
      </c>
      <c r="Z249" s="847">
        <f t="shared" si="279"/>
        <v>0</v>
      </c>
      <c r="AA249" s="848">
        <f t="shared" si="285"/>
        <v>0</v>
      </c>
      <c r="AB249" s="868"/>
      <c r="AC249" s="863">
        <f t="shared" si="242"/>
        <v>62</v>
      </c>
      <c r="AD249" s="847">
        <f t="shared" si="254"/>
        <v>0</v>
      </c>
      <c r="AE249" s="847">
        <f t="shared" si="280"/>
        <v>0</v>
      </c>
      <c r="AF249" s="847">
        <f t="shared" si="281"/>
        <v>0</v>
      </c>
      <c r="AG249" s="847">
        <f t="shared" si="268"/>
        <v>0</v>
      </c>
      <c r="AH249" s="847">
        <f t="shared" si="262"/>
        <v>0</v>
      </c>
      <c r="AI249" s="847">
        <f t="shared" si="271"/>
        <v>0</v>
      </c>
      <c r="AJ249" s="847">
        <f t="shared" si="282"/>
        <v>0</v>
      </c>
      <c r="AK249" s="839">
        <f t="shared" si="212"/>
        <v>0</v>
      </c>
      <c r="AL249" s="839">
        <f t="shared" si="230"/>
        <v>0</v>
      </c>
      <c r="AM249" s="839">
        <f t="shared" si="265"/>
        <v>0</v>
      </c>
      <c r="AN249" s="847">
        <f t="shared" si="283"/>
        <v>0</v>
      </c>
      <c r="AO249" s="848">
        <f t="shared" si="286"/>
        <v>0</v>
      </c>
      <c r="AQ249" s="863">
        <f t="shared" si="247"/>
        <v>62</v>
      </c>
      <c r="AR249" s="847">
        <f t="shared" si="231"/>
        <v>0</v>
      </c>
      <c r="AS249" s="847">
        <f t="shared" si="214"/>
        <v>0</v>
      </c>
      <c r="AT249" s="847">
        <f t="shared" si="215"/>
        <v>0</v>
      </c>
      <c r="AU249" s="847">
        <f t="shared" si="216"/>
        <v>0</v>
      </c>
      <c r="AV249" s="847">
        <f t="shared" si="217"/>
        <v>0</v>
      </c>
      <c r="AW249" s="847">
        <f t="shared" si="218"/>
        <v>0</v>
      </c>
      <c r="AX249" s="847">
        <f t="shared" si="219"/>
        <v>0</v>
      </c>
      <c r="AY249" s="839">
        <f t="shared" si="220"/>
        <v>0</v>
      </c>
      <c r="AZ249" s="839">
        <f t="shared" si="221"/>
        <v>0</v>
      </c>
      <c r="BA249" s="839">
        <f t="shared" si="222"/>
        <v>0</v>
      </c>
      <c r="BB249" s="847">
        <f t="shared" si="223"/>
        <v>0</v>
      </c>
      <c r="BC249" s="848">
        <f t="shared" si="223"/>
        <v>0</v>
      </c>
    </row>
    <row r="250" spans="1:55" x14ac:dyDescent="0.25">
      <c r="A250" s="863">
        <f t="shared" si="232"/>
        <v>63</v>
      </c>
      <c r="B250" s="847">
        <f t="shared" si="248"/>
        <v>0</v>
      </c>
      <c r="C250" s="847">
        <f t="shared" si="272"/>
        <v>0</v>
      </c>
      <c r="D250" s="847">
        <f t="shared" si="273"/>
        <v>0</v>
      </c>
      <c r="E250" s="847">
        <f t="shared" si="266"/>
        <v>0</v>
      </c>
      <c r="F250" s="847">
        <f t="shared" si="260"/>
        <v>0</v>
      </c>
      <c r="G250" s="847">
        <f t="shared" si="269"/>
        <v>0</v>
      </c>
      <c r="H250" s="847">
        <f t="shared" si="274"/>
        <v>0</v>
      </c>
      <c r="I250" s="839">
        <f t="shared" si="225"/>
        <v>0</v>
      </c>
      <c r="J250" s="839">
        <f t="shared" si="226"/>
        <v>0</v>
      </c>
      <c r="K250" s="839">
        <f t="shared" si="263"/>
        <v>0</v>
      </c>
      <c r="L250" s="847">
        <f t="shared" si="275"/>
        <v>0</v>
      </c>
      <c r="M250" s="848">
        <f t="shared" si="284"/>
        <v>0</v>
      </c>
      <c r="N250" s="841"/>
      <c r="O250" s="863">
        <f t="shared" si="237"/>
        <v>63</v>
      </c>
      <c r="P250" s="847">
        <f t="shared" si="251"/>
        <v>0</v>
      </c>
      <c r="Q250" s="847">
        <f t="shared" si="276"/>
        <v>0</v>
      </c>
      <c r="R250" s="847">
        <f t="shared" si="277"/>
        <v>0</v>
      </c>
      <c r="S250" s="847">
        <f t="shared" si="267"/>
        <v>0</v>
      </c>
      <c r="T250" s="847">
        <f t="shared" si="261"/>
        <v>0</v>
      </c>
      <c r="U250" s="847">
        <f t="shared" si="270"/>
        <v>0</v>
      </c>
      <c r="V250" s="847">
        <f t="shared" si="278"/>
        <v>0</v>
      </c>
      <c r="W250" s="839">
        <f t="shared" si="210"/>
        <v>0</v>
      </c>
      <c r="X250" s="839">
        <f t="shared" si="228"/>
        <v>0</v>
      </c>
      <c r="Y250" s="839">
        <f t="shared" si="264"/>
        <v>0</v>
      </c>
      <c r="Z250" s="847">
        <f t="shared" si="279"/>
        <v>0</v>
      </c>
      <c r="AA250" s="848">
        <f t="shared" si="285"/>
        <v>0</v>
      </c>
      <c r="AB250" s="868"/>
      <c r="AC250" s="863">
        <f t="shared" si="242"/>
        <v>63</v>
      </c>
      <c r="AD250" s="847">
        <f t="shared" si="254"/>
        <v>0</v>
      </c>
      <c r="AE250" s="847">
        <f t="shared" si="280"/>
        <v>0</v>
      </c>
      <c r="AF250" s="847">
        <f t="shared" si="281"/>
        <v>0</v>
      </c>
      <c r="AG250" s="847">
        <f t="shared" si="268"/>
        <v>0</v>
      </c>
      <c r="AH250" s="847">
        <f t="shared" si="262"/>
        <v>0</v>
      </c>
      <c r="AI250" s="847">
        <f t="shared" si="271"/>
        <v>0</v>
      </c>
      <c r="AJ250" s="847">
        <f t="shared" si="282"/>
        <v>0</v>
      </c>
      <c r="AK250" s="839">
        <f t="shared" si="212"/>
        <v>0</v>
      </c>
      <c r="AL250" s="839">
        <f t="shared" si="230"/>
        <v>0</v>
      </c>
      <c r="AM250" s="839">
        <f t="shared" si="265"/>
        <v>0</v>
      </c>
      <c r="AN250" s="847">
        <f t="shared" si="283"/>
        <v>0</v>
      </c>
      <c r="AO250" s="848">
        <f t="shared" si="286"/>
        <v>0</v>
      </c>
      <c r="AQ250" s="863">
        <f t="shared" si="247"/>
        <v>63</v>
      </c>
      <c r="AR250" s="847">
        <f t="shared" si="231"/>
        <v>0</v>
      </c>
      <c r="AS250" s="847">
        <f t="shared" si="214"/>
        <v>0</v>
      </c>
      <c r="AT250" s="847">
        <f t="shared" si="215"/>
        <v>0</v>
      </c>
      <c r="AU250" s="847">
        <f t="shared" si="216"/>
        <v>0</v>
      </c>
      <c r="AV250" s="847">
        <f t="shared" si="217"/>
        <v>0</v>
      </c>
      <c r="AW250" s="847">
        <f t="shared" si="218"/>
        <v>0</v>
      </c>
      <c r="AX250" s="847">
        <f t="shared" si="219"/>
        <v>0</v>
      </c>
      <c r="AY250" s="839">
        <f t="shared" si="220"/>
        <v>0</v>
      </c>
      <c r="AZ250" s="839">
        <f t="shared" si="221"/>
        <v>0</v>
      </c>
      <c r="BA250" s="839">
        <f t="shared" si="222"/>
        <v>0</v>
      </c>
      <c r="BB250" s="847">
        <f t="shared" si="223"/>
        <v>0</v>
      </c>
      <c r="BC250" s="848">
        <f t="shared" si="223"/>
        <v>0</v>
      </c>
    </row>
    <row r="251" spans="1:55" x14ac:dyDescent="0.25">
      <c r="A251" s="863">
        <f t="shared" si="232"/>
        <v>64</v>
      </c>
      <c r="B251" s="847">
        <f t="shared" si="248"/>
        <v>0</v>
      </c>
      <c r="C251" s="847">
        <f t="shared" si="272"/>
        <v>0</v>
      </c>
      <c r="D251" s="847">
        <f t="shared" si="273"/>
        <v>0</v>
      </c>
      <c r="E251" s="847">
        <f t="shared" si="266"/>
        <v>0</v>
      </c>
      <c r="F251" s="847">
        <f t="shared" si="260"/>
        <v>0</v>
      </c>
      <c r="G251" s="847">
        <f t="shared" si="269"/>
        <v>0</v>
      </c>
      <c r="H251" s="847">
        <f t="shared" si="274"/>
        <v>0</v>
      </c>
      <c r="I251" s="839">
        <f t="shared" si="225"/>
        <v>0</v>
      </c>
      <c r="J251" s="839">
        <f t="shared" si="226"/>
        <v>0</v>
      </c>
      <c r="K251" s="839">
        <f t="shared" si="263"/>
        <v>0</v>
      </c>
      <c r="L251" s="847">
        <f t="shared" si="275"/>
        <v>0</v>
      </c>
      <c r="M251" s="848">
        <f t="shared" si="284"/>
        <v>0</v>
      </c>
      <c r="N251" s="841"/>
      <c r="O251" s="863">
        <f t="shared" si="237"/>
        <v>64</v>
      </c>
      <c r="P251" s="847">
        <f t="shared" si="251"/>
        <v>0</v>
      </c>
      <c r="Q251" s="847">
        <f t="shared" si="276"/>
        <v>0</v>
      </c>
      <c r="R251" s="847">
        <f t="shared" si="277"/>
        <v>0</v>
      </c>
      <c r="S251" s="847">
        <f t="shared" si="267"/>
        <v>0</v>
      </c>
      <c r="T251" s="847">
        <f t="shared" si="261"/>
        <v>0</v>
      </c>
      <c r="U251" s="847">
        <f t="shared" si="270"/>
        <v>0</v>
      </c>
      <c r="V251" s="847">
        <f t="shared" si="278"/>
        <v>0</v>
      </c>
      <c r="W251" s="839">
        <f t="shared" si="210"/>
        <v>0</v>
      </c>
      <c r="X251" s="839">
        <f t="shared" si="228"/>
        <v>0</v>
      </c>
      <c r="Y251" s="839">
        <f t="shared" si="264"/>
        <v>0</v>
      </c>
      <c r="Z251" s="847">
        <f t="shared" si="279"/>
        <v>0</v>
      </c>
      <c r="AA251" s="848">
        <f t="shared" si="285"/>
        <v>0</v>
      </c>
      <c r="AB251" s="868"/>
      <c r="AC251" s="863">
        <f t="shared" si="242"/>
        <v>64</v>
      </c>
      <c r="AD251" s="847">
        <f t="shared" si="254"/>
        <v>0</v>
      </c>
      <c r="AE251" s="847">
        <f t="shared" si="280"/>
        <v>0</v>
      </c>
      <c r="AF251" s="847">
        <f t="shared" si="281"/>
        <v>0</v>
      </c>
      <c r="AG251" s="847">
        <f t="shared" si="268"/>
        <v>0</v>
      </c>
      <c r="AH251" s="847">
        <f t="shared" si="262"/>
        <v>0</v>
      </c>
      <c r="AI251" s="847">
        <f t="shared" si="271"/>
        <v>0</v>
      </c>
      <c r="AJ251" s="847">
        <f t="shared" si="282"/>
        <v>0</v>
      </c>
      <c r="AK251" s="839">
        <f t="shared" si="212"/>
        <v>0</v>
      </c>
      <c r="AL251" s="839">
        <f t="shared" si="230"/>
        <v>0</v>
      </c>
      <c r="AM251" s="839">
        <f t="shared" si="265"/>
        <v>0</v>
      </c>
      <c r="AN251" s="847">
        <f t="shared" si="283"/>
        <v>0</v>
      </c>
      <c r="AO251" s="848">
        <f t="shared" si="286"/>
        <v>0</v>
      </c>
      <c r="AQ251" s="863">
        <f t="shared" si="247"/>
        <v>64</v>
      </c>
      <c r="AR251" s="847">
        <f t="shared" si="231"/>
        <v>0</v>
      </c>
      <c r="AS251" s="847">
        <f t="shared" si="214"/>
        <v>0</v>
      </c>
      <c r="AT251" s="847">
        <f t="shared" si="215"/>
        <v>0</v>
      </c>
      <c r="AU251" s="847">
        <f t="shared" si="216"/>
        <v>0</v>
      </c>
      <c r="AV251" s="847">
        <f t="shared" si="217"/>
        <v>0</v>
      </c>
      <c r="AW251" s="847">
        <f t="shared" si="218"/>
        <v>0</v>
      </c>
      <c r="AX251" s="847">
        <f t="shared" si="219"/>
        <v>0</v>
      </c>
      <c r="AY251" s="839">
        <f t="shared" si="220"/>
        <v>0</v>
      </c>
      <c r="AZ251" s="839">
        <f t="shared" si="221"/>
        <v>0</v>
      </c>
      <c r="BA251" s="839">
        <f t="shared" si="222"/>
        <v>0</v>
      </c>
      <c r="BB251" s="847">
        <f t="shared" si="223"/>
        <v>0</v>
      </c>
      <c r="BC251" s="848">
        <f t="shared" si="223"/>
        <v>0</v>
      </c>
    </row>
    <row r="252" spans="1:55" x14ac:dyDescent="0.25">
      <c r="A252" s="863">
        <f t="shared" si="232"/>
        <v>65</v>
      </c>
      <c r="B252" s="847">
        <f t="shared" si="248"/>
        <v>0</v>
      </c>
      <c r="C252" s="847">
        <f t="shared" si="272"/>
        <v>0</v>
      </c>
      <c r="D252" s="847">
        <f t="shared" si="273"/>
        <v>0</v>
      </c>
      <c r="E252" s="847">
        <f t="shared" si="266"/>
        <v>0</v>
      </c>
      <c r="F252" s="847">
        <f t="shared" si="260"/>
        <v>0</v>
      </c>
      <c r="G252" s="847">
        <f t="shared" si="269"/>
        <v>0</v>
      </c>
      <c r="H252" s="847">
        <f t="shared" si="274"/>
        <v>0</v>
      </c>
      <c r="I252" s="839">
        <f t="shared" si="225"/>
        <v>0</v>
      </c>
      <c r="J252" s="839">
        <f t="shared" si="226"/>
        <v>0</v>
      </c>
      <c r="K252" s="839">
        <f t="shared" ref="K252:K259" si="287">IF(C$183*12&gt;A252,(C$183*12-A252)*C$184,0)</f>
        <v>0</v>
      </c>
      <c r="L252" s="847">
        <f t="shared" si="275"/>
        <v>0</v>
      </c>
      <c r="M252" s="848">
        <f t="shared" si="284"/>
        <v>0</v>
      </c>
      <c r="N252" s="841"/>
      <c r="O252" s="863">
        <f t="shared" si="237"/>
        <v>65</v>
      </c>
      <c r="P252" s="847">
        <f t="shared" si="251"/>
        <v>0</v>
      </c>
      <c r="Q252" s="847">
        <f t="shared" si="276"/>
        <v>0</v>
      </c>
      <c r="R252" s="847">
        <f t="shared" si="277"/>
        <v>0</v>
      </c>
      <c r="S252" s="847">
        <f t="shared" si="267"/>
        <v>0</v>
      </c>
      <c r="T252" s="847">
        <f t="shared" si="261"/>
        <v>0</v>
      </c>
      <c r="U252" s="847">
        <f t="shared" si="270"/>
        <v>0</v>
      </c>
      <c r="V252" s="847">
        <f t="shared" si="278"/>
        <v>0</v>
      </c>
      <c r="W252" s="839">
        <f t="shared" ref="W252:W259" si="288">IF(V252=0,0,SUM(U253:U264)+SUM(S253:S264))</f>
        <v>0</v>
      </c>
      <c r="X252" s="839">
        <f t="shared" si="228"/>
        <v>0</v>
      </c>
      <c r="Y252" s="839">
        <f t="shared" ref="Y252:Y259" si="289">IF(Q$183*12&gt;O252,(Q$183*12-O252)*Q$184,0)</f>
        <v>0</v>
      </c>
      <c r="Z252" s="847">
        <f t="shared" si="279"/>
        <v>0</v>
      </c>
      <c r="AA252" s="848">
        <f t="shared" si="285"/>
        <v>0</v>
      </c>
      <c r="AB252" s="868"/>
      <c r="AC252" s="863">
        <f t="shared" si="242"/>
        <v>65</v>
      </c>
      <c r="AD252" s="847">
        <f t="shared" si="254"/>
        <v>0</v>
      </c>
      <c r="AE252" s="847">
        <f t="shared" si="280"/>
        <v>0</v>
      </c>
      <c r="AF252" s="847">
        <f t="shared" si="281"/>
        <v>0</v>
      </c>
      <c r="AG252" s="847">
        <f t="shared" si="268"/>
        <v>0</v>
      </c>
      <c r="AH252" s="847">
        <f t="shared" si="262"/>
        <v>0</v>
      </c>
      <c r="AI252" s="847">
        <f t="shared" si="271"/>
        <v>0</v>
      </c>
      <c r="AJ252" s="847">
        <f t="shared" si="282"/>
        <v>0</v>
      </c>
      <c r="AK252" s="839">
        <f t="shared" ref="AK252:AK259" si="290">IF(AJ252=0,0,SUM(AI253:AI264)+SUM(AG253:AG264))</f>
        <v>0</v>
      </c>
      <c r="AL252" s="839">
        <f t="shared" si="230"/>
        <v>0</v>
      </c>
      <c r="AM252" s="839">
        <f t="shared" ref="AM252:AM259" si="291">IF(AE$183*12&gt;AC252,(AE$183*12-AC252)*AE$184,0)</f>
        <v>0</v>
      </c>
      <c r="AN252" s="847">
        <f t="shared" si="283"/>
        <v>0</v>
      </c>
      <c r="AO252" s="848">
        <f t="shared" si="286"/>
        <v>0</v>
      </c>
      <c r="AQ252" s="863">
        <f t="shared" si="247"/>
        <v>65</v>
      </c>
      <c r="AR252" s="847">
        <f t="shared" si="231"/>
        <v>0</v>
      </c>
      <c r="AS252" s="847">
        <f t="shared" ref="AS252:AS259" si="292">C252+Q252+AE252</f>
        <v>0</v>
      </c>
      <c r="AT252" s="847">
        <f t="shared" ref="AT252:AT259" si="293">D252+R252+AF252</f>
        <v>0</v>
      </c>
      <c r="AU252" s="847">
        <f t="shared" ref="AU252:AU259" si="294">E252+S252+AG252</f>
        <v>0</v>
      </c>
      <c r="AV252" s="847">
        <f t="shared" ref="AV252:AV259" si="295">F252+T252+AH252</f>
        <v>0</v>
      </c>
      <c r="AW252" s="847">
        <f t="shared" ref="AW252:AW259" si="296">G252+U252+AI252</f>
        <v>0</v>
      </c>
      <c r="AX252" s="847">
        <f t="shared" ref="AX252:AX259" si="297">H252+V252+AJ252</f>
        <v>0</v>
      </c>
      <c r="AY252" s="839">
        <f t="shared" ref="AY252:AY259" si="298">I252+W252+AK252</f>
        <v>0</v>
      </c>
      <c r="AZ252" s="839">
        <f t="shared" ref="AZ252:AZ259" si="299">J252+X252+AL252</f>
        <v>0</v>
      </c>
      <c r="BA252" s="839">
        <f t="shared" ref="BA252:BA259" si="300">K252+Y252+AM252</f>
        <v>0</v>
      </c>
      <c r="BB252" s="847">
        <f t="shared" ref="BB252:BC259" si="301">L252+Z252+AN252</f>
        <v>0</v>
      </c>
      <c r="BC252" s="848">
        <f t="shared" si="301"/>
        <v>0</v>
      </c>
    </row>
    <row r="253" spans="1:55" x14ac:dyDescent="0.25">
      <c r="A253" s="863">
        <f t="shared" si="232"/>
        <v>66</v>
      </c>
      <c r="B253" s="847">
        <f t="shared" si="248"/>
        <v>0</v>
      </c>
      <c r="C253" s="847">
        <f t="shared" si="272"/>
        <v>0</v>
      </c>
      <c r="D253" s="847">
        <f t="shared" si="273"/>
        <v>0</v>
      </c>
      <c r="E253" s="847">
        <f t="shared" ref="E253:E259" si="302">L252*C$181/12</f>
        <v>0</v>
      </c>
      <c r="F253" s="847">
        <f t="shared" si="260"/>
        <v>0</v>
      </c>
      <c r="G253" s="847">
        <f t="shared" si="269"/>
        <v>0</v>
      </c>
      <c r="H253" s="847">
        <f t="shared" si="274"/>
        <v>0</v>
      </c>
      <c r="I253" s="839">
        <f t="shared" ref="I253:I259" si="303">IF(H253=0,0,SUM(G254:G265)+SUM(E254:E265))</f>
        <v>0</v>
      </c>
      <c r="J253" s="839">
        <f t="shared" ref="J253:J259" si="304">IF(K253&gt;I253,K253-I253,0)</f>
        <v>0</v>
      </c>
      <c r="K253" s="839">
        <f t="shared" si="287"/>
        <v>0</v>
      </c>
      <c r="L253" s="847">
        <f t="shared" si="275"/>
        <v>0</v>
      </c>
      <c r="M253" s="848">
        <f t="shared" si="284"/>
        <v>0</v>
      </c>
      <c r="N253" s="841"/>
      <c r="O253" s="863">
        <f t="shared" si="237"/>
        <v>66</v>
      </c>
      <c r="P253" s="847">
        <f t="shared" si="251"/>
        <v>0</v>
      </c>
      <c r="Q253" s="847">
        <f t="shared" si="276"/>
        <v>0</v>
      </c>
      <c r="R253" s="847">
        <f t="shared" si="277"/>
        <v>0</v>
      </c>
      <c r="S253" s="847">
        <f t="shared" ref="S253:S259" si="305">Z252*Q$181/12</f>
        <v>0</v>
      </c>
      <c r="T253" s="847">
        <f t="shared" si="261"/>
        <v>0</v>
      </c>
      <c r="U253" s="847">
        <f t="shared" si="270"/>
        <v>0</v>
      </c>
      <c r="V253" s="847">
        <f t="shared" si="278"/>
        <v>0</v>
      </c>
      <c r="W253" s="839">
        <f t="shared" si="288"/>
        <v>0</v>
      </c>
      <c r="X253" s="839">
        <f t="shared" ref="X253:X259" si="306">IF(Y253&gt;W253,Y253-W253,0)</f>
        <v>0</v>
      </c>
      <c r="Y253" s="839">
        <f t="shared" si="289"/>
        <v>0</v>
      </c>
      <c r="Z253" s="847">
        <f t="shared" si="279"/>
        <v>0</v>
      </c>
      <c r="AA253" s="848">
        <f t="shared" si="285"/>
        <v>0</v>
      </c>
      <c r="AB253" s="868"/>
      <c r="AC253" s="863">
        <f t="shared" si="242"/>
        <v>66</v>
      </c>
      <c r="AD253" s="847">
        <f t="shared" si="254"/>
        <v>0</v>
      </c>
      <c r="AE253" s="847">
        <f t="shared" si="280"/>
        <v>0</v>
      </c>
      <c r="AF253" s="847">
        <f t="shared" si="281"/>
        <v>0</v>
      </c>
      <c r="AG253" s="847">
        <f t="shared" ref="AG253:AG259" si="307">AN252*AE$181/12</f>
        <v>0</v>
      </c>
      <c r="AH253" s="847">
        <f t="shared" si="262"/>
        <v>0</v>
      </c>
      <c r="AI253" s="847">
        <f t="shared" si="271"/>
        <v>0</v>
      </c>
      <c r="AJ253" s="847">
        <f t="shared" si="282"/>
        <v>0</v>
      </c>
      <c r="AK253" s="839">
        <f t="shared" si="290"/>
        <v>0</v>
      </c>
      <c r="AL253" s="839">
        <f t="shared" ref="AL253:AL259" si="308">IF(AM253&gt;AK253,AM253-AK253,0)</f>
        <v>0</v>
      </c>
      <c r="AM253" s="839">
        <f t="shared" si="291"/>
        <v>0</v>
      </c>
      <c r="AN253" s="847">
        <f t="shared" si="283"/>
        <v>0</v>
      </c>
      <c r="AO253" s="848">
        <f t="shared" si="286"/>
        <v>0</v>
      </c>
      <c r="AQ253" s="863">
        <f t="shared" si="247"/>
        <v>66</v>
      </c>
      <c r="AR253" s="847">
        <f t="shared" ref="AR253:AR259" si="309">B253+P253+AD253</f>
        <v>0</v>
      </c>
      <c r="AS253" s="847">
        <f t="shared" si="292"/>
        <v>0</v>
      </c>
      <c r="AT253" s="847">
        <f t="shared" si="293"/>
        <v>0</v>
      </c>
      <c r="AU253" s="847">
        <f t="shared" si="294"/>
        <v>0</v>
      </c>
      <c r="AV253" s="847">
        <f t="shared" si="295"/>
        <v>0</v>
      </c>
      <c r="AW253" s="847">
        <f t="shared" si="296"/>
        <v>0</v>
      </c>
      <c r="AX253" s="847">
        <f t="shared" si="297"/>
        <v>0</v>
      </c>
      <c r="AY253" s="839">
        <f t="shared" si="298"/>
        <v>0</v>
      </c>
      <c r="AZ253" s="839">
        <f t="shared" si="299"/>
        <v>0</v>
      </c>
      <c r="BA253" s="839">
        <f t="shared" si="300"/>
        <v>0</v>
      </c>
      <c r="BB253" s="847">
        <f t="shared" si="301"/>
        <v>0</v>
      </c>
      <c r="BC253" s="848">
        <f t="shared" si="301"/>
        <v>0</v>
      </c>
    </row>
    <row r="254" spans="1:55" x14ac:dyDescent="0.25">
      <c r="A254" s="863">
        <f t="shared" ref="A254:A259" si="310">A253+1</f>
        <v>67</v>
      </c>
      <c r="B254" s="847">
        <f t="shared" si="248"/>
        <v>0</v>
      </c>
      <c r="C254" s="847">
        <f t="shared" si="272"/>
        <v>0</v>
      </c>
      <c r="D254" s="847">
        <f t="shared" si="273"/>
        <v>0</v>
      </c>
      <c r="E254" s="847">
        <f t="shared" si="302"/>
        <v>0</v>
      </c>
      <c r="F254" s="847">
        <f t="shared" si="260"/>
        <v>0</v>
      </c>
      <c r="G254" s="847">
        <f t="shared" ref="G254:G259" si="311">IF(ABS(C$180-H253)&lt;1,0,G253*(1+C$181/12))</f>
        <v>0</v>
      </c>
      <c r="H254" s="847">
        <f t="shared" si="274"/>
        <v>0</v>
      </c>
      <c r="I254" s="839">
        <f t="shared" si="303"/>
        <v>0</v>
      </c>
      <c r="J254" s="839">
        <f t="shared" si="304"/>
        <v>0</v>
      </c>
      <c r="K254" s="839">
        <f t="shared" si="287"/>
        <v>0</v>
      </c>
      <c r="L254" s="847">
        <f t="shared" si="275"/>
        <v>0</v>
      </c>
      <c r="M254" s="848">
        <f t="shared" si="284"/>
        <v>0</v>
      </c>
      <c r="N254" s="841"/>
      <c r="O254" s="863">
        <f t="shared" ref="O254:O259" si="312">O253+1</f>
        <v>67</v>
      </c>
      <c r="P254" s="847">
        <f t="shared" si="251"/>
        <v>0</v>
      </c>
      <c r="Q254" s="847">
        <f t="shared" si="276"/>
        <v>0</v>
      </c>
      <c r="R254" s="847">
        <f t="shared" si="277"/>
        <v>0</v>
      </c>
      <c r="S254" s="847">
        <f t="shared" si="305"/>
        <v>0</v>
      </c>
      <c r="T254" s="847">
        <f t="shared" si="261"/>
        <v>0</v>
      </c>
      <c r="U254" s="847">
        <f t="shared" ref="U254:U259" si="313">IF(ABS(Q$180-V253)&lt;1,0,U253*(1+Q$181/12))</f>
        <v>0</v>
      </c>
      <c r="V254" s="847">
        <f t="shared" si="278"/>
        <v>0</v>
      </c>
      <c r="W254" s="839">
        <f t="shared" si="288"/>
        <v>0</v>
      </c>
      <c r="X254" s="839">
        <f t="shared" si="306"/>
        <v>0</v>
      </c>
      <c r="Y254" s="839">
        <f t="shared" si="289"/>
        <v>0</v>
      </c>
      <c r="Z254" s="847">
        <f t="shared" si="279"/>
        <v>0</v>
      </c>
      <c r="AA254" s="848">
        <f t="shared" si="285"/>
        <v>0</v>
      </c>
      <c r="AB254" s="868"/>
      <c r="AC254" s="863">
        <f t="shared" ref="AC254:AC259" si="314">AC253+1</f>
        <v>67</v>
      </c>
      <c r="AD254" s="847">
        <f t="shared" si="254"/>
        <v>0</v>
      </c>
      <c r="AE254" s="847">
        <f t="shared" si="280"/>
        <v>0</v>
      </c>
      <c r="AF254" s="847">
        <f t="shared" si="281"/>
        <v>0</v>
      </c>
      <c r="AG254" s="847">
        <f t="shared" si="307"/>
        <v>0</v>
      </c>
      <c r="AH254" s="847">
        <f t="shared" si="262"/>
        <v>0</v>
      </c>
      <c r="AI254" s="847">
        <f t="shared" ref="AI254:AI259" si="315">IF(ABS(AE$180-AJ253)&lt;1,0,AI253*(1+AE$181/12))</f>
        <v>0</v>
      </c>
      <c r="AJ254" s="847">
        <f t="shared" si="282"/>
        <v>0</v>
      </c>
      <c r="AK254" s="839">
        <f t="shared" si="290"/>
        <v>0</v>
      </c>
      <c r="AL254" s="839">
        <f t="shared" si="308"/>
        <v>0</v>
      </c>
      <c r="AM254" s="839">
        <f t="shared" si="291"/>
        <v>0</v>
      </c>
      <c r="AN254" s="847">
        <f t="shared" si="283"/>
        <v>0</v>
      </c>
      <c r="AO254" s="848">
        <f t="shared" si="286"/>
        <v>0</v>
      </c>
      <c r="AQ254" s="863">
        <f t="shared" ref="AQ254:AQ259" si="316">AQ253+1</f>
        <v>67</v>
      </c>
      <c r="AR254" s="847">
        <f t="shared" si="309"/>
        <v>0</v>
      </c>
      <c r="AS254" s="847">
        <f t="shared" si="292"/>
        <v>0</v>
      </c>
      <c r="AT254" s="847">
        <f t="shared" si="293"/>
        <v>0</v>
      </c>
      <c r="AU254" s="847">
        <f t="shared" si="294"/>
        <v>0</v>
      </c>
      <c r="AV254" s="847">
        <f t="shared" si="295"/>
        <v>0</v>
      </c>
      <c r="AW254" s="847">
        <f t="shared" si="296"/>
        <v>0</v>
      </c>
      <c r="AX254" s="847">
        <f t="shared" si="297"/>
        <v>0</v>
      </c>
      <c r="AY254" s="839">
        <f t="shared" si="298"/>
        <v>0</v>
      </c>
      <c r="AZ254" s="839">
        <f t="shared" si="299"/>
        <v>0</v>
      </c>
      <c r="BA254" s="839">
        <f t="shared" si="300"/>
        <v>0</v>
      </c>
      <c r="BB254" s="847">
        <f t="shared" si="301"/>
        <v>0</v>
      </c>
      <c r="BC254" s="848">
        <f t="shared" si="301"/>
        <v>0</v>
      </c>
    </row>
    <row r="255" spans="1:55" x14ac:dyDescent="0.25">
      <c r="A255" s="863">
        <f t="shared" si="310"/>
        <v>68</v>
      </c>
      <c r="B255" s="847">
        <f t="shared" si="248"/>
        <v>0</v>
      </c>
      <c r="C255" s="847">
        <f t="shared" si="272"/>
        <v>0</v>
      </c>
      <c r="D255" s="847">
        <f t="shared" si="273"/>
        <v>0</v>
      </c>
      <c r="E255" s="847">
        <f t="shared" si="302"/>
        <v>0</v>
      </c>
      <c r="F255" s="847">
        <f t="shared" si="260"/>
        <v>0</v>
      </c>
      <c r="G255" s="847">
        <f t="shared" si="311"/>
        <v>0</v>
      </c>
      <c r="H255" s="847">
        <f t="shared" si="274"/>
        <v>0</v>
      </c>
      <c r="I255" s="839">
        <f t="shared" si="303"/>
        <v>0</v>
      </c>
      <c r="J255" s="839">
        <f t="shared" si="304"/>
        <v>0</v>
      </c>
      <c r="K255" s="839">
        <f t="shared" si="287"/>
        <v>0</v>
      </c>
      <c r="L255" s="847">
        <f t="shared" si="275"/>
        <v>0</v>
      </c>
      <c r="M255" s="848">
        <f t="shared" si="284"/>
        <v>0</v>
      </c>
      <c r="N255" s="841"/>
      <c r="O255" s="863">
        <f t="shared" si="312"/>
        <v>68</v>
      </c>
      <c r="P255" s="847">
        <f t="shared" si="251"/>
        <v>0</v>
      </c>
      <c r="Q255" s="847">
        <f t="shared" si="276"/>
        <v>0</v>
      </c>
      <c r="R255" s="847">
        <f t="shared" si="277"/>
        <v>0</v>
      </c>
      <c r="S255" s="847">
        <f t="shared" si="305"/>
        <v>0</v>
      </c>
      <c r="T255" s="847">
        <f t="shared" si="261"/>
        <v>0</v>
      </c>
      <c r="U255" s="847">
        <f t="shared" si="313"/>
        <v>0</v>
      </c>
      <c r="V255" s="847">
        <f t="shared" si="278"/>
        <v>0</v>
      </c>
      <c r="W255" s="839">
        <f t="shared" si="288"/>
        <v>0</v>
      </c>
      <c r="X255" s="839">
        <f t="shared" si="306"/>
        <v>0</v>
      </c>
      <c r="Y255" s="839">
        <f t="shared" si="289"/>
        <v>0</v>
      </c>
      <c r="Z255" s="847">
        <f t="shared" si="279"/>
        <v>0</v>
      </c>
      <c r="AA255" s="848">
        <f t="shared" si="285"/>
        <v>0</v>
      </c>
      <c r="AB255" s="868"/>
      <c r="AC255" s="863">
        <f t="shared" si="314"/>
        <v>68</v>
      </c>
      <c r="AD255" s="847">
        <f t="shared" si="254"/>
        <v>0</v>
      </c>
      <c r="AE255" s="847">
        <f t="shared" si="280"/>
        <v>0</v>
      </c>
      <c r="AF255" s="847">
        <f t="shared" si="281"/>
        <v>0</v>
      </c>
      <c r="AG255" s="847">
        <f t="shared" si="307"/>
        <v>0</v>
      </c>
      <c r="AH255" s="847">
        <f t="shared" si="262"/>
        <v>0</v>
      </c>
      <c r="AI255" s="847">
        <f t="shared" si="315"/>
        <v>0</v>
      </c>
      <c r="AJ255" s="847">
        <f t="shared" si="282"/>
        <v>0</v>
      </c>
      <c r="AK255" s="839">
        <f t="shared" si="290"/>
        <v>0</v>
      </c>
      <c r="AL255" s="839">
        <f t="shared" si="308"/>
        <v>0</v>
      </c>
      <c r="AM255" s="839">
        <f t="shared" si="291"/>
        <v>0</v>
      </c>
      <c r="AN255" s="847">
        <f t="shared" si="283"/>
        <v>0</v>
      </c>
      <c r="AO255" s="848">
        <f t="shared" si="286"/>
        <v>0</v>
      </c>
      <c r="AQ255" s="863">
        <f t="shared" si="316"/>
        <v>68</v>
      </c>
      <c r="AR255" s="847">
        <f t="shared" si="309"/>
        <v>0</v>
      </c>
      <c r="AS255" s="847">
        <f t="shared" si="292"/>
        <v>0</v>
      </c>
      <c r="AT255" s="847">
        <f t="shared" si="293"/>
        <v>0</v>
      </c>
      <c r="AU255" s="847">
        <f t="shared" si="294"/>
        <v>0</v>
      </c>
      <c r="AV255" s="847">
        <f t="shared" si="295"/>
        <v>0</v>
      </c>
      <c r="AW255" s="847">
        <f t="shared" si="296"/>
        <v>0</v>
      </c>
      <c r="AX255" s="847">
        <f t="shared" si="297"/>
        <v>0</v>
      </c>
      <c r="AY255" s="839">
        <f t="shared" si="298"/>
        <v>0</v>
      </c>
      <c r="AZ255" s="839">
        <f t="shared" si="299"/>
        <v>0</v>
      </c>
      <c r="BA255" s="839">
        <f t="shared" si="300"/>
        <v>0</v>
      </c>
      <c r="BB255" s="847">
        <f t="shared" si="301"/>
        <v>0</v>
      </c>
      <c r="BC255" s="848">
        <f t="shared" si="301"/>
        <v>0</v>
      </c>
    </row>
    <row r="256" spans="1:55" x14ac:dyDescent="0.25">
      <c r="A256" s="863">
        <f t="shared" si="310"/>
        <v>69</v>
      </c>
      <c r="B256" s="847">
        <f t="shared" si="248"/>
        <v>0</v>
      </c>
      <c r="C256" s="847">
        <f t="shared" si="272"/>
        <v>0</v>
      </c>
      <c r="D256" s="847">
        <f t="shared" si="273"/>
        <v>0</v>
      </c>
      <c r="E256" s="847">
        <f t="shared" si="302"/>
        <v>0</v>
      </c>
      <c r="F256" s="847">
        <f t="shared" si="260"/>
        <v>0</v>
      </c>
      <c r="G256" s="847">
        <f t="shared" si="311"/>
        <v>0</v>
      </c>
      <c r="H256" s="847">
        <f t="shared" si="274"/>
        <v>0</v>
      </c>
      <c r="I256" s="839">
        <f t="shared" si="303"/>
        <v>0</v>
      </c>
      <c r="J256" s="839">
        <f t="shared" si="304"/>
        <v>0</v>
      </c>
      <c r="K256" s="839">
        <f t="shared" si="287"/>
        <v>0</v>
      </c>
      <c r="L256" s="847">
        <f t="shared" si="275"/>
        <v>0</v>
      </c>
      <c r="M256" s="848">
        <f t="shared" si="284"/>
        <v>0</v>
      </c>
      <c r="N256" s="841"/>
      <c r="O256" s="863">
        <f t="shared" si="312"/>
        <v>69</v>
      </c>
      <c r="P256" s="847">
        <f t="shared" si="251"/>
        <v>0</v>
      </c>
      <c r="Q256" s="847">
        <f t="shared" si="276"/>
        <v>0</v>
      </c>
      <c r="R256" s="847">
        <f t="shared" si="277"/>
        <v>0</v>
      </c>
      <c r="S256" s="847">
        <f t="shared" si="305"/>
        <v>0</v>
      </c>
      <c r="T256" s="847">
        <f t="shared" si="261"/>
        <v>0</v>
      </c>
      <c r="U256" s="847">
        <f t="shared" si="313"/>
        <v>0</v>
      </c>
      <c r="V256" s="847">
        <f t="shared" si="278"/>
        <v>0</v>
      </c>
      <c r="W256" s="839">
        <f t="shared" si="288"/>
        <v>0</v>
      </c>
      <c r="X256" s="839">
        <f t="shared" si="306"/>
        <v>0</v>
      </c>
      <c r="Y256" s="839">
        <f t="shared" si="289"/>
        <v>0</v>
      </c>
      <c r="Z256" s="847">
        <f t="shared" si="279"/>
        <v>0</v>
      </c>
      <c r="AA256" s="848">
        <f t="shared" si="285"/>
        <v>0</v>
      </c>
      <c r="AB256" s="868"/>
      <c r="AC256" s="863">
        <f t="shared" si="314"/>
        <v>69</v>
      </c>
      <c r="AD256" s="847">
        <f t="shared" si="254"/>
        <v>0</v>
      </c>
      <c r="AE256" s="847">
        <f t="shared" si="280"/>
        <v>0</v>
      </c>
      <c r="AF256" s="847">
        <f t="shared" si="281"/>
        <v>0</v>
      </c>
      <c r="AG256" s="847">
        <f t="shared" si="307"/>
        <v>0</v>
      </c>
      <c r="AH256" s="847">
        <f t="shared" si="262"/>
        <v>0</v>
      </c>
      <c r="AI256" s="847">
        <f t="shared" si="315"/>
        <v>0</v>
      </c>
      <c r="AJ256" s="847">
        <f t="shared" si="282"/>
        <v>0</v>
      </c>
      <c r="AK256" s="839">
        <f t="shared" si="290"/>
        <v>0</v>
      </c>
      <c r="AL256" s="839">
        <f t="shared" si="308"/>
        <v>0</v>
      </c>
      <c r="AM256" s="839">
        <f t="shared" si="291"/>
        <v>0</v>
      </c>
      <c r="AN256" s="847">
        <f t="shared" si="283"/>
        <v>0</v>
      </c>
      <c r="AO256" s="848">
        <f t="shared" si="286"/>
        <v>0</v>
      </c>
      <c r="AQ256" s="863">
        <f t="shared" si="316"/>
        <v>69</v>
      </c>
      <c r="AR256" s="847">
        <f t="shared" si="309"/>
        <v>0</v>
      </c>
      <c r="AS256" s="847">
        <f t="shared" si="292"/>
        <v>0</v>
      </c>
      <c r="AT256" s="847">
        <f t="shared" si="293"/>
        <v>0</v>
      </c>
      <c r="AU256" s="847">
        <f t="shared" si="294"/>
        <v>0</v>
      </c>
      <c r="AV256" s="847">
        <f t="shared" si="295"/>
        <v>0</v>
      </c>
      <c r="AW256" s="847">
        <f t="shared" si="296"/>
        <v>0</v>
      </c>
      <c r="AX256" s="847">
        <f t="shared" si="297"/>
        <v>0</v>
      </c>
      <c r="AY256" s="839">
        <f t="shared" si="298"/>
        <v>0</v>
      </c>
      <c r="AZ256" s="839">
        <f t="shared" si="299"/>
        <v>0</v>
      </c>
      <c r="BA256" s="839">
        <f t="shared" si="300"/>
        <v>0</v>
      </c>
      <c r="BB256" s="847">
        <f t="shared" si="301"/>
        <v>0</v>
      </c>
      <c r="BC256" s="848">
        <f t="shared" si="301"/>
        <v>0</v>
      </c>
    </row>
    <row r="257" spans="1:55" x14ac:dyDescent="0.25">
      <c r="A257" s="863">
        <f t="shared" si="310"/>
        <v>70</v>
      </c>
      <c r="B257" s="847">
        <f>IF(E257&lt;0.05,0,B256+G257+E257)</f>
        <v>0</v>
      </c>
      <c r="C257" s="847">
        <f t="shared" si="272"/>
        <v>0</v>
      </c>
      <c r="D257" s="847">
        <f t="shared" si="273"/>
        <v>0</v>
      </c>
      <c r="E257" s="847">
        <f t="shared" si="302"/>
        <v>0</v>
      </c>
      <c r="F257" s="847">
        <f t="shared" si="260"/>
        <v>0</v>
      </c>
      <c r="G257" s="847">
        <f t="shared" si="311"/>
        <v>0</v>
      </c>
      <c r="H257" s="847">
        <f t="shared" si="274"/>
        <v>0</v>
      </c>
      <c r="I257" s="839">
        <f t="shared" si="303"/>
        <v>0</v>
      </c>
      <c r="J257" s="839">
        <f t="shared" si="304"/>
        <v>0</v>
      </c>
      <c r="K257" s="839">
        <f t="shared" si="287"/>
        <v>0</v>
      </c>
      <c r="L257" s="847">
        <f t="shared" si="275"/>
        <v>0</v>
      </c>
      <c r="M257" s="848">
        <f t="shared" si="284"/>
        <v>0</v>
      </c>
      <c r="N257" s="841"/>
      <c r="O257" s="863">
        <f t="shared" si="312"/>
        <v>70</v>
      </c>
      <c r="P257" s="847">
        <f>IF(S257&lt;0.05,0,P256+U257+S257)</f>
        <v>0</v>
      </c>
      <c r="Q257" s="847">
        <f t="shared" si="276"/>
        <v>0</v>
      </c>
      <c r="R257" s="847">
        <f t="shared" si="277"/>
        <v>0</v>
      </c>
      <c r="S257" s="847">
        <f t="shared" si="305"/>
        <v>0</v>
      </c>
      <c r="T257" s="847">
        <f t="shared" si="261"/>
        <v>0</v>
      </c>
      <c r="U257" s="847">
        <f t="shared" si="313"/>
        <v>0</v>
      </c>
      <c r="V257" s="847">
        <f t="shared" si="278"/>
        <v>0</v>
      </c>
      <c r="W257" s="839">
        <f t="shared" si="288"/>
        <v>0</v>
      </c>
      <c r="X257" s="839">
        <f t="shared" si="306"/>
        <v>0</v>
      </c>
      <c r="Y257" s="839">
        <f t="shared" si="289"/>
        <v>0</v>
      </c>
      <c r="Z257" s="847">
        <f t="shared" si="279"/>
        <v>0</v>
      </c>
      <c r="AA257" s="848">
        <f t="shared" si="285"/>
        <v>0</v>
      </c>
      <c r="AB257" s="868"/>
      <c r="AC257" s="863">
        <f t="shared" si="314"/>
        <v>70</v>
      </c>
      <c r="AD257" s="847">
        <f>IF(AG257&lt;0.05,0,AD256+AI257+AG257)</f>
        <v>0</v>
      </c>
      <c r="AE257" s="847">
        <f t="shared" si="280"/>
        <v>0</v>
      </c>
      <c r="AF257" s="847">
        <f t="shared" si="281"/>
        <v>0</v>
      </c>
      <c r="AG257" s="847">
        <f t="shared" si="307"/>
        <v>0</v>
      </c>
      <c r="AH257" s="847">
        <f t="shared" si="262"/>
        <v>0</v>
      </c>
      <c r="AI257" s="847">
        <f t="shared" si="315"/>
        <v>0</v>
      </c>
      <c r="AJ257" s="847">
        <f t="shared" si="282"/>
        <v>0</v>
      </c>
      <c r="AK257" s="839">
        <f t="shared" si="290"/>
        <v>0</v>
      </c>
      <c r="AL257" s="839">
        <f t="shared" si="308"/>
        <v>0</v>
      </c>
      <c r="AM257" s="839">
        <f t="shared" si="291"/>
        <v>0</v>
      </c>
      <c r="AN257" s="847">
        <f t="shared" si="283"/>
        <v>0</v>
      </c>
      <c r="AO257" s="848">
        <f t="shared" si="286"/>
        <v>0</v>
      </c>
      <c r="AQ257" s="863">
        <f t="shared" si="316"/>
        <v>70</v>
      </c>
      <c r="AR257" s="847">
        <f t="shared" si="309"/>
        <v>0</v>
      </c>
      <c r="AS257" s="847">
        <f t="shared" si="292"/>
        <v>0</v>
      </c>
      <c r="AT257" s="847">
        <f t="shared" si="293"/>
        <v>0</v>
      </c>
      <c r="AU257" s="847">
        <f t="shared" si="294"/>
        <v>0</v>
      </c>
      <c r="AV257" s="847">
        <f t="shared" si="295"/>
        <v>0</v>
      </c>
      <c r="AW257" s="847">
        <f t="shared" si="296"/>
        <v>0</v>
      </c>
      <c r="AX257" s="847">
        <f t="shared" si="297"/>
        <v>0</v>
      </c>
      <c r="AY257" s="839">
        <f t="shared" si="298"/>
        <v>0</v>
      </c>
      <c r="AZ257" s="839">
        <f t="shared" si="299"/>
        <v>0</v>
      </c>
      <c r="BA257" s="839">
        <f t="shared" si="300"/>
        <v>0</v>
      </c>
      <c r="BB257" s="847">
        <f t="shared" si="301"/>
        <v>0</v>
      </c>
      <c r="BC257" s="848">
        <f t="shared" si="301"/>
        <v>0</v>
      </c>
    </row>
    <row r="258" spans="1:55" x14ac:dyDescent="0.25">
      <c r="A258" s="863">
        <f t="shared" si="310"/>
        <v>71</v>
      </c>
      <c r="B258" s="847">
        <f>IF(E258&lt;0.05,0,B257+G258+E258)</f>
        <v>0</v>
      </c>
      <c r="C258" s="847">
        <f t="shared" si="272"/>
        <v>0</v>
      </c>
      <c r="D258" s="847">
        <f t="shared" si="273"/>
        <v>0</v>
      </c>
      <c r="E258" s="847">
        <f t="shared" si="302"/>
        <v>0</v>
      </c>
      <c r="F258" s="847">
        <f>IF(L258=0,0,E258+F257)</f>
        <v>0</v>
      </c>
      <c r="G258" s="847">
        <f t="shared" si="311"/>
        <v>0</v>
      </c>
      <c r="H258" s="847">
        <f t="shared" si="274"/>
        <v>0</v>
      </c>
      <c r="I258" s="839">
        <f t="shared" si="303"/>
        <v>0</v>
      </c>
      <c r="J258" s="839">
        <f t="shared" si="304"/>
        <v>0</v>
      </c>
      <c r="K258" s="839">
        <f t="shared" si="287"/>
        <v>0</v>
      </c>
      <c r="L258" s="847">
        <f t="shared" si="275"/>
        <v>0</v>
      </c>
      <c r="M258" s="848">
        <f t="shared" si="284"/>
        <v>0</v>
      </c>
      <c r="N258" s="841"/>
      <c r="O258" s="863">
        <f t="shared" si="312"/>
        <v>71</v>
      </c>
      <c r="P258" s="847">
        <f>IF(S258&lt;0.05,0,P257+U258+S258)</f>
        <v>0</v>
      </c>
      <c r="Q258" s="847">
        <f t="shared" si="276"/>
        <v>0</v>
      </c>
      <c r="R258" s="847">
        <f t="shared" si="277"/>
        <v>0</v>
      </c>
      <c r="S258" s="847">
        <f t="shared" si="305"/>
        <v>0</v>
      </c>
      <c r="T258" s="847">
        <f>IF(Z258=0,0,S258+T257)</f>
        <v>0</v>
      </c>
      <c r="U258" s="847">
        <f t="shared" si="313"/>
        <v>0</v>
      </c>
      <c r="V258" s="847">
        <f t="shared" si="278"/>
        <v>0</v>
      </c>
      <c r="W258" s="839">
        <f t="shared" si="288"/>
        <v>0</v>
      </c>
      <c r="X258" s="839">
        <f t="shared" si="306"/>
        <v>0</v>
      </c>
      <c r="Y258" s="839">
        <f t="shared" si="289"/>
        <v>0</v>
      </c>
      <c r="Z258" s="847">
        <f t="shared" si="279"/>
        <v>0</v>
      </c>
      <c r="AA258" s="848">
        <f t="shared" si="285"/>
        <v>0</v>
      </c>
      <c r="AB258" s="868"/>
      <c r="AC258" s="863">
        <f t="shared" si="314"/>
        <v>71</v>
      </c>
      <c r="AD258" s="847">
        <f>IF(AG258&lt;0.05,0,AD257+AI258+AG258)</f>
        <v>0</v>
      </c>
      <c r="AE258" s="847">
        <f t="shared" si="280"/>
        <v>0</v>
      </c>
      <c r="AF258" s="847">
        <f t="shared" si="281"/>
        <v>0</v>
      </c>
      <c r="AG258" s="847">
        <f t="shared" si="307"/>
        <v>0</v>
      </c>
      <c r="AH258" s="847">
        <f>IF(AN258=0,0,AG258+AH257)</f>
        <v>0</v>
      </c>
      <c r="AI258" s="847">
        <f t="shared" si="315"/>
        <v>0</v>
      </c>
      <c r="AJ258" s="847">
        <f t="shared" si="282"/>
        <v>0</v>
      </c>
      <c r="AK258" s="839">
        <f t="shared" si="290"/>
        <v>0</v>
      </c>
      <c r="AL258" s="839">
        <f t="shared" si="308"/>
        <v>0</v>
      </c>
      <c r="AM258" s="839">
        <f t="shared" si="291"/>
        <v>0</v>
      </c>
      <c r="AN258" s="847">
        <f t="shared" si="283"/>
        <v>0</v>
      </c>
      <c r="AO258" s="848">
        <f t="shared" si="286"/>
        <v>0</v>
      </c>
      <c r="AQ258" s="863">
        <f t="shared" si="316"/>
        <v>71</v>
      </c>
      <c r="AR258" s="847">
        <f t="shared" si="309"/>
        <v>0</v>
      </c>
      <c r="AS258" s="847">
        <f t="shared" si="292"/>
        <v>0</v>
      </c>
      <c r="AT258" s="847">
        <f t="shared" si="293"/>
        <v>0</v>
      </c>
      <c r="AU258" s="847">
        <f t="shared" si="294"/>
        <v>0</v>
      </c>
      <c r="AV258" s="847">
        <f t="shared" si="295"/>
        <v>0</v>
      </c>
      <c r="AW258" s="847">
        <f t="shared" si="296"/>
        <v>0</v>
      </c>
      <c r="AX258" s="847">
        <f t="shared" si="297"/>
        <v>0</v>
      </c>
      <c r="AY258" s="839">
        <f t="shared" si="298"/>
        <v>0</v>
      </c>
      <c r="AZ258" s="839">
        <f t="shared" si="299"/>
        <v>0</v>
      </c>
      <c r="BA258" s="839">
        <f t="shared" si="300"/>
        <v>0</v>
      </c>
      <c r="BB258" s="847">
        <f t="shared" si="301"/>
        <v>0</v>
      </c>
      <c r="BC258" s="848">
        <f t="shared" si="301"/>
        <v>0</v>
      </c>
    </row>
    <row r="259" spans="1:55" x14ac:dyDescent="0.25">
      <c r="A259" s="863">
        <f t="shared" si="310"/>
        <v>72</v>
      </c>
      <c r="B259" s="853">
        <f>IF(E259&lt;0.05,0,B258+G259+E259)</f>
        <v>0</v>
      </c>
      <c r="C259" s="847">
        <f t="shared" si="272"/>
        <v>0</v>
      </c>
      <c r="D259" s="847">
        <f t="shared" si="273"/>
        <v>0</v>
      </c>
      <c r="E259" s="853">
        <f t="shared" si="302"/>
        <v>0</v>
      </c>
      <c r="F259" s="853">
        <f>IF(L259=0,0,E259+F258)</f>
        <v>0</v>
      </c>
      <c r="G259" s="847">
        <f t="shared" si="311"/>
        <v>0</v>
      </c>
      <c r="H259" s="853">
        <f t="shared" si="274"/>
        <v>0</v>
      </c>
      <c r="I259" s="839">
        <f t="shared" si="303"/>
        <v>0</v>
      </c>
      <c r="J259" s="839">
        <f t="shared" si="304"/>
        <v>0</v>
      </c>
      <c r="K259" s="839">
        <f t="shared" si="287"/>
        <v>0</v>
      </c>
      <c r="L259" s="854">
        <f t="shared" si="275"/>
        <v>0</v>
      </c>
      <c r="M259" s="855">
        <f t="shared" si="284"/>
        <v>0</v>
      </c>
      <c r="N259" s="841"/>
      <c r="O259" s="863">
        <f t="shared" si="312"/>
        <v>72</v>
      </c>
      <c r="P259" s="853">
        <f>IF(S259&lt;0.05,0,P258+U259+S259)</f>
        <v>0</v>
      </c>
      <c r="Q259" s="847">
        <f t="shared" si="276"/>
        <v>0</v>
      </c>
      <c r="R259" s="847">
        <f t="shared" si="277"/>
        <v>0</v>
      </c>
      <c r="S259" s="853">
        <f t="shared" si="305"/>
        <v>0</v>
      </c>
      <c r="T259" s="853">
        <f>IF(Z259=0,0,S259+T258)</f>
        <v>0</v>
      </c>
      <c r="U259" s="847">
        <f t="shared" si="313"/>
        <v>0</v>
      </c>
      <c r="V259" s="853">
        <f t="shared" si="278"/>
        <v>0</v>
      </c>
      <c r="W259" s="839">
        <f t="shared" si="288"/>
        <v>0</v>
      </c>
      <c r="X259" s="839">
        <f t="shared" si="306"/>
        <v>0</v>
      </c>
      <c r="Y259" s="839">
        <f t="shared" si="289"/>
        <v>0</v>
      </c>
      <c r="Z259" s="854">
        <f t="shared" si="279"/>
        <v>0</v>
      </c>
      <c r="AA259" s="855">
        <f t="shared" si="285"/>
        <v>0</v>
      </c>
      <c r="AB259" s="868"/>
      <c r="AC259" s="863">
        <f t="shared" si="314"/>
        <v>72</v>
      </c>
      <c r="AD259" s="853">
        <f>IF(AG259&lt;0.05,0,AD258+AI259+AG259)</f>
        <v>0</v>
      </c>
      <c r="AE259" s="847">
        <f t="shared" si="280"/>
        <v>0</v>
      </c>
      <c r="AF259" s="847">
        <f t="shared" si="281"/>
        <v>0</v>
      </c>
      <c r="AG259" s="853">
        <f t="shared" si="307"/>
        <v>0</v>
      </c>
      <c r="AH259" s="853">
        <f>IF(AN259=0,0,AG259+AH258)</f>
        <v>0</v>
      </c>
      <c r="AI259" s="847">
        <f t="shared" si="315"/>
        <v>0</v>
      </c>
      <c r="AJ259" s="853">
        <f t="shared" si="282"/>
        <v>0</v>
      </c>
      <c r="AK259" s="839">
        <f t="shared" si="290"/>
        <v>0</v>
      </c>
      <c r="AL259" s="839">
        <f t="shared" si="308"/>
        <v>0</v>
      </c>
      <c r="AM259" s="839">
        <f t="shared" si="291"/>
        <v>0</v>
      </c>
      <c r="AN259" s="854">
        <f t="shared" si="283"/>
        <v>0</v>
      </c>
      <c r="AO259" s="855">
        <f t="shared" si="286"/>
        <v>0</v>
      </c>
      <c r="AQ259" s="863">
        <f t="shared" si="316"/>
        <v>72</v>
      </c>
      <c r="AR259" s="853">
        <f t="shared" si="309"/>
        <v>0</v>
      </c>
      <c r="AS259" s="847">
        <f t="shared" si="292"/>
        <v>0</v>
      </c>
      <c r="AT259" s="847">
        <f t="shared" si="293"/>
        <v>0</v>
      </c>
      <c r="AU259" s="853">
        <f t="shared" si="294"/>
        <v>0</v>
      </c>
      <c r="AV259" s="853">
        <f t="shared" si="295"/>
        <v>0</v>
      </c>
      <c r="AW259" s="847">
        <f t="shared" si="296"/>
        <v>0</v>
      </c>
      <c r="AX259" s="853">
        <f t="shared" si="297"/>
        <v>0</v>
      </c>
      <c r="AY259" s="839">
        <f t="shared" si="298"/>
        <v>0</v>
      </c>
      <c r="AZ259" s="839">
        <f t="shared" si="299"/>
        <v>0</v>
      </c>
      <c r="BA259" s="839">
        <f t="shared" si="300"/>
        <v>0</v>
      </c>
      <c r="BB259" s="854">
        <f t="shared" si="301"/>
        <v>0</v>
      </c>
      <c r="BC259" s="855">
        <f t="shared" si="301"/>
        <v>0</v>
      </c>
    </row>
    <row r="260" spans="1:55" ht="13" x14ac:dyDescent="0.25">
      <c r="A260" s="869"/>
      <c r="B260" s="870">
        <f>E260+G260</f>
        <v>0</v>
      </c>
      <c r="C260" s="870">
        <f>SUM(C188:C259)</f>
        <v>0</v>
      </c>
      <c r="D260" s="870"/>
      <c r="E260" s="870">
        <f>SUM(E188:E259)</f>
        <v>0</v>
      </c>
      <c r="F260" s="870"/>
      <c r="G260" s="870">
        <f>SUM(G188:G259)</f>
        <v>0</v>
      </c>
      <c r="H260" s="870"/>
      <c r="I260" s="871"/>
      <c r="J260" s="871"/>
      <c r="K260" s="871"/>
      <c r="L260" s="870"/>
      <c r="M260" s="872"/>
      <c r="N260" s="860"/>
      <c r="O260" s="869"/>
      <c r="P260" s="870">
        <f>S260+U260</f>
        <v>0</v>
      </c>
      <c r="Q260" s="870">
        <f>SUM(Q188:Q259)</f>
        <v>0</v>
      </c>
      <c r="R260" s="870"/>
      <c r="S260" s="870">
        <f>SUM(S188:S259)</f>
        <v>0</v>
      </c>
      <c r="T260" s="870"/>
      <c r="U260" s="870">
        <f>SUM(U188:U259)</f>
        <v>0</v>
      </c>
      <c r="V260" s="870"/>
      <c r="W260" s="871"/>
      <c r="X260" s="871"/>
      <c r="Y260" s="871"/>
      <c r="Z260" s="870"/>
      <c r="AA260" s="872"/>
      <c r="AB260" s="873"/>
      <c r="AC260" s="874"/>
      <c r="AD260" s="870">
        <f>AG260+AI260</f>
        <v>0</v>
      </c>
      <c r="AE260" s="870">
        <f>SUM(AE188:AE259)</f>
        <v>0</v>
      </c>
      <c r="AF260" s="870"/>
      <c r="AG260" s="870">
        <f>SUM(AG188:AG259)</f>
        <v>0</v>
      </c>
      <c r="AH260" s="870"/>
      <c r="AI260" s="870">
        <f>SUM(AI188:AI259)</f>
        <v>0</v>
      </c>
      <c r="AJ260" s="870"/>
      <c r="AK260" s="871"/>
      <c r="AL260" s="871"/>
      <c r="AM260" s="871"/>
      <c r="AN260" s="870"/>
      <c r="AO260" s="872"/>
      <c r="AQ260" s="869"/>
      <c r="AR260" s="870">
        <f>AU260+AW260</f>
        <v>0</v>
      </c>
      <c r="AS260" s="870">
        <f>SUM(AS188:AS259)</f>
        <v>0</v>
      </c>
      <c r="AT260" s="870"/>
      <c r="AU260" s="870">
        <f>SUM(AU188:AU259)</f>
        <v>0</v>
      </c>
      <c r="AV260" s="870"/>
      <c r="AW260" s="870">
        <f>SUM(AW188:AW259)</f>
        <v>0</v>
      </c>
      <c r="AX260" s="870"/>
      <c r="AY260" s="871"/>
      <c r="AZ260" s="871"/>
      <c r="BA260" s="871"/>
      <c r="BB260" s="870"/>
      <c r="BC260" s="872"/>
    </row>
  </sheetData>
  <sheetProtection password="CC2F" sheet="1" objects="1" scenarios="1"/>
  <mergeCells count="277">
    <mergeCell ref="AO186:AO187"/>
    <mergeCell ref="AQ186:AQ187"/>
    <mergeCell ref="AR186:AR187"/>
    <mergeCell ref="AS186:AS187"/>
    <mergeCell ref="AZ186:AZ187"/>
    <mergeCell ref="BA186:BA187"/>
    <mergeCell ref="BB186:BB187"/>
    <mergeCell ref="BC186:BC187"/>
    <mergeCell ref="AT186:AT187"/>
    <mergeCell ref="AU186:AU187"/>
    <mergeCell ref="AV186:AV187"/>
    <mergeCell ref="AW186:AW187"/>
    <mergeCell ref="AX186:AX187"/>
    <mergeCell ref="AY186:AY187"/>
    <mergeCell ref="AF186:AF187"/>
    <mergeCell ref="AG186:AG187"/>
    <mergeCell ref="AH186:AH187"/>
    <mergeCell ref="AI186:AI187"/>
    <mergeCell ref="AJ186:AJ187"/>
    <mergeCell ref="AK186:AK187"/>
    <mergeCell ref="AL186:AL187"/>
    <mergeCell ref="AM186:AM187"/>
    <mergeCell ref="AN186:AN187"/>
    <mergeCell ref="V186:V187"/>
    <mergeCell ref="W186:W187"/>
    <mergeCell ref="X186:X187"/>
    <mergeCell ref="Y186:Y187"/>
    <mergeCell ref="Z186:Z187"/>
    <mergeCell ref="AA186:AA187"/>
    <mergeCell ref="AC186:AC187"/>
    <mergeCell ref="AD186:AD187"/>
    <mergeCell ref="AE186:AE187"/>
    <mergeCell ref="A184:B184"/>
    <mergeCell ref="O184:P184"/>
    <mergeCell ref="AC184:AD184"/>
    <mergeCell ref="AQ184:AR184"/>
    <mergeCell ref="A186:A187"/>
    <mergeCell ref="B186:B187"/>
    <mergeCell ref="C186:C187"/>
    <mergeCell ref="D186:D187"/>
    <mergeCell ref="E186:E187"/>
    <mergeCell ref="F186:F187"/>
    <mergeCell ref="G186:G187"/>
    <mergeCell ref="H186:H187"/>
    <mergeCell ref="I186:I187"/>
    <mergeCell ref="J186:J187"/>
    <mergeCell ref="K186:K187"/>
    <mergeCell ref="L186:L187"/>
    <mergeCell ref="M186:M187"/>
    <mergeCell ref="O186:O187"/>
    <mergeCell ref="P186:P187"/>
    <mergeCell ref="Q186:Q187"/>
    <mergeCell ref="R186:R187"/>
    <mergeCell ref="S186:S187"/>
    <mergeCell ref="T186:T187"/>
    <mergeCell ref="U186:U187"/>
    <mergeCell ref="A181:B181"/>
    <mergeCell ref="O181:P181"/>
    <mergeCell ref="AC181:AD181"/>
    <mergeCell ref="AQ181:AR181"/>
    <mergeCell ref="A182:B182"/>
    <mergeCell ref="O182:P182"/>
    <mergeCell ref="AC182:AD182"/>
    <mergeCell ref="AQ182:AR182"/>
    <mergeCell ref="A183:B183"/>
    <mergeCell ref="O183:P183"/>
    <mergeCell ref="AC183:AD183"/>
    <mergeCell ref="AQ183:AR183"/>
    <mergeCell ref="A179:C179"/>
    <mergeCell ref="E179:G179"/>
    <mergeCell ref="O179:Q179"/>
    <mergeCell ref="S179:U179"/>
    <mergeCell ref="AC179:AE179"/>
    <mergeCell ref="AG179:AI179"/>
    <mergeCell ref="AQ179:AS179"/>
    <mergeCell ref="AU179:AW179"/>
    <mergeCell ref="A180:B180"/>
    <mergeCell ref="E180:F180"/>
    <mergeCell ref="O180:P180"/>
    <mergeCell ref="S180:T180"/>
    <mergeCell ref="AC180:AD180"/>
    <mergeCell ref="AG180:AH180"/>
    <mergeCell ref="AQ180:AR180"/>
    <mergeCell ref="AU180:AV180"/>
    <mergeCell ref="BA100:BA101"/>
    <mergeCell ref="BB100:BB101"/>
    <mergeCell ref="BC100:BC101"/>
    <mergeCell ref="A176:C176"/>
    <mergeCell ref="O176:Q176"/>
    <mergeCell ref="AC176:AE176"/>
    <mergeCell ref="AQ176:AS176"/>
    <mergeCell ref="AT100:AT101"/>
    <mergeCell ref="AU100:AU101"/>
    <mergeCell ref="AX100:AX101"/>
    <mergeCell ref="AY100:AY101"/>
    <mergeCell ref="AM100:AM101"/>
    <mergeCell ref="AN100:AN101"/>
    <mergeCell ref="AO100:AO101"/>
    <mergeCell ref="AQ100:AQ101"/>
    <mergeCell ref="AR100:AR101"/>
    <mergeCell ref="AS100:AS101"/>
    <mergeCell ref="AZ100:AZ101"/>
    <mergeCell ref="AF100:AF101"/>
    <mergeCell ref="AG100:AG101"/>
    <mergeCell ref="AH100:AH101"/>
    <mergeCell ref="AI100:AI101"/>
    <mergeCell ref="AJ100:AJ101"/>
    <mergeCell ref="AK100:AK101"/>
    <mergeCell ref="AL100:AL101"/>
    <mergeCell ref="AV100:AV101"/>
    <mergeCell ref="AW100:AW101"/>
    <mergeCell ref="V100:V101"/>
    <mergeCell ref="W100:W101"/>
    <mergeCell ref="X100:X101"/>
    <mergeCell ref="Y100:Y101"/>
    <mergeCell ref="Z100:Z101"/>
    <mergeCell ref="AA100:AA101"/>
    <mergeCell ref="AC100:AC101"/>
    <mergeCell ref="AD100:AD101"/>
    <mergeCell ref="AE100:AE101"/>
    <mergeCell ref="A98:B98"/>
    <mergeCell ref="O98:P98"/>
    <mergeCell ref="AC98:AD98"/>
    <mergeCell ref="AQ98:AR98"/>
    <mergeCell ref="A100:A101"/>
    <mergeCell ref="B100:B101"/>
    <mergeCell ref="C100:C101"/>
    <mergeCell ref="D100:D101"/>
    <mergeCell ref="E100:E101"/>
    <mergeCell ref="F100:F101"/>
    <mergeCell ref="G100:G101"/>
    <mergeCell ref="H100:H101"/>
    <mergeCell ref="I100:I101"/>
    <mergeCell ref="J100:J101"/>
    <mergeCell ref="K100:K101"/>
    <mergeCell ref="L100:L101"/>
    <mergeCell ref="M100:M101"/>
    <mergeCell ref="O100:O101"/>
    <mergeCell ref="P100:P101"/>
    <mergeCell ref="Q100:Q101"/>
    <mergeCell ref="R100:R101"/>
    <mergeCell ref="S100:S101"/>
    <mergeCell ref="T100:T101"/>
    <mergeCell ref="U100:U101"/>
    <mergeCell ref="A95:B95"/>
    <mergeCell ref="O95:P95"/>
    <mergeCell ref="AC95:AD95"/>
    <mergeCell ref="AQ95:AR95"/>
    <mergeCell ref="A96:B96"/>
    <mergeCell ref="O96:P96"/>
    <mergeCell ref="AC96:AD96"/>
    <mergeCell ref="AQ96:AR96"/>
    <mergeCell ref="A97:B97"/>
    <mergeCell ref="O97:P97"/>
    <mergeCell ref="AC97:AD97"/>
    <mergeCell ref="AQ97:AR97"/>
    <mergeCell ref="A93:C93"/>
    <mergeCell ref="E93:G93"/>
    <mergeCell ref="O93:Q93"/>
    <mergeCell ref="S93:U93"/>
    <mergeCell ref="AC93:AE93"/>
    <mergeCell ref="AG93:AI93"/>
    <mergeCell ref="AQ93:AS93"/>
    <mergeCell ref="AU93:AW93"/>
    <mergeCell ref="A94:B94"/>
    <mergeCell ref="E94:F94"/>
    <mergeCell ref="O94:P94"/>
    <mergeCell ref="S94:T94"/>
    <mergeCell ref="AC94:AD94"/>
    <mergeCell ref="AG94:AH94"/>
    <mergeCell ref="AQ94:AR94"/>
    <mergeCell ref="AU94:AV94"/>
    <mergeCell ref="AZ14:AZ15"/>
    <mergeCell ref="BA14:BA15"/>
    <mergeCell ref="BB14:BB15"/>
    <mergeCell ref="BC14:BC15"/>
    <mergeCell ref="BE85:BF85"/>
    <mergeCell ref="A90:C90"/>
    <mergeCell ref="O90:Q90"/>
    <mergeCell ref="AC90:AE90"/>
    <mergeCell ref="AQ90:AS90"/>
    <mergeCell ref="AT14:AT15"/>
    <mergeCell ref="AU14:AU15"/>
    <mergeCell ref="AV14:AV15"/>
    <mergeCell ref="AW14:AW15"/>
    <mergeCell ref="AX14:AX15"/>
    <mergeCell ref="AY14:AY15"/>
    <mergeCell ref="AM14:AM15"/>
    <mergeCell ref="AN14:AN15"/>
    <mergeCell ref="AO14:AO15"/>
    <mergeCell ref="AQ14:AQ15"/>
    <mergeCell ref="AR14:AR15"/>
    <mergeCell ref="AD14:AD15"/>
    <mergeCell ref="AE14:AE15"/>
    <mergeCell ref="AF14:AF15"/>
    <mergeCell ref="AS14:AS15"/>
    <mergeCell ref="AG14:AG15"/>
    <mergeCell ref="AH14:AH15"/>
    <mergeCell ref="AI14:AI15"/>
    <mergeCell ref="AJ14:AJ15"/>
    <mergeCell ref="AK14:AK15"/>
    <mergeCell ref="AL14:AL15"/>
    <mergeCell ref="T14:T15"/>
    <mergeCell ref="U14:U15"/>
    <mergeCell ref="V14:V15"/>
    <mergeCell ref="W14:W15"/>
    <mergeCell ref="X14:X15"/>
    <mergeCell ref="Y14:Y15"/>
    <mergeCell ref="Z14:Z15"/>
    <mergeCell ref="AA14:AA15"/>
    <mergeCell ref="AC14:AC15"/>
    <mergeCell ref="J14:J15"/>
    <mergeCell ref="K14:K15"/>
    <mergeCell ref="L14:L15"/>
    <mergeCell ref="M14:M15"/>
    <mergeCell ref="O14:O15"/>
    <mergeCell ref="P14:P15"/>
    <mergeCell ref="Q14:Q15"/>
    <mergeCell ref="R14:R15"/>
    <mergeCell ref="S14:S15"/>
    <mergeCell ref="A14:A15"/>
    <mergeCell ref="B14:B15"/>
    <mergeCell ref="C14:C15"/>
    <mergeCell ref="D14:D15"/>
    <mergeCell ref="E14:E15"/>
    <mergeCell ref="F14:F15"/>
    <mergeCell ref="G14:G15"/>
    <mergeCell ref="H14:H15"/>
    <mergeCell ref="I14:I15"/>
    <mergeCell ref="BL11:BL12"/>
    <mergeCell ref="BE11:BE12"/>
    <mergeCell ref="BF11:BF12"/>
    <mergeCell ref="BG11:BG12"/>
    <mergeCell ref="BH11:BH12"/>
    <mergeCell ref="BM11:BM12"/>
    <mergeCell ref="BN11:BN12"/>
    <mergeCell ref="BO11:BO12"/>
    <mergeCell ref="A12:B12"/>
    <mergeCell ref="O12:P12"/>
    <mergeCell ref="AC12:AD12"/>
    <mergeCell ref="AQ12:AR12"/>
    <mergeCell ref="BI11:BI12"/>
    <mergeCell ref="BJ11:BJ12"/>
    <mergeCell ref="BK11:BK12"/>
    <mergeCell ref="A9:B9"/>
    <mergeCell ref="O9:P9"/>
    <mergeCell ref="AC9:AD9"/>
    <mergeCell ref="AQ9:AR9"/>
    <mergeCell ref="A10:B10"/>
    <mergeCell ref="O10:P10"/>
    <mergeCell ref="AC10:AD10"/>
    <mergeCell ref="AQ10:AR10"/>
    <mergeCell ref="A11:B11"/>
    <mergeCell ref="O11:P11"/>
    <mergeCell ref="AC11:AD11"/>
    <mergeCell ref="AQ11:AR11"/>
    <mergeCell ref="AU7:AW7"/>
    <mergeCell ref="A8:B8"/>
    <mergeCell ref="E8:F8"/>
    <mergeCell ref="O8:P8"/>
    <mergeCell ref="S8:T8"/>
    <mergeCell ref="AC8:AD8"/>
    <mergeCell ref="AG8:AH8"/>
    <mergeCell ref="AQ8:AR8"/>
    <mergeCell ref="AU8:AV8"/>
    <mergeCell ref="A1:D1"/>
    <mergeCell ref="A4:C4"/>
    <mergeCell ref="O4:Q4"/>
    <mergeCell ref="AC4:AE4"/>
    <mergeCell ref="AQ4:AS4"/>
    <mergeCell ref="A7:C7"/>
    <mergeCell ref="E7:G7"/>
    <mergeCell ref="O7:Q7"/>
    <mergeCell ref="S7:U7"/>
    <mergeCell ref="AC7:AE7"/>
    <mergeCell ref="AG7:AI7"/>
    <mergeCell ref="AQ7:AS7"/>
  </mergeCells>
  <phoneticPr fontId="22" type="noConversion"/>
  <pageMargins left="0.74791666666666667" right="0.74791666666666667" top="0.98402777777777783" bottom="0.98402777777777783" header="0.51180555555555562" footer="0.51180555555555562"/>
  <pageSetup paperSize="9" firstPageNumber="0" orientation="portrait" horizontalDpi="300"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Fulls de càlcul</vt:lpstr>
      </vt:variant>
      <vt:variant>
        <vt:i4>31</vt:i4>
      </vt:variant>
      <vt:variant>
        <vt:lpstr>Intervals amb nom</vt:lpstr>
      </vt:variant>
      <vt:variant>
        <vt:i4>11</vt:i4>
      </vt:variant>
    </vt:vector>
  </HeadingPairs>
  <TitlesOfParts>
    <vt:vector size="42" baseType="lpstr">
      <vt:lpstr>ÍNDEX</vt:lpstr>
      <vt:lpstr>AJUSTAMENTS</vt:lpstr>
      <vt:lpstr>FULL AUXILIAR</vt:lpstr>
      <vt:lpstr>CONTROLS</vt:lpstr>
      <vt:lpstr>DADES</vt:lpstr>
      <vt:lpstr>Introducció dades</vt:lpstr>
      <vt:lpstr>INVERSIONS</vt:lpstr>
      <vt:lpstr>FINANÇAMENT</vt:lpstr>
      <vt:lpstr>LEASING</vt:lpstr>
      <vt:lpstr>MERCADERIES</vt:lpstr>
      <vt:lpstr>PRÉSTECS</vt:lpstr>
      <vt:lpstr>SERVEIS</vt:lpstr>
      <vt:lpstr>INGRESSOS _ COMPRES</vt:lpstr>
      <vt:lpstr>PROMOTORS</vt:lpstr>
      <vt:lpstr>PERSONAL</vt:lpstr>
      <vt:lpstr>TRIBUTS</vt:lpstr>
      <vt:lpstr>VARIABLES</vt:lpstr>
      <vt:lpstr>TRESORERIA</vt:lpstr>
      <vt:lpstr>Fiscalitat</vt:lpstr>
      <vt:lpstr>Pla inversions i finançament</vt:lpstr>
      <vt:lpstr>Resultats anuals</vt:lpstr>
      <vt:lpstr>Resultats per mesos</vt:lpstr>
      <vt:lpstr>Pla de tresoreria</vt:lpstr>
      <vt:lpstr>Necessitats de finançament</vt:lpstr>
      <vt:lpstr>Tresoreria per mesos</vt:lpstr>
      <vt:lpstr>Balanç de situació</vt:lpstr>
      <vt:lpstr>Càlcul del punt d_equilibri</vt:lpstr>
      <vt:lpstr>Punt d_equilibri</vt:lpstr>
      <vt:lpstr>Anàlisi bàsica</vt:lpstr>
      <vt:lpstr>Anàlisi creuada</vt:lpstr>
      <vt:lpstr>Ràtios</vt:lpstr>
      <vt:lpstr>'Balanç de situació'!Àrea_d'impressió</vt:lpstr>
      <vt:lpstr>'Introducció dades'!Àrea_d'impressió</vt:lpstr>
      <vt:lpstr>'Pla de tresoreria'!Àrea_d'impressió</vt:lpstr>
      <vt:lpstr>'Pla inversions i finançament'!Àrea_d'impressió</vt:lpstr>
      <vt:lpstr>PROMOTORS!Àrea_d'impressió</vt:lpstr>
      <vt:lpstr>'Punt d_equilibri'!Àrea_d'impressió</vt:lpstr>
      <vt:lpstr>Ràtios!Àrea_d'impressió</vt:lpstr>
      <vt:lpstr>'Resultats anuals'!Àrea_d'impressió</vt:lpstr>
      <vt:lpstr>'Resultats per mesos'!Àrea_d'impressió</vt:lpstr>
      <vt:lpstr>'Tresoreria per mesos'!Àrea_d'impressió</vt:lpstr>
      <vt:lpstr>VARIABLES!Àrea_d'impressió</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Laia Vilà</dc:creator>
  <cp:lastModifiedBy>Alícia Cantalejo Gómez</cp:lastModifiedBy>
  <cp:lastPrinted>2009-01-07T11:55:51Z</cp:lastPrinted>
  <dcterms:created xsi:type="dcterms:W3CDTF">2008-02-04T12:55:58Z</dcterms:created>
  <dcterms:modified xsi:type="dcterms:W3CDTF">2023-01-26T13:58:51Z</dcterms:modified>
</cp:coreProperties>
</file>